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E:\LICITAÇÕES BRASIL\MATO GROSSO\SEMA MT\CP 3-2023\prop\"/>
    </mc:Choice>
  </mc:AlternateContent>
  <xr:revisionPtr revIDLastSave="0" documentId="13_ncr:1_{F52F8B96-9B20-4C80-8602-FC4DCE88E753}" xr6:coauthVersionLast="47" xr6:coauthVersionMax="47" xr10:uidLastSave="{00000000-0000-0000-0000-000000000000}"/>
  <bookViews>
    <workbookView xWindow="-28920" yWindow="480" windowWidth="29040" windowHeight="15720" tabRatio="819" xr2:uid="{00000000-000D-0000-FFFF-FFFF00000000}"/>
  </bookViews>
  <sheets>
    <sheet name="RESUMO SEM DESONERAÇÃO" sheetId="2" r:id="rId1"/>
    <sheet name="PLANILHA SEM DESON" sheetId="36" r:id="rId2"/>
    <sheet name="CADERNO DE COMPOSIÇÃO" sheetId="52" r:id="rId3"/>
    <sheet name="COMP CIVIL" sheetId="49" state="hidden" r:id="rId4"/>
    <sheet name="COMP ETE 1" sheetId="45" state="hidden" r:id="rId5"/>
    <sheet name=" COMP HIDR 1" sheetId="29" state="hidden" r:id="rId6"/>
    <sheet name="COMP ELE" sheetId="50" state="hidden" r:id="rId7"/>
    <sheet name="COMP ESTRUT" sheetId="51" state="hidden" r:id="rId8"/>
    <sheet name="CRONOGRAMA SEM DESONERAÇÃO" sheetId="4" r:id="rId9"/>
    <sheet name="BDI NÃO DESONERADO" sheetId="26" r:id="rId10"/>
    <sheet name="ENCARGOS SOCIAIS" sheetId="53" r:id="rId11"/>
    <sheet name="QTITQTIVO ARQ FINAL" sheetId="46" state="hidden" r:id="rId12"/>
    <sheet name="QTITQTIVO ESTRUTURAL" sheetId="42" state="hidden" r:id="rId13"/>
    <sheet name="QT ESTR MURO-MURETA" sheetId="47" state="hidden" r:id="rId14"/>
    <sheet name="QTITATIVO ELÉTRICA" sheetId="40" state="hidden" r:id="rId15"/>
    <sheet name="LISTA DE MAT HIDROSSAN" sheetId="30" state="hidden" r:id="rId16"/>
    <sheet name="QTITQTIVO ETE - ADELMO" sheetId="44" state="hidden" r:id="rId17"/>
  </sheets>
  <externalReferences>
    <externalReference r:id="rId18"/>
    <externalReference r:id="rId19"/>
    <externalReference r:id="rId20"/>
  </externalReferences>
  <definedNames>
    <definedName name="ACF">'QTITQTIVO ETE - ADELMO'!$B$22</definedName>
    <definedName name="ADELMO">'QTITQTIVO ETE - ADELMO'!$B$16</definedName>
    <definedName name="_xlnm.Print_Area" localSheetId="5">' COMP HIDR 1'!$A$1:$F$286</definedName>
    <definedName name="_xlnm.Print_Area" localSheetId="9">'BDI NÃO DESONERADO'!$A$4:$C$38</definedName>
    <definedName name="_xlnm.Print_Area" localSheetId="2">'CADERNO DE COMPOSIÇÃO'!$A$1:$I$2681</definedName>
    <definedName name="_xlnm.Print_Area" localSheetId="3">'COMP CIVIL'!$A$1:$F$503</definedName>
    <definedName name="_xlnm.Print_Area" localSheetId="4">'COMP ETE 1'!$A$1:$F$29</definedName>
    <definedName name="_xlnm.Print_Area" localSheetId="8">'CRONOGRAMA SEM DESONERAÇÃO'!$A$2:$M$47</definedName>
    <definedName name="_xlnm.Print_Area" localSheetId="1">'PLANILHA SEM DESON'!$A$8:$J$439</definedName>
    <definedName name="_xlnm.Print_Area" localSheetId="0">'RESUMO SEM DESONERAÇÃO'!$A$1:$E$53</definedName>
    <definedName name="Cb">'QTITQTIVO ETE - ADELMO'!$B$15</definedName>
    <definedName name="Ce">'QTITQTIVO ETE - ADELMO'!$B$11</definedName>
    <definedName name="CFO">'QTITQTIVO ETE - ADELMO'!$B$12</definedName>
    <definedName name="CiFi">'QTITQTIVO ETE - ADELMO'!$B$10</definedName>
    <definedName name="CiFo">'QTITQTIVO ETE - ADELMO'!$B$9</definedName>
    <definedName name="COMP_NÃODESONERADO">[1]COMP_NÃODESONERADO!$A$1:$D$6698</definedName>
    <definedName name="Dch">'QTITQTIVO ETE - ADELMO'!$B$20</definedName>
    <definedName name="Dcs">'QTITQTIVO ETE - ADELMO'!$B$32</definedName>
    <definedName name="DIs">'QTITQTIVO ETE - ADELMO'!$B$27</definedName>
    <definedName name="Eb">'QTITQTIVO ETE - ADELMO'!$B$13</definedName>
    <definedName name="ESGOTO">'QTITQTIVO ETE - ADELMO'!$B$11</definedName>
    <definedName name="Et">'QTITQTIVO ETE - ADELMO'!$B$16</definedName>
    <definedName name="ETE">'QTITQTIVO ETE - ADELMO'!$B$7</definedName>
    <definedName name="Ets">'QTITQTIVO ETE - ADELMO'!$B$30</definedName>
    <definedName name="Hch">'QTITQTIVO ETE - ADELMO'!$B$19</definedName>
    <definedName name="Hcs">'QTITQTIVO ETE - ADELMO'!$B$31</definedName>
    <definedName name="His">'QTITQTIVO ETE - ADELMO'!$B$29</definedName>
    <definedName name="Hit">'QTITQTIVO ETE - ADELMO'!$B$12</definedName>
    <definedName name="INSNÃODES">[1]INSNÃODES!$A$1:$D$5829</definedName>
    <definedName name="KKKKKK">'QTITQTIVO ETE - ADELMO'!$B$20</definedName>
    <definedName name="Lb">'QTITQTIVO ETE - ADELMO'!$B$14</definedName>
    <definedName name="Le">'QTITQTIVO ETE - ADELMO'!$B$8</definedName>
    <definedName name="Li">'QTITQTIVO ETE - ADELMO'!$B$7</definedName>
    <definedName name="Pt">'QTITQTIVO ETE - ADELMO'!$B$21</definedName>
    <definedName name="Pts">'QTITQTIVO ETE - ADELMO'!$B$33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9" i="53" l="1"/>
  <c r="A48" i="53"/>
  <c r="A47" i="53"/>
  <c r="A46" i="53"/>
  <c r="D44" i="53"/>
  <c r="A37" i="26"/>
  <c r="A36" i="26"/>
  <c r="A35" i="26"/>
  <c r="A34" i="26"/>
  <c r="A33" i="26"/>
  <c r="C29" i="26"/>
  <c r="A47" i="4"/>
  <c r="A46" i="4"/>
  <c r="A45" i="4"/>
  <c r="A44" i="4"/>
  <c r="A43" i="4"/>
  <c r="M42" i="4"/>
  <c r="A2681" i="52"/>
  <c r="A2680" i="52"/>
  <c r="A2679" i="52"/>
  <c r="A2678" i="52"/>
  <c r="A2677" i="52"/>
  <c r="I2673" i="52"/>
  <c r="A437" i="36"/>
  <c r="A436" i="36"/>
  <c r="A435" i="36"/>
  <c r="A434" i="36"/>
  <c r="A433" i="36"/>
  <c r="J431" i="36"/>
  <c r="G220" i="36"/>
  <c r="G291" i="36"/>
  <c r="B6" i="52" l="1"/>
  <c r="B5" i="52"/>
  <c r="B4" i="52"/>
  <c r="A2666" i="52"/>
  <c r="I2666" i="52" s="1"/>
  <c r="A2661" i="52"/>
  <c r="A2656" i="52"/>
  <c r="B2656" i="52" s="1"/>
  <c r="A2649" i="52"/>
  <c r="I2649" i="52" s="1"/>
  <c r="A2641" i="52"/>
  <c r="I2641" i="52" s="1"/>
  <c r="A2633" i="52"/>
  <c r="B2633" i="52" s="1"/>
  <c r="A2624" i="52"/>
  <c r="B2624" i="52" s="1"/>
  <c r="A2617" i="52"/>
  <c r="I2617" i="52" s="1"/>
  <c r="A2610" i="52"/>
  <c r="I2610" i="52" s="1"/>
  <c r="A2603" i="52"/>
  <c r="I2603" i="52" s="1"/>
  <c r="A2597" i="52"/>
  <c r="I2597" i="52" s="1"/>
  <c r="A2585" i="52"/>
  <c r="I2585" i="52" s="1"/>
  <c r="H2589" i="52"/>
  <c r="I2589" i="52" s="1"/>
  <c r="A2573" i="52"/>
  <c r="I2573" i="52" s="1"/>
  <c r="H2577" i="52"/>
  <c r="I2577" i="52" s="1"/>
  <c r="A2560" i="52"/>
  <c r="B2560" i="52" s="1"/>
  <c r="H2564" i="52"/>
  <c r="I2564" i="52" s="1"/>
  <c r="H2565" i="52"/>
  <c r="I2565" i="52" s="1"/>
  <c r="A2547" i="52"/>
  <c r="I2547" i="52" s="1"/>
  <c r="H2551" i="52"/>
  <c r="I2551" i="52" s="1"/>
  <c r="H2552" i="52"/>
  <c r="I2552" i="52" s="1"/>
  <c r="A2542" i="52"/>
  <c r="I2542" i="52" s="1"/>
  <c r="A2537" i="52"/>
  <c r="I2537" i="52" s="1"/>
  <c r="A2532" i="52"/>
  <c r="I2532" i="52" s="1"/>
  <c r="A2524" i="52"/>
  <c r="I2524" i="52" s="1"/>
  <c r="A2516" i="52"/>
  <c r="B2516" i="52" s="1"/>
  <c r="A2509" i="52"/>
  <c r="A2500" i="52"/>
  <c r="B2500" i="52" s="1"/>
  <c r="A2488" i="52"/>
  <c r="B2488" i="52" s="1"/>
  <c r="H2493" i="52"/>
  <c r="I2493" i="52" s="1"/>
  <c r="A2479" i="52"/>
  <c r="I2479" i="52" s="1"/>
  <c r="A2470" i="52"/>
  <c r="I2470" i="52" s="1"/>
  <c r="A2462" i="52"/>
  <c r="B2462" i="52" s="1"/>
  <c r="A2448" i="52"/>
  <c r="B2448" i="52" s="1"/>
  <c r="H2451" i="52"/>
  <c r="I2451" i="52" s="1"/>
  <c r="H2452" i="52"/>
  <c r="I2452" i="52" s="1"/>
  <c r="H2453" i="52"/>
  <c r="I2453" i="52" s="1"/>
  <c r="A2440" i="52"/>
  <c r="I2440" i="52" s="1"/>
  <c r="A2427" i="52"/>
  <c r="B2427" i="52" s="1"/>
  <c r="H2430" i="52"/>
  <c r="I2430" i="52" s="1"/>
  <c r="H2431" i="52"/>
  <c r="I2431" i="52" s="1"/>
  <c r="A2416" i="52"/>
  <c r="I2416" i="52" s="1"/>
  <c r="A2405" i="52"/>
  <c r="I2405" i="52" s="1"/>
  <c r="A2396" i="52"/>
  <c r="I2396" i="52" s="1"/>
  <c r="A2388" i="52"/>
  <c r="I2388" i="52" s="1"/>
  <c r="A2379" i="52"/>
  <c r="B2379" i="52" s="1"/>
  <c r="A2372" i="52"/>
  <c r="I2372" i="52" s="1"/>
  <c r="A2360" i="52"/>
  <c r="B2360" i="52" s="1"/>
  <c r="H2367" i="52"/>
  <c r="I2367" i="52" s="1"/>
  <c r="A2355" i="52"/>
  <c r="I2355" i="52" s="1"/>
  <c r="A2344" i="52"/>
  <c r="I2344" i="52" s="1"/>
  <c r="A2337" i="52"/>
  <c r="I2337" i="52" s="1"/>
  <c r="A2330" i="52"/>
  <c r="I2330" i="52" s="1"/>
  <c r="A2323" i="52"/>
  <c r="I2323" i="52" s="1"/>
  <c r="A2314" i="52"/>
  <c r="I2314" i="52" s="1"/>
  <c r="A2303" i="52"/>
  <c r="I2303" i="52" s="1"/>
  <c r="A2296" i="52"/>
  <c r="I2296" i="52" s="1"/>
  <c r="A2288" i="52"/>
  <c r="B2288" i="52" s="1"/>
  <c r="A2279" i="52"/>
  <c r="B2279" i="52" s="1"/>
  <c r="A2273" i="52"/>
  <c r="I2273" i="52" s="1"/>
  <c r="A2265" i="52"/>
  <c r="B2265" i="52" s="1"/>
  <c r="A2250" i="52"/>
  <c r="B2250" i="52" s="1"/>
  <c r="A2234" i="52"/>
  <c r="I2234" i="52" s="1"/>
  <c r="A2258" i="52"/>
  <c r="I2258" i="52" s="1"/>
  <c r="A2227" i="52"/>
  <c r="I2227" i="52" s="1"/>
  <c r="A2218" i="52"/>
  <c r="B2218" i="52" s="1"/>
  <c r="A2209" i="52"/>
  <c r="I2209" i="52" s="1"/>
  <c r="A2242" i="52"/>
  <c r="I2242" i="52" s="1"/>
  <c r="A2200" i="52"/>
  <c r="I2200" i="52" s="1"/>
  <c r="A2191" i="52"/>
  <c r="I2191" i="52" s="1"/>
  <c r="A2171" i="52"/>
  <c r="I2171" i="52" s="1"/>
  <c r="H2174" i="52"/>
  <c r="I2174" i="52" s="1"/>
  <c r="H2175" i="52"/>
  <c r="I2175" i="52" s="1"/>
  <c r="H2176" i="52"/>
  <c r="I2176" i="52" s="1"/>
  <c r="H2177" i="52"/>
  <c r="I2177" i="52" s="1"/>
  <c r="H2178" i="52"/>
  <c r="I2178" i="52" s="1"/>
  <c r="H2179" i="52"/>
  <c r="I2179" i="52" s="1"/>
  <c r="H2180" i="52"/>
  <c r="I2180" i="52" s="1"/>
  <c r="H2181" i="52"/>
  <c r="I2181" i="52" s="1"/>
  <c r="H2182" i="52"/>
  <c r="I2182" i="52" s="1"/>
  <c r="A2163" i="52"/>
  <c r="I2163" i="52" s="1"/>
  <c r="A2155" i="52"/>
  <c r="I2155" i="52" s="1"/>
  <c r="A2147" i="52"/>
  <c r="I2147" i="52" s="1"/>
  <c r="A2138" i="52"/>
  <c r="I2138" i="52" s="1"/>
  <c r="A2129" i="52"/>
  <c r="I2129" i="52" s="1"/>
  <c r="A2119" i="52"/>
  <c r="I2119" i="52" s="1"/>
  <c r="A2111" i="52"/>
  <c r="I2111" i="52" s="1"/>
  <c r="A2102" i="52"/>
  <c r="I2102" i="52" s="1"/>
  <c r="A2093" i="52"/>
  <c r="I2093" i="52" s="1"/>
  <c r="A2083" i="52"/>
  <c r="I2083" i="52" s="1"/>
  <c r="A2074" i="52"/>
  <c r="I2074" i="52" s="1"/>
  <c r="A2065" i="52"/>
  <c r="B2065" i="52" s="1"/>
  <c r="A2056" i="52"/>
  <c r="B2056" i="52" s="1"/>
  <c r="A2044" i="52"/>
  <c r="I2044" i="52" s="1"/>
  <c r="H2049" i="52"/>
  <c r="I2049" i="52" s="1"/>
  <c r="A2034" i="52"/>
  <c r="I2034" i="52" s="1"/>
  <c r="A2027" i="52"/>
  <c r="I2027" i="52" s="1"/>
  <c r="A2020" i="52"/>
  <c r="I2020" i="52" s="1"/>
  <c r="A2010" i="52"/>
  <c r="I2010" i="52" s="1"/>
  <c r="A2003" i="52"/>
  <c r="I2003" i="52" s="1"/>
  <c r="H2669" i="52"/>
  <c r="I2669" i="52" s="1"/>
  <c r="H2668" i="52"/>
  <c r="I2668" i="52" s="1"/>
  <c r="H2663" i="52"/>
  <c r="I2663" i="52" s="1"/>
  <c r="I2661" i="52"/>
  <c r="B2661" i="52"/>
  <c r="H2658" i="52"/>
  <c r="I2658" i="52" s="1"/>
  <c r="I2656" i="52"/>
  <c r="H2653" i="52"/>
  <c r="I2653" i="52" s="1"/>
  <c r="H2652" i="52"/>
  <c r="I2652" i="52" s="1"/>
  <c r="H2651" i="52"/>
  <c r="I2651" i="52" s="1"/>
  <c r="H2646" i="52"/>
  <c r="I2646" i="52" s="1"/>
  <c r="H2645" i="52"/>
  <c r="I2645" i="52" s="1"/>
  <c r="H2644" i="52"/>
  <c r="I2644" i="52" s="1"/>
  <c r="H2643" i="52"/>
  <c r="I2643" i="52" s="1"/>
  <c r="H2638" i="52"/>
  <c r="I2638" i="52" s="1"/>
  <c r="H2637" i="52"/>
  <c r="I2637" i="52" s="1"/>
  <c r="H2636" i="52"/>
  <c r="I2636" i="52" s="1"/>
  <c r="H2635" i="52"/>
  <c r="I2635" i="52" s="1"/>
  <c r="I2633" i="52"/>
  <c r="H2630" i="52"/>
  <c r="I2630" i="52" s="1"/>
  <c r="H2629" i="52"/>
  <c r="I2629" i="52" s="1"/>
  <c r="H2628" i="52"/>
  <c r="I2628" i="52" s="1"/>
  <c r="H2627" i="52"/>
  <c r="I2627" i="52" s="1"/>
  <c r="H2626" i="52"/>
  <c r="I2626" i="52" s="1"/>
  <c r="H2621" i="52"/>
  <c r="I2621" i="52" s="1"/>
  <c r="H2620" i="52"/>
  <c r="I2620" i="52" s="1"/>
  <c r="H2619" i="52"/>
  <c r="I2619" i="52" s="1"/>
  <c r="H2614" i="52"/>
  <c r="I2614" i="52" s="1"/>
  <c r="H2613" i="52"/>
  <c r="I2613" i="52" s="1"/>
  <c r="H2612" i="52"/>
  <c r="I2612" i="52" s="1"/>
  <c r="H2607" i="52"/>
  <c r="I2607" i="52" s="1"/>
  <c r="H2606" i="52"/>
  <c r="I2606" i="52" s="1"/>
  <c r="H2605" i="52"/>
  <c r="I2605" i="52" s="1"/>
  <c r="H2600" i="52"/>
  <c r="I2600" i="52" s="1"/>
  <c r="H2599" i="52"/>
  <c r="I2599" i="52" s="1"/>
  <c r="H2594" i="52"/>
  <c r="I2594" i="52" s="1"/>
  <c r="H2593" i="52"/>
  <c r="I2593" i="52" s="1"/>
  <c r="H2592" i="52"/>
  <c r="I2592" i="52" s="1"/>
  <c r="H2591" i="52"/>
  <c r="I2591" i="52" s="1"/>
  <c r="H2590" i="52"/>
  <c r="I2590" i="52" s="1"/>
  <c r="H2588" i="52"/>
  <c r="I2588" i="52" s="1"/>
  <c r="H2587" i="52"/>
  <c r="I2587" i="52" s="1"/>
  <c r="H2582" i="52"/>
  <c r="I2582" i="52" s="1"/>
  <c r="H2581" i="52"/>
  <c r="I2581" i="52" s="1"/>
  <c r="H2580" i="52"/>
  <c r="I2580" i="52" s="1"/>
  <c r="H2579" i="52"/>
  <c r="I2579" i="52" s="1"/>
  <c r="H2578" i="52"/>
  <c r="I2578" i="52" s="1"/>
  <c r="H2576" i="52"/>
  <c r="I2576" i="52" s="1"/>
  <c r="H2575" i="52"/>
  <c r="I2575" i="52" s="1"/>
  <c r="H2570" i="52"/>
  <c r="I2570" i="52" s="1"/>
  <c r="H2569" i="52"/>
  <c r="I2569" i="52" s="1"/>
  <c r="H2568" i="52"/>
  <c r="I2568" i="52" s="1"/>
  <c r="H2567" i="52"/>
  <c r="I2567" i="52" s="1"/>
  <c r="H2566" i="52"/>
  <c r="I2566" i="52" s="1"/>
  <c r="H2563" i="52"/>
  <c r="I2563" i="52" s="1"/>
  <c r="H2562" i="52"/>
  <c r="I2562" i="52" s="1"/>
  <c r="H2557" i="52"/>
  <c r="I2557" i="52" s="1"/>
  <c r="H2556" i="52"/>
  <c r="I2556" i="52" s="1"/>
  <c r="H2555" i="52"/>
  <c r="I2555" i="52" s="1"/>
  <c r="H2554" i="52"/>
  <c r="I2554" i="52" s="1"/>
  <c r="H2553" i="52"/>
  <c r="I2553" i="52" s="1"/>
  <c r="H2550" i="52"/>
  <c r="I2550" i="52" s="1"/>
  <c r="H2549" i="52"/>
  <c r="I2549" i="52" s="1"/>
  <c r="H2544" i="52"/>
  <c r="I2544" i="52" s="1"/>
  <c r="H2539" i="52"/>
  <c r="I2539" i="52" s="1"/>
  <c r="H2534" i="52"/>
  <c r="I2534" i="52" s="1"/>
  <c r="H2529" i="52"/>
  <c r="I2529" i="52" s="1"/>
  <c r="H2528" i="52"/>
  <c r="I2528" i="52" s="1"/>
  <c r="H2527" i="52"/>
  <c r="I2527" i="52" s="1"/>
  <c r="H2526" i="52"/>
  <c r="I2526" i="52" s="1"/>
  <c r="H2521" i="52"/>
  <c r="I2521" i="52" s="1"/>
  <c r="H2520" i="52"/>
  <c r="I2520" i="52" s="1"/>
  <c r="H2519" i="52"/>
  <c r="I2519" i="52" s="1"/>
  <c r="H2518" i="52"/>
  <c r="I2518" i="52" s="1"/>
  <c r="H2513" i="52"/>
  <c r="I2513" i="52" s="1"/>
  <c r="H2512" i="52"/>
  <c r="I2512" i="52" s="1"/>
  <c r="H2511" i="52"/>
  <c r="I2511" i="52" s="1"/>
  <c r="H2506" i="52"/>
  <c r="I2506" i="52" s="1"/>
  <c r="H2505" i="52"/>
  <c r="I2505" i="52" s="1"/>
  <c r="H2504" i="52"/>
  <c r="I2504" i="52" s="1"/>
  <c r="H2503" i="52"/>
  <c r="I2503" i="52" s="1"/>
  <c r="H2502" i="52"/>
  <c r="I2502" i="52" s="1"/>
  <c r="H2497" i="52"/>
  <c r="I2497" i="52" s="1"/>
  <c r="H2496" i="52"/>
  <c r="I2496" i="52" s="1"/>
  <c r="H2495" i="52"/>
  <c r="I2495" i="52" s="1"/>
  <c r="H2494" i="52"/>
  <c r="I2494" i="52" s="1"/>
  <c r="H2492" i="52"/>
  <c r="I2492" i="52" s="1"/>
  <c r="H2491" i="52"/>
  <c r="I2491" i="52" s="1"/>
  <c r="H2490" i="52"/>
  <c r="I2490" i="52" s="1"/>
  <c r="H2485" i="52"/>
  <c r="I2485" i="52" s="1"/>
  <c r="H2484" i="52"/>
  <c r="I2484" i="52" s="1"/>
  <c r="H2483" i="52"/>
  <c r="I2483" i="52" s="1"/>
  <c r="H2482" i="52"/>
  <c r="I2482" i="52" s="1"/>
  <c r="H2481" i="52"/>
  <c r="I2481" i="52" s="1"/>
  <c r="H2476" i="52"/>
  <c r="I2476" i="52" s="1"/>
  <c r="H2475" i="52"/>
  <c r="I2475" i="52" s="1"/>
  <c r="H2474" i="52"/>
  <c r="I2474" i="52" s="1"/>
  <c r="H2473" i="52"/>
  <c r="I2473" i="52" s="1"/>
  <c r="H2472" i="52"/>
  <c r="I2472" i="52" s="1"/>
  <c r="H2467" i="52"/>
  <c r="I2467" i="52" s="1"/>
  <c r="H2466" i="52"/>
  <c r="I2466" i="52" s="1"/>
  <c r="H2465" i="52"/>
  <c r="I2465" i="52" s="1"/>
  <c r="H2464" i="52"/>
  <c r="I2464" i="52" s="1"/>
  <c r="H2459" i="52"/>
  <c r="I2459" i="52" s="1"/>
  <c r="H2458" i="52"/>
  <c r="I2458" i="52" s="1"/>
  <c r="H2457" i="52"/>
  <c r="I2457" i="52" s="1"/>
  <c r="H2456" i="52"/>
  <c r="I2456" i="52" s="1"/>
  <c r="H2455" i="52"/>
  <c r="I2455" i="52" s="1"/>
  <c r="H2454" i="52"/>
  <c r="I2454" i="52" s="1"/>
  <c r="H2450" i="52"/>
  <c r="I2450" i="52" s="1"/>
  <c r="H2445" i="52"/>
  <c r="I2445" i="52" s="1"/>
  <c r="H2444" i="52"/>
  <c r="I2444" i="52" s="1"/>
  <c r="H2443" i="52"/>
  <c r="I2443" i="52" s="1"/>
  <c r="H2442" i="52"/>
  <c r="I2442" i="52" s="1"/>
  <c r="H2437" i="52"/>
  <c r="I2437" i="52" s="1"/>
  <c r="H2436" i="52"/>
  <c r="I2436" i="52" s="1"/>
  <c r="H2435" i="52"/>
  <c r="I2435" i="52" s="1"/>
  <c r="H2434" i="52"/>
  <c r="I2434" i="52" s="1"/>
  <c r="H2433" i="52"/>
  <c r="I2433" i="52" s="1"/>
  <c r="H2432" i="52"/>
  <c r="I2432" i="52" s="1"/>
  <c r="H2429" i="52"/>
  <c r="I2429" i="52" s="1"/>
  <c r="H2424" i="52"/>
  <c r="I2424" i="52" s="1"/>
  <c r="H2423" i="52"/>
  <c r="I2423" i="52" s="1"/>
  <c r="H2422" i="52"/>
  <c r="I2422" i="52" s="1"/>
  <c r="H2421" i="52"/>
  <c r="I2421" i="52" s="1"/>
  <c r="H2420" i="52"/>
  <c r="I2420" i="52" s="1"/>
  <c r="H2419" i="52"/>
  <c r="I2419" i="52" s="1"/>
  <c r="H2418" i="52"/>
  <c r="I2418" i="52" s="1"/>
  <c r="H2413" i="52"/>
  <c r="I2413" i="52" s="1"/>
  <c r="H2412" i="52"/>
  <c r="I2412" i="52" s="1"/>
  <c r="H2411" i="52"/>
  <c r="I2411" i="52" s="1"/>
  <c r="H2410" i="52"/>
  <c r="I2410" i="52" s="1"/>
  <c r="H2409" i="52"/>
  <c r="I2409" i="52" s="1"/>
  <c r="H2408" i="52"/>
  <c r="I2408" i="52" s="1"/>
  <c r="H2407" i="52"/>
  <c r="I2407" i="52" s="1"/>
  <c r="H2402" i="52"/>
  <c r="I2402" i="52" s="1"/>
  <c r="H2401" i="52"/>
  <c r="I2401" i="52" s="1"/>
  <c r="H2400" i="52"/>
  <c r="I2400" i="52" s="1"/>
  <c r="H2399" i="52"/>
  <c r="I2399" i="52" s="1"/>
  <c r="H2398" i="52"/>
  <c r="I2398" i="52" s="1"/>
  <c r="H2393" i="52"/>
  <c r="I2393" i="52" s="1"/>
  <c r="H2392" i="52"/>
  <c r="I2392" i="52" s="1"/>
  <c r="H2391" i="52"/>
  <c r="I2391" i="52" s="1"/>
  <c r="H2390" i="52"/>
  <c r="I2390" i="52" s="1"/>
  <c r="H2385" i="52"/>
  <c r="I2385" i="52" s="1"/>
  <c r="H2384" i="52"/>
  <c r="I2384" i="52" s="1"/>
  <c r="H2383" i="52"/>
  <c r="I2383" i="52" s="1"/>
  <c r="H2382" i="52"/>
  <c r="I2382" i="52" s="1"/>
  <c r="H2381" i="52"/>
  <c r="I2381" i="52" s="1"/>
  <c r="H2376" i="52"/>
  <c r="I2376" i="52" s="1"/>
  <c r="H2375" i="52"/>
  <c r="I2375" i="52" s="1"/>
  <c r="H2374" i="52"/>
  <c r="I2374" i="52" s="1"/>
  <c r="H2369" i="52"/>
  <c r="I2369" i="52" s="1"/>
  <c r="H2368" i="52"/>
  <c r="I2368" i="52" s="1"/>
  <c r="H2366" i="52"/>
  <c r="I2366" i="52" s="1"/>
  <c r="H2365" i="52"/>
  <c r="I2365" i="52" s="1"/>
  <c r="H2364" i="52"/>
  <c r="I2364" i="52" s="1"/>
  <c r="H2363" i="52"/>
  <c r="I2363" i="52" s="1"/>
  <c r="H2362" i="52"/>
  <c r="I2362" i="52" s="1"/>
  <c r="H2357" i="52"/>
  <c r="I2357" i="52" s="1"/>
  <c r="H2352" i="52"/>
  <c r="I2352" i="52" s="1"/>
  <c r="H2351" i="52"/>
  <c r="I2351" i="52" s="1"/>
  <c r="H2350" i="52"/>
  <c r="I2350" i="52" s="1"/>
  <c r="H2349" i="52"/>
  <c r="I2349" i="52" s="1"/>
  <c r="H2348" i="52"/>
  <c r="I2348" i="52" s="1"/>
  <c r="H2347" i="52"/>
  <c r="I2347" i="52" s="1"/>
  <c r="H2346" i="52"/>
  <c r="I2346" i="52" s="1"/>
  <c r="H2341" i="52"/>
  <c r="I2341" i="52" s="1"/>
  <c r="H2340" i="52"/>
  <c r="I2340" i="52" s="1"/>
  <c r="H2339" i="52"/>
  <c r="I2339" i="52" s="1"/>
  <c r="H2334" i="52"/>
  <c r="I2334" i="52" s="1"/>
  <c r="H2333" i="52"/>
  <c r="I2333" i="52" s="1"/>
  <c r="H2332" i="52"/>
  <c r="I2332" i="52" s="1"/>
  <c r="H2327" i="52"/>
  <c r="I2327" i="52" s="1"/>
  <c r="H2326" i="52"/>
  <c r="I2326" i="52" s="1"/>
  <c r="H2325" i="52"/>
  <c r="I2325" i="52" s="1"/>
  <c r="H2320" i="52"/>
  <c r="I2320" i="52" s="1"/>
  <c r="H2319" i="52"/>
  <c r="I2319" i="52" s="1"/>
  <c r="H2318" i="52"/>
  <c r="I2318" i="52" s="1"/>
  <c r="H2317" i="52"/>
  <c r="I2317" i="52" s="1"/>
  <c r="H2316" i="52"/>
  <c r="I2316" i="52" s="1"/>
  <c r="H2311" i="52"/>
  <c r="I2311" i="52" s="1"/>
  <c r="H2310" i="52"/>
  <c r="I2310" i="52" s="1"/>
  <c r="H2309" i="52"/>
  <c r="I2309" i="52" s="1"/>
  <c r="H2308" i="52"/>
  <c r="I2308" i="52" s="1"/>
  <c r="H2307" i="52"/>
  <c r="I2307" i="52" s="1"/>
  <c r="H2306" i="52"/>
  <c r="I2306" i="52" s="1"/>
  <c r="H2305" i="52"/>
  <c r="I2305" i="52" s="1"/>
  <c r="H2300" i="52"/>
  <c r="I2300" i="52" s="1"/>
  <c r="H2299" i="52"/>
  <c r="I2299" i="52" s="1"/>
  <c r="H2298" i="52"/>
  <c r="I2298" i="52" s="1"/>
  <c r="H2293" i="52"/>
  <c r="I2293" i="52" s="1"/>
  <c r="H2292" i="52"/>
  <c r="I2292" i="52" s="1"/>
  <c r="H2291" i="52"/>
  <c r="I2291" i="52" s="1"/>
  <c r="H2290" i="52"/>
  <c r="I2290" i="52" s="1"/>
  <c r="H2285" i="52"/>
  <c r="I2285" i="52" s="1"/>
  <c r="H2284" i="52"/>
  <c r="I2284" i="52" s="1"/>
  <c r="H2283" i="52"/>
  <c r="I2283" i="52" s="1"/>
  <c r="H2282" i="52"/>
  <c r="I2282" i="52" s="1"/>
  <c r="H2281" i="52"/>
  <c r="I2281" i="52" s="1"/>
  <c r="H2276" i="52"/>
  <c r="I2276" i="52" s="1"/>
  <c r="H2275" i="52"/>
  <c r="I2275" i="52" s="1"/>
  <c r="H2270" i="52"/>
  <c r="I2270" i="52" s="1"/>
  <c r="H2269" i="52"/>
  <c r="I2269" i="52" s="1"/>
  <c r="H2268" i="52"/>
  <c r="I2268" i="52" s="1"/>
  <c r="H2267" i="52"/>
  <c r="I2267" i="52" s="1"/>
  <c r="H2262" i="52"/>
  <c r="I2262" i="52" s="1"/>
  <c r="H2261" i="52"/>
  <c r="I2261" i="52" s="1"/>
  <c r="H2260" i="52"/>
  <c r="I2260" i="52" s="1"/>
  <c r="H2255" i="52"/>
  <c r="I2255" i="52" s="1"/>
  <c r="H2254" i="52"/>
  <c r="I2254" i="52" s="1"/>
  <c r="H2253" i="52"/>
  <c r="I2253" i="52" s="1"/>
  <c r="H2252" i="52"/>
  <c r="I2252" i="52" s="1"/>
  <c r="H2247" i="52"/>
  <c r="I2247" i="52" s="1"/>
  <c r="H2246" i="52"/>
  <c r="I2246" i="52" s="1"/>
  <c r="H2245" i="52"/>
  <c r="I2245" i="52" s="1"/>
  <c r="H2244" i="52"/>
  <c r="I2244" i="52" s="1"/>
  <c r="H2239" i="52"/>
  <c r="I2239" i="52" s="1"/>
  <c r="H2238" i="52"/>
  <c r="I2238" i="52" s="1"/>
  <c r="H2237" i="52"/>
  <c r="I2237" i="52" s="1"/>
  <c r="H2236" i="52"/>
  <c r="I2236" i="52" s="1"/>
  <c r="H2231" i="52"/>
  <c r="I2231" i="52" s="1"/>
  <c r="H2230" i="52"/>
  <c r="I2230" i="52" s="1"/>
  <c r="H2229" i="52"/>
  <c r="I2229" i="52" s="1"/>
  <c r="H2224" i="52"/>
  <c r="I2224" i="52" s="1"/>
  <c r="H2223" i="52"/>
  <c r="I2223" i="52" s="1"/>
  <c r="H2222" i="52"/>
  <c r="I2222" i="52" s="1"/>
  <c r="H2221" i="52"/>
  <c r="I2221" i="52" s="1"/>
  <c r="H2220" i="52"/>
  <c r="I2220" i="52" s="1"/>
  <c r="H2215" i="52"/>
  <c r="I2215" i="52" s="1"/>
  <c r="H2214" i="52"/>
  <c r="I2214" i="52" s="1"/>
  <c r="H2213" i="52"/>
  <c r="I2213" i="52" s="1"/>
  <c r="H2212" i="52"/>
  <c r="I2212" i="52" s="1"/>
  <c r="H2211" i="52"/>
  <c r="I2211" i="52" s="1"/>
  <c r="H2206" i="52"/>
  <c r="I2206" i="52" s="1"/>
  <c r="H2205" i="52"/>
  <c r="I2205" i="52" s="1"/>
  <c r="H2204" i="52"/>
  <c r="I2204" i="52" s="1"/>
  <c r="H2203" i="52"/>
  <c r="I2203" i="52" s="1"/>
  <c r="H2202" i="52"/>
  <c r="I2202" i="52" s="1"/>
  <c r="H2197" i="52"/>
  <c r="I2197" i="52" s="1"/>
  <c r="H2196" i="52"/>
  <c r="I2196" i="52" s="1"/>
  <c r="H2195" i="52"/>
  <c r="I2195" i="52" s="1"/>
  <c r="H2194" i="52"/>
  <c r="I2194" i="52" s="1"/>
  <c r="H2193" i="52"/>
  <c r="I2193" i="52" s="1"/>
  <c r="H2188" i="52"/>
  <c r="I2188" i="52" s="1"/>
  <c r="H2187" i="52"/>
  <c r="I2187" i="52" s="1"/>
  <c r="H2186" i="52"/>
  <c r="I2186" i="52" s="1"/>
  <c r="H2185" i="52"/>
  <c r="I2185" i="52" s="1"/>
  <c r="H2184" i="52"/>
  <c r="I2184" i="52" s="1"/>
  <c r="H2183" i="52"/>
  <c r="I2183" i="52" s="1"/>
  <c r="H2173" i="52"/>
  <c r="I2173" i="52" s="1"/>
  <c r="H2168" i="52"/>
  <c r="I2168" i="52" s="1"/>
  <c r="H2167" i="52"/>
  <c r="I2167" i="52" s="1"/>
  <c r="H2166" i="52"/>
  <c r="I2166" i="52" s="1"/>
  <c r="H2165" i="52"/>
  <c r="I2165" i="52" s="1"/>
  <c r="H2160" i="52"/>
  <c r="I2160" i="52" s="1"/>
  <c r="H2159" i="52"/>
  <c r="I2159" i="52" s="1"/>
  <c r="H2158" i="52"/>
  <c r="I2158" i="52" s="1"/>
  <c r="H2157" i="52"/>
  <c r="I2157" i="52" s="1"/>
  <c r="H2152" i="52"/>
  <c r="I2152" i="52" s="1"/>
  <c r="H2151" i="52"/>
  <c r="I2151" i="52" s="1"/>
  <c r="H2150" i="52"/>
  <c r="I2150" i="52" s="1"/>
  <c r="H2149" i="52"/>
  <c r="I2149" i="52" s="1"/>
  <c r="H2144" i="52"/>
  <c r="I2144" i="52" s="1"/>
  <c r="H2143" i="52"/>
  <c r="I2143" i="52" s="1"/>
  <c r="H2142" i="52"/>
  <c r="I2142" i="52" s="1"/>
  <c r="H2141" i="52"/>
  <c r="I2141" i="52" s="1"/>
  <c r="H2140" i="52"/>
  <c r="I2140" i="52" s="1"/>
  <c r="H2135" i="52"/>
  <c r="I2135" i="52" s="1"/>
  <c r="H2134" i="52"/>
  <c r="I2134" i="52" s="1"/>
  <c r="H2133" i="52"/>
  <c r="I2133" i="52" s="1"/>
  <c r="H2132" i="52"/>
  <c r="I2132" i="52" s="1"/>
  <c r="H2131" i="52"/>
  <c r="I2131" i="52" s="1"/>
  <c r="H2126" i="52"/>
  <c r="I2126" i="52" s="1"/>
  <c r="H2125" i="52"/>
  <c r="I2125" i="52" s="1"/>
  <c r="H2124" i="52"/>
  <c r="I2124" i="52" s="1"/>
  <c r="H2123" i="52"/>
  <c r="I2123" i="52" s="1"/>
  <c r="H2122" i="52"/>
  <c r="I2122" i="52" s="1"/>
  <c r="H2121" i="52"/>
  <c r="I2121" i="52" s="1"/>
  <c r="H2116" i="52"/>
  <c r="I2116" i="52" s="1"/>
  <c r="H2115" i="52"/>
  <c r="I2115" i="52" s="1"/>
  <c r="H2114" i="52"/>
  <c r="I2114" i="52" s="1"/>
  <c r="H2113" i="52"/>
  <c r="I2113" i="52" s="1"/>
  <c r="H2108" i="52"/>
  <c r="I2108" i="52" s="1"/>
  <c r="H2107" i="52"/>
  <c r="I2107" i="52" s="1"/>
  <c r="H2106" i="52"/>
  <c r="I2106" i="52" s="1"/>
  <c r="H2105" i="52"/>
  <c r="I2105" i="52" s="1"/>
  <c r="H2104" i="52"/>
  <c r="I2104" i="52" s="1"/>
  <c r="H2099" i="52"/>
  <c r="I2099" i="52" s="1"/>
  <c r="H2098" i="52"/>
  <c r="I2098" i="52" s="1"/>
  <c r="H2097" i="52"/>
  <c r="I2097" i="52" s="1"/>
  <c r="H2096" i="52"/>
  <c r="I2096" i="52" s="1"/>
  <c r="H2095" i="52"/>
  <c r="I2095" i="52" s="1"/>
  <c r="H2090" i="52"/>
  <c r="I2090" i="52" s="1"/>
  <c r="H2089" i="52"/>
  <c r="I2089" i="52" s="1"/>
  <c r="H2088" i="52"/>
  <c r="I2088" i="52" s="1"/>
  <c r="H2087" i="52"/>
  <c r="I2087" i="52" s="1"/>
  <c r="H2086" i="52"/>
  <c r="I2086" i="52" s="1"/>
  <c r="H2085" i="52"/>
  <c r="I2085" i="52" s="1"/>
  <c r="H2080" i="52"/>
  <c r="I2080" i="52" s="1"/>
  <c r="H2079" i="52"/>
  <c r="I2079" i="52" s="1"/>
  <c r="H2078" i="52"/>
  <c r="I2078" i="52" s="1"/>
  <c r="H2077" i="52"/>
  <c r="I2077" i="52" s="1"/>
  <c r="H2076" i="52"/>
  <c r="I2076" i="52" s="1"/>
  <c r="H2071" i="52"/>
  <c r="I2071" i="52" s="1"/>
  <c r="H2070" i="52"/>
  <c r="I2070" i="52" s="1"/>
  <c r="H2069" i="52"/>
  <c r="I2069" i="52" s="1"/>
  <c r="H2068" i="52"/>
  <c r="I2068" i="52" s="1"/>
  <c r="H2067" i="52"/>
  <c r="I2067" i="52" s="1"/>
  <c r="H2062" i="52"/>
  <c r="I2062" i="52" s="1"/>
  <c r="H2061" i="52"/>
  <c r="I2061" i="52" s="1"/>
  <c r="H2060" i="52"/>
  <c r="I2060" i="52" s="1"/>
  <c r="H2059" i="52"/>
  <c r="I2059" i="52" s="1"/>
  <c r="H2058" i="52"/>
  <c r="I2058" i="52" s="1"/>
  <c r="H2053" i="52"/>
  <c r="I2053" i="52" s="1"/>
  <c r="H2052" i="52"/>
  <c r="I2052" i="52" s="1"/>
  <c r="H2051" i="52"/>
  <c r="I2051" i="52" s="1"/>
  <c r="H2050" i="52"/>
  <c r="I2050" i="52" s="1"/>
  <c r="H2048" i="52"/>
  <c r="I2048" i="52" s="1"/>
  <c r="H2047" i="52"/>
  <c r="I2047" i="52" s="1"/>
  <c r="H2046" i="52"/>
  <c r="I2046" i="52" s="1"/>
  <c r="H2041" i="52"/>
  <c r="I2041" i="52" s="1"/>
  <c r="H2040" i="52"/>
  <c r="I2040" i="52" s="1"/>
  <c r="H2039" i="52"/>
  <c r="I2039" i="52" s="1"/>
  <c r="H2038" i="52"/>
  <c r="I2038" i="52" s="1"/>
  <c r="H2037" i="52"/>
  <c r="I2037" i="52" s="1"/>
  <c r="H2036" i="52"/>
  <c r="I2036" i="52" s="1"/>
  <c r="H2031" i="52"/>
  <c r="I2031" i="52" s="1"/>
  <c r="H2030" i="52"/>
  <c r="I2030" i="52" s="1"/>
  <c r="H2029" i="52"/>
  <c r="I2029" i="52" s="1"/>
  <c r="H2024" i="52"/>
  <c r="I2024" i="52" s="1"/>
  <c r="H2023" i="52"/>
  <c r="I2023" i="52" s="1"/>
  <c r="H2022" i="52"/>
  <c r="I2022" i="52" s="1"/>
  <c r="H2017" i="52"/>
  <c r="I2017" i="52" s="1"/>
  <c r="H2016" i="52"/>
  <c r="I2016" i="52" s="1"/>
  <c r="H2015" i="52"/>
  <c r="I2015" i="52" s="1"/>
  <c r="H2014" i="52"/>
  <c r="I2014" i="52" s="1"/>
  <c r="H2013" i="52"/>
  <c r="I2013" i="52" s="1"/>
  <c r="H2012" i="52"/>
  <c r="I2012" i="52" s="1"/>
  <c r="H2007" i="52"/>
  <c r="I2007" i="52" s="1"/>
  <c r="H2006" i="52"/>
  <c r="I2006" i="52" s="1"/>
  <c r="H2005" i="52"/>
  <c r="I2005" i="52" s="1"/>
  <c r="A1995" i="52"/>
  <c r="B1995" i="52" s="1"/>
  <c r="A1987" i="52"/>
  <c r="I1987" i="52" s="1"/>
  <c r="A1979" i="52"/>
  <c r="I1979" i="52" s="1"/>
  <c r="A1971" i="52"/>
  <c r="I1971" i="52" s="1"/>
  <c r="A1963" i="52"/>
  <c r="I1963" i="52" s="1"/>
  <c r="A1955" i="52"/>
  <c r="I1955" i="52" s="1"/>
  <c r="A1947" i="52"/>
  <c r="I1947" i="52" s="1"/>
  <c r="A1939" i="52"/>
  <c r="I1939" i="52" s="1"/>
  <c r="A1930" i="52"/>
  <c r="B1930" i="52" s="1"/>
  <c r="A1921" i="52"/>
  <c r="B1921" i="52" s="1"/>
  <c r="A1913" i="52"/>
  <c r="I1913" i="52" s="1"/>
  <c r="A1907" i="52"/>
  <c r="I1907" i="52" s="1"/>
  <c r="A1901" i="52"/>
  <c r="I1901" i="52" s="1"/>
  <c r="A1894" i="52"/>
  <c r="B1894" i="52" s="1"/>
  <c r="A1885" i="52"/>
  <c r="B1885" i="52" s="1"/>
  <c r="A1878" i="52"/>
  <c r="I1878" i="52" s="1"/>
  <c r="A1870" i="52"/>
  <c r="I1870" i="52" s="1"/>
  <c r="A1860" i="52"/>
  <c r="B1860" i="52" s="1"/>
  <c r="A1850" i="52"/>
  <c r="I1850" i="52" s="1"/>
  <c r="A1840" i="52"/>
  <c r="I1840" i="52" s="1"/>
  <c r="A1830" i="52"/>
  <c r="I1830" i="52" s="1"/>
  <c r="A1821" i="52"/>
  <c r="I1821" i="52" s="1"/>
  <c r="A1811" i="52"/>
  <c r="B1811" i="52" s="1"/>
  <c r="A1802" i="52"/>
  <c r="I1802" i="52" s="1"/>
  <c r="A1792" i="52"/>
  <c r="I1792" i="52" s="1"/>
  <c r="A1782" i="52"/>
  <c r="I1782" i="52" s="1"/>
  <c r="A1772" i="52"/>
  <c r="I1772" i="52" s="1"/>
  <c r="A1764" i="52"/>
  <c r="I1764" i="52" s="1"/>
  <c r="A1756" i="52"/>
  <c r="I1756" i="52" s="1"/>
  <c r="A1748" i="52"/>
  <c r="I1748" i="52" s="1"/>
  <c r="A1740" i="52"/>
  <c r="I1740" i="52" s="1"/>
  <c r="A1732" i="52"/>
  <c r="I1732" i="52" s="1"/>
  <c r="A1724" i="52"/>
  <c r="B1724" i="52" s="1"/>
  <c r="A1716" i="52"/>
  <c r="B1716" i="52" s="1"/>
  <c r="A1706" i="52"/>
  <c r="I1706" i="52" s="1"/>
  <c r="A1696" i="52"/>
  <c r="I1696" i="52" s="1"/>
  <c r="A1687" i="52"/>
  <c r="I1687" i="52" s="1"/>
  <c r="A1677" i="52"/>
  <c r="I1677" i="52" s="1"/>
  <c r="A1667" i="52"/>
  <c r="B1667" i="52" s="1"/>
  <c r="A1657" i="52"/>
  <c r="I1657" i="52" s="1"/>
  <c r="A1647" i="52"/>
  <c r="I1647" i="52" s="1"/>
  <c r="A1640" i="52"/>
  <c r="I1640" i="52" s="1"/>
  <c r="A1632" i="52"/>
  <c r="B1632" i="52" s="1"/>
  <c r="A1624" i="52"/>
  <c r="B1624" i="52" s="1"/>
  <c r="A1616" i="52"/>
  <c r="I1616" i="52" s="1"/>
  <c r="A1609" i="52"/>
  <c r="I1609" i="52" s="1"/>
  <c r="A1601" i="52"/>
  <c r="I1601" i="52" s="1"/>
  <c r="A1594" i="52"/>
  <c r="I1594" i="52" s="1"/>
  <c r="A1587" i="52"/>
  <c r="I1587" i="52" s="1"/>
  <c r="A1581" i="52"/>
  <c r="I1581" i="52" s="1"/>
  <c r="A1573" i="52"/>
  <c r="I1573" i="52" s="1"/>
  <c r="A1565" i="52"/>
  <c r="I1565" i="52" s="1"/>
  <c r="A1558" i="52"/>
  <c r="I1558" i="52" s="1"/>
  <c r="A1551" i="52"/>
  <c r="B1551" i="52" s="1"/>
  <c r="A1543" i="52"/>
  <c r="I1543" i="52" s="1"/>
  <c r="A1536" i="52"/>
  <c r="B1536" i="52" s="1"/>
  <c r="A1528" i="52"/>
  <c r="I1528" i="52" s="1"/>
  <c r="A1521" i="52"/>
  <c r="B1521" i="52" s="1"/>
  <c r="A1514" i="52"/>
  <c r="B1514" i="52" s="1"/>
  <c r="A1507" i="52"/>
  <c r="I1507" i="52" s="1"/>
  <c r="A1500" i="52"/>
  <c r="I1500" i="52" s="1"/>
  <c r="A1493" i="52"/>
  <c r="I1493" i="52" s="1"/>
  <c r="A1478" i="52"/>
  <c r="I1478" i="52" s="1"/>
  <c r="H1482" i="52"/>
  <c r="I1482" i="52" s="1"/>
  <c r="H1483" i="52"/>
  <c r="I1483" i="52" s="1"/>
  <c r="H1484" i="52"/>
  <c r="I1484" i="52" s="1"/>
  <c r="H1485" i="52"/>
  <c r="I1485" i="52" s="1"/>
  <c r="A1468" i="52"/>
  <c r="I1468" i="52" s="1"/>
  <c r="A1461" i="52"/>
  <c r="B1461" i="52" s="1"/>
  <c r="A1454" i="52"/>
  <c r="B1454" i="52" s="1"/>
  <c r="A1442" i="52"/>
  <c r="B1442" i="52" s="1"/>
  <c r="A1448" i="52"/>
  <c r="B1448" i="52" s="1"/>
  <c r="A1435" i="52"/>
  <c r="B1435" i="52" s="1"/>
  <c r="A1428" i="52"/>
  <c r="B1428" i="52" s="1"/>
  <c r="A1422" i="52"/>
  <c r="I1422" i="52" s="1"/>
  <c r="A1415" i="52"/>
  <c r="B1415" i="52" s="1"/>
  <c r="A1406" i="52"/>
  <c r="B1406" i="52" s="1"/>
  <c r="A1398" i="52"/>
  <c r="I1398" i="52" s="1"/>
  <c r="A1390" i="52"/>
  <c r="I1390" i="52" s="1"/>
  <c r="A1381" i="52"/>
  <c r="B1381" i="52" s="1"/>
  <c r="A1374" i="52"/>
  <c r="B1374" i="52" s="1"/>
  <c r="A1367" i="52"/>
  <c r="B1367" i="52" s="1"/>
  <c r="A1359" i="52"/>
  <c r="I1359" i="52" s="1"/>
  <c r="A1351" i="52"/>
  <c r="I1351" i="52" s="1"/>
  <c r="A1343" i="52"/>
  <c r="I1343" i="52" s="1"/>
  <c r="A1336" i="52"/>
  <c r="B1336" i="52" s="1"/>
  <c r="A1329" i="52"/>
  <c r="B1329" i="52" s="1"/>
  <c r="A1322" i="52"/>
  <c r="I1322" i="52" s="1"/>
  <c r="A1315" i="52"/>
  <c r="B1315" i="52" s="1"/>
  <c r="A1308" i="52"/>
  <c r="B1308" i="52" s="1"/>
  <c r="A1300" i="52"/>
  <c r="I1300" i="52" s="1"/>
  <c r="A1292" i="52"/>
  <c r="I1292" i="52" s="1"/>
  <c r="A1284" i="52"/>
  <c r="I1284" i="52" s="1"/>
  <c r="A1277" i="52"/>
  <c r="B1277" i="52" s="1"/>
  <c r="A1270" i="52"/>
  <c r="B1270" i="52" s="1"/>
  <c r="A1262" i="52"/>
  <c r="I1262" i="52" s="1"/>
  <c r="A1254" i="52"/>
  <c r="I1254" i="52" s="1"/>
  <c r="A1246" i="52"/>
  <c r="I1246" i="52" s="1"/>
  <c r="A1238" i="52"/>
  <c r="I1238" i="52" s="1"/>
  <c r="A1232" i="52"/>
  <c r="I1232" i="52" s="1"/>
  <c r="A1226" i="52"/>
  <c r="B1226" i="52" s="1"/>
  <c r="A1220" i="52"/>
  <c r="I1220" i="52" s="1"/>
  <c r="A1214" i="52"/>
  <c r="I1214" i="52" s="1"/>
  <c r="A1207" i="52"/>
  <c r="B1207" i="52" s="1"/>
  <c r="A1199" i="52"/>
  <c r="I1199" i="52" s="1"/>
  <c r="A1191" i="52"/>
  <c r="I1191" i="52" s="1"/>
  <c r="A1185" i="52"/>
  <c r="I1185" i="52" s="1"/>
  <c r="A1178" i="52"/>
  <c r="B1178" i="52" s="1"/>
  <c r="A1172" i="52"/>
  <c r="I1172" i="52" s="1"/>
  <c r="A1166" i="52"/>
  <c r="I1166" i="52" s="1"/>
  <c r="A1159" i="52"/>
  <c r="B1159" i="52" s="1"/>
  <c r="A1152" i="52"/>
  <c r="B1152" i="52" s="1"/>
  <c r="A1144" i="52"/>
  <c r="I1144" i="52" s="1"/>
  <c r="A1136" i="52"/>
  <c r="I1136" i="52" s="1"/>
  <c r="A1128" i="52"/>
  <c r="I1128" i="52" s="1"/>
  <c r="A1120" i="52"/>
  <c r="B1120" i="52" s="1"/>
  <c r="A1112" i="52"/>
  <c r="B1112" i="52" s="1"/>
  <c r="A1104" i="52"/>
  <c r="I1104" i="52" s="1"/>
  <c r="A1096" i="52"/>
  <c r="I1096" i="52" s="1"/>
  <c r="A1088" i="52"/>
  <c r="I1088" i="52" s="1"/>
  <c r="A1080" i="52"/>
  <c r="I1080" i="52" s="1"/>
  <c r="A1072" i="52"/>
  <c r="I1072" i="52" s="1"/>
  <c r="A1064" i="52"/>
  <c r="I1064" i="52" s="1"/>
  <c r="A1056" i="52"/>
  <c r="I1056" i="52" s="1"/>
  <c r="A1046" i="52"/>
  <c r="I1046" i="52" s="1"/>
  <c r="A1039" i="52"/>
  <c r="B1039" i="52" s="1"/>
  <c r="A1032" i="52"/>
  <c r="B1032" i="52" s="1"/>
  <c r="A1025" i="52"/>
  <c r="B1025" i="52" s="1"/>
  <c r="A1008" i="52"/>
  <c r="B1008" i="52" s="1"/>
  <c r="H1011" i="52"/>
  <c r="I1011" i="52" s="1"/>
  <c r="H1012" i="52"/>
  <c r="I1012" i="52" s="1"/>
  <c r="H1013" i="52"/>
  <c r="I1013" i="52" s="1"/>
  <c r="H1014" i="52"/>
  <c r="I1014" i="52" s="1"/>
  <c r="H1015" i="52"/>
  <c r="I1015" i="52" s="1"/>
  <c r="H1016" i="52"/>
  <c r="I1016" i="52" s="1"/>
  <c r="A1001" i="52"/>
  <c r="B1001" i="52" s="1"/>
  <c r="A993" i="52"/>
  <c r="I993" i="52" s="1"/>
  <c r="A986" i="52"/>
  <c r="B986" i="52" s="1"/>
  <c r="A979" i="52"/>
  <c r="B979" i="52" s="1"/>
  <c r="A972" i="52"/>
  <c r="B972" i="52" s="1"/>
  <c r="A965" i="52"/>
  <c r="B965" i="52" s="1"/>
  <c r="A958" i="52"/>
  <c r="B958" i="52" s="1"/>
  <c r="A951" i="52"/>
  <c r="B951" i="52" s="1"/>
  <c r="A944" i="52"/>
  <c r="B944" i="52" s="1"/>
  <c r="A936" i="52"/>
  <c r="I936" i="52" s="1"/>
  <c r="A931" i="52"/>
  <c r="B931" i="52" s="1"/>
  <c r="A925" i="52"/>
  <c r="I925" i="52" s="1"/>
  <c r="A920" i="52"/>
  <c r="I920" i="52" s="1"/>
  <c r="A911" i="52"/>
  <c r="I911" i="52" s="1"/>
  <c r="A902" i="52"/>
  <c r="B902" i="52" s="1"/>
  <c r="A892" i="52"/>
  <c r="B892" i="52" s="1"/>
  <c r="A884" i="52"/>
  <c r="I884" i="52" s="1"/>
  <c r="A876" i="52"/>
  <c r="I876" i="52" s="1"/>
  <c r="A866" i="52"/>
  <c r="B866" i="52" s="1"/>
  <c r="A861" i="52"/>
  <c r="I861" i="52" s="1"/>
  <c r="A853" i="52"/>
  <c r="I853" i="52" s="1"/>
  <c r="A847" i="52"/>
  <c r="I847" i="52" s="1"/>
  <c r="A838" i="52"/>
  <c r="B838" i="52" s="1"/>
  <c r="A829" i="52"/>
  <c r="B829" i="52" s="1"/>
  <c r="A822" i="52"/>
  <c r="B822" i="52" s="1"/>
  <c r="A815" i="52"/>
  <c r="B815" i="52" s="1"/>
  <c r="A806" i="52"/>
  <c r="B806" i="52" s="1"/>
  <c r="A799" i="52"/>
  <c r="I799" i="52" s="1"/>
  <c r="A792" i="52"/>
  <c r="I792" i="52" s="1"/>
  <c r="A785" i="52"/>
  <c r="B785" i="52" s="1"/>
  <c r="A778" i="52"/>
  <c r="I778" i="52" s="1"/>
  <c r="A771" i="52"/>
  <c r="B771" i="52" s="1"/>
  <c r="A762" i="52"/>
  <c r="B762" i="52" s="1"/>
  <c r="A753" i="52"/>
  <c r="B753" i="52" s="1"/>
  <c r="A744" i="52"/>
  <c r="I744" i="52" s="1"/>
  <c r="A735" i="52"/>
  <c r="B735" i="52" s="1"/>
  <c r="A728" i="52"/>
  <c r="B728" i="52" s="1"/>
  <c r="A721" i="52"/>
  <c r="B721" i="52" s="1"/>
  <c r="A716" i="52"/>
  <c r="B716" i="52" s="1"/>
  <c r="A706" i="52"/>
  <c r="I706" i="52" s="1"/>
  <c r="A696" i="52"/>
  <c r="I696" i="52" s="1"/>
  <c r="A684" i="52"/>
  <c r="B684" i="52" s="1"/>
  <c r="H688" i="52"/>
  <c r="I688" i="52" s="1"/>
  <c r="A672" i="52"/>
  <c r="I672" i="52" s="1"/>
  <c r="H676" i="52"/>
  <c r="I676" i="52" s="1"/>
  <c r="A660" i="52"/>
  <c r="I660" i="52" s="1"/>
  <c r="H664" i="52"/>
  <c r="I664" i="52" s="1"/>
  <c r="A648" i="52"/>
  <c r="I648" i="52" s="1"/>
  <c r="H653" i="52"/>
  <c r="I653" i="52" s="1"/>
  <c r="A640" i="52"/>
  <c r="B640" i="52" s="1"/>
  <c r="A630" i="52"/>
  <c r="I630" i="52" s="1"/>
  <c r="A621" i="52"/>
  <c r="B621" i="52" s="1"/>
  <c r="A612" i="52"/>
  <c r="B612" i="52" s="1"/>
  <c r="A601" i="52"/>
  <c r="I601" i="52" s="1"/>
  <c r="A592" i="52"/>
  <c r="I592" i="52" s="1"/>
  <c r="A583" i="52"/>
  <c r="I583" i="52" s="1"/>
  <c r="A571" i="52"/>
  <c r="I571" i="52" s="1"/>
  <c r="H578" i="52"/>
  <c r="I578" i="52" s="1"/>
  <c r="A557" i="52"/>
  <c r="B557" i="52" s="1"/>
  <c r="H563" i="52"/>
  <c r="I563" i="52" s="1"/>
  <c r="H564" i="52"/>
  <c r="I564" i="52" s="1"/>
  <c r="H565" i="52"/>
  <c r="I565" i="52" s="1"/>
  <c r="A548" i="52"/>
  <c r="I548" i="52" s="1"/>
  <c r="A539" i="52"/>
  <c r="B539" i="52" s="1"/>
  <c r="A530" i="52"/>
  <c r="I530" i="52" s="1"/>
  <c r="A521" i="52"/>
  <c r="I521" i="52" s="1"/>
  <c r="A512" i="52"/>
  <c r="I512" i="52" s="1"/>
  <c r="A502" i="52"/>
  <c r="I502" i="52" s="1"/>
  <c r="A491" i="52"/>
  <c r="I491" i="52" s="1"/>
  <c r="A485" i="52"/>
  <c r="B485" i="52" s="1"/>
  <c r="A474" i="52"/>
  <c r="B474" i="52" s="1"/>
  <c r="A465" i="52"/>
  <c r="B465" i="52" s="1"/>
  <c r="A456" i="52"/>
  <c r="I456" i="52" s="1"/>
  <c r="A447" i="52"/>
  <c r="I447" i="52" s="1"/>
  <c r="A438" i="52"/>
  <c r="I438" i="52" s="1"/>
  <c r="A429" i="52"/>
  <c r="B429" i="52" s="1"/>
  <c r="A418" i="52"/>
  <c r="I418" i="52" s="1"/>
  <c r="A404" i="52"/>
  <c r="I404" i="52" s="1"/>
  <c r="H407" i="52"/>
  <c r="I407" i="52" s="1"/>
  <c r="H408" i="52"/>
  <c r="I408" i="52" s="1"/>
  <c r="H409" i="52"/>
  <c r="I409" i="52" s="1"/>
  <c r="A399" i="52"/>
  <c r="I399" i="52" s="1"/>
  <c r="A393" i="52"/>
  <c r="I393" i="52" s="1"/>
  <c r="A380" i="52"/>
  <c r="I380" i="52" s="1"/>
  <c r="H383" i="52"/>
  <c r="I383" i="52" s="1"/>
  <c r="H384" i="52"/>
  <c r="I384" i="52" s="1"/>
  <c r="H385" i="52"/>
  <c r="I385" i="52" s="1"/>
  <c r="H386" i="52"/>
  <c r="I386" i="52" s="1"/>
  <c r="A372" i="52"/>
  <c r="I372" i="52" s="1"/>
  <c r="A362" i="52"/>
  <c r="B362" i="52" s="1"/>
  <c r="A350" i="52"/>
  <c r="B350" i="52" s="1"/>
  <c r="H354" i="52"/>
  <c r="I354" i="52" s="1"/>
  <c r="A272" i="52"/>
  <c r="B272" i="52" s="1"/>
  <c r="H275" i="52"/>
  <c r="I275" i="52" s="1"/>
  <c r="H276" i="52"/>
  <c r="I276" i="52" s="1"/>
  <c r="H277" i="52"/>
  <c r="I277" i="52" s="1"/>
  <c r="H278" i="52"/>
  <c r="I278" i="52" s="1"/>
  <c r="H279" i="52"/>
  <c r="I279" i="52" s="1"/>
  <c r="H280" i="52"/>
  <c r="I280" i="52" s="1"/>
  <c r="H281" i="52"/>
  <c r="I281" i="52" s="1"/>
  <c r="H282" i="52"/>
  <c r="I282" i="52" s="1"/>
  <c r="H283" i="52"/>
  <c r="I283" i="52" s="1"/>
  <c r="H284" i="52"/>
  <c r="I284" i="52" s="1"/>
  <c r="H285" i="52"/>
  <c r="I285" i="52" s="1"/>
  <c r="H286" i="52"/>
  <c r="I286" i="52" s="1"/>
  <c r="H287" i="52"/>
  <c r="I287" i="52" s="1"/>
  <c r="H288" i="52"/>
  <c r="I288" i="52" s="1"/>
  <c r="H289" i="52"/>
  <c r="I289" i="52" s="1"/>
  <c r="H290" i="52"/>
  <c r="I290" i="52" s="1"/>
  <c r="H291" i="52"/>
  <c r="I291" i="52" s="1"/>
  <c r="H292" i="52"/>
  <c r="I292" i="52" s="1"/>
  <c r="H293" i="52"/>
  <c r="I293" i="52" s="1"/>
  <c r="H294" i="52"/>
  <c r="I294" i="52" s="1"/>
  <c r="H295" i="52"/>
  <c r="I295" i="52" s="1"/>
  <c r="H296" i="52"/>
  <c r="I296" i="52" s="1"/>
  <c r="H297" i="52"/>
  <c r="I297" i="52" s="1"/>
  <c r="H298" i="52"/>
  <c r="I298" i="52" s="1"/>
  <c r="H299" i="52"/>
  <c r="I299" i="52" s="1"/>
  <c r="H300" i="52"/>
  <c r="I300" i="52" s="1"/>
  <c r="H301" i="52"/>
  <c r="I301" i="52" s="1"/>
  <c r="H302" i="52"/>
  <c r="I302" i="52" s="1"/>
  <c r="H303" i="52"/>
  <c r="I303" i="52" s="1"/>
  <c r="H304" i="52"/>
  <c r="I304" i="52" s="1"/>
  <c r="H305" i="52"/>
  <c r="I305" i="52" s="1"/>
  <c r="H306" i="52"/>
  <c r="I306" i="52" s="1"/>
  <c r="H307" i="52"/>
  <c r="I307" i="52" s="1"/>
  <c r="H308" i="52"/>
  <c r="I308" i="52" s="1"/>
  <c r="H309" i="52"/>
  <c r="I309" i="52" s="1"/>
  <c r="H310" i="52"/>
  <c r="I310" i="52" s="1"/>
  <c r="H311" i="52"/>
  <c r="I311" i="52" s="1"/>
  <c r="H312" i="52"/>
  <c r="I312" i="52" s="1"/>
  <c r="H313" i="52"/>
  <c r="I313" i="52" s="1"/>
  <c r="H314" i="52"/>
  <c r="I314" i="52" s="1"/>
  <c r="H315" i="52"/>
  <c r="I315" i="52" s="1"/>
  <c r="H316" i="52"/>
  <c r="I316" i="52" s="1"/>
  <c r="H317" i="52"/>
  <c r="I317" i="52" s="1"/>
  <c r="H318" i="52"/>
  <c r="I318" i="52" s="1"/>
  <c r="H319" i="52"/>
  <c r="I319" i="52" s="1"/>
  <c r="H320" i="52"/>
  <c r="I320" i="52" s="1"/>
  <c r="H321" i="52"/>
  <c r="I321" i="52" s="1"/>
  <c r="H322" i="52"/>
  <c r="I322" i="52" s="1"/>
  <c r="H323" i="52"/>
  <c r="I323" i="52" s="1"/>
  <c r="H324" i="52"/>
  <c r="I324" i="52" s="1"/>
  <c r="H325" i="52"/>
  <c r="I325" i="52" s="1"/>
  <c r="H326" i="52"/>
  <c r="I326" i="52" s="1"/>
  <c r="H327" i="52"/>
  <c r="I327" i="52" s="1"/>
  <c r="H328" i="52"/>
  <c r="I328" i="52" s="1"/>
  <c r="H329" i="52"/>
  <c r="I329" i="52" s="1"/>
  <c r="H330" i="52"/>
  <c r="I330" i="52" s="1"/>
  <c r="H331" i="52"/>
  <c r="I331" i="52" s="1"/>
  <c r="H332" i="52"/>
  <c r="I332" i="52" s="1"/>
  <c r="H333" i="52"/>
  <c r="I333" i="52" s="1"/>
  <c r="H334" i="52"/>
  <c r="I334" i="52" s="1"/>
  <c r="H335" i="52"/>
  <c r="I335" i="52" s="1"/>
  <c r="H336" i="52"/>
  <c r="I336" i="52" s="1"/>
  <c r="H337" i="52"/>
  <c r="I337" i="52" s="1"/>
  <c r="H338" i="52"/>
  <c r="I338" i="52" s="1"/>
  <c r="H339" i="52"/>
  <c r="I339" i="52" s="1"/>
  <c r="H340" i="52"/>
  <c r="I340" i="52" s="1"/>
  <c r="H341" i="52"/>
  <c r="I341" i="52" s="1"/>
  <c r="A225" i="52"/>
  <c r="I225" i="52" s="1"/>
  <c r="H228" i="52"/>
  <c r="I228" i="52" s="1"/>
  <c r="H229" i="52"/>
  <c r="I229" i="52" s="1"/>
  <c r="H230" i="52"/>
  <c r="I230" i="52" s="1"/>
  <c r="H231" i="52"/>
  <c r="I231" i="52" s="1"/>
  <c r="H232" i="52"/>
  <c r="I232" i="52" s="1"/>
  <c r="H233" i="52"/>
  <c r="I233" i="52" s="1"/>
  <c r="H234" i="52"/>
  <c r="I234" i="52" s="1"/>
  <c r="H235" i="52"/>
  <c r="I235" i="52" s="1"/>
  <c r="H236" i="52"/>
  <c r="I236" i="52" s="1"/>
  <c r="H237" i="52"/>
  <c r="I237" i="52" s="1"/>
  <c r="H238" i="52"/>
  <c r="I238" i="52" s="1"/>
  <c r="H239" i="52"/>
  <c r="I239" i="52" s="1"/>
  <c r="H240" i="52"/>
  <c r="I240" i="52" s="1"/>
  <c r="H241" i="52"/>
  <c r="I241" i="52" s="1"/>
  <c r="H242" i="52"/>
  <c r="I242" i="52" s="1"/>
  <c r="H243" i="52"/>
  <c r="I243" i="52" s="1"/>
  <c r="H244" i="52"/>
  <c r="I244" i="52" s="1"/>
  <c r="H245" i="52"/>
  <c r="I245" i="52" s="1"/>
  <c r="H246" i="52"/>
  <c r="I246" i="52" s="1"/>
  <c r="H247" i="52"/>
  <c r="I247" i="52" s="1"/>
  <c r="H248" i="52"/>
  <c r="I248" i="52" s="1"/>
  <c r="H249" i="52"/>
  <c r="I249" i="52" s="1"/>
  <c r="H250" i="52"/>
  <c r="I250" i="52" s="1"/>
  <c r="H251" i="52"/>
  <c r="I251" i="52" s="1"/>
  <c r="H252" i="52"/>
  <c r="I252" i="52" s="1"/>
  <c r="H253" i="52"/>
  <c r="I253" i="52" s="1"/>
  <c r="H254" i="52"/>
  <c r="I254" i="52" s="1"/>
  <c r="H255" i="52"/>
  <c r="I255" i="52" s="1"/>
  <c r="H256" i="52"/>
  <c r="I256" i="52" s="1"/>
  <c r="H257" i="52"/>
  <c r="I257" i="52" s="1"/>
  <c r="H258" i="52"/>
  <c r="I258" i="52" s="1"/>
  <c r="H259" i="52"/>
  <c r="I259" i="52" s="1"/>
  <c r="H260" i="52"/>
  <c r="I260" i="52" s="1"/>
  <c r="H261" i="52"/>
  <c r="I261" i="52" s="1"/>
  <c r="H262" i="52"/>
  <c r="I262" i="52" s="1"/>
  <c r="H263" i="52"/>
  <c r="I263" i="52" s="1"/>
  <c r="A179" i="52"/>
  <c r="B179" i="52" s="1"/>
  <c r="H182" i="52"/>
  <c r="I182" i="52" s="1"/>
  <c r="H183" i="52"/>
  <c r="I183" i="52" s="1"/>
  <c r="H184" i="52"/>
  <c r="I184" i="52" s="1"/>
  <c r="H185" i="52"/>
  <c r="I185" i="52" s="1"/>
  <c r="H186" i="52"/>
  <c r="I186" i="52" s="1"/>
  <c r="H187" i="52"/>
  <c r="I187" i="52" s="1"/>
  <c r="H188" i="52"/>
  <c r="I188" i="52" s="1"/>
  <c r="H189" i="52"/>
  <c r="I189" i="52" s="1"/>
  <c r="H190" i="52"/>
  <c r="I190" i="52" s="1"/>
  <c r="H191" i="52"/>
  <c r="I191" i="52" s="1"/>
  <c r="H192" i="52"/>
  <c r="I192" i="52" s="1"/>
  <c r="H193" i="52"/>
  <c r="I193" i="52" s="1"/>
  <c r="H194" i="52"/>
  <c r="I194" i="52" s="1"/>
  <c r="H195" i="52"/>
  <c r="I195" i="52" s="1"/>
  <c r="H196" i="52"/>
  <c r="I196" i="52" s="1"/>
  <c r="H197" i="52"/>
  <c r="I197" i="52" s="1"/>
  <c r="H198" i="52"/>
  <c r="I198" i="52" s="1"/>
  <c r="H199" i="52"/>
  <c r="I199" i="52" s="1"/>
  <c r="H200" i="52"/>
  <c r="I200" i="52" s="1"/>
  <c r="H201" i="52"/>
  <c r="I201" i="52" s="1"/>
  <c r="H202" i="52"/>
  <c r="I202" i="52" s="1"/>
  <c r="H203" i="52"/>
  <c r="I203" i="52" s="1"/>
  <c r="H204" i="52"/>
  <c r="I204" i="52" s="1"/>
  <c r="H205" i="52"/>
  <c r="I205" i="52" s="1"/>
  <c r="H206" i="52"/>
  <c r="I206" i="52" s="1"/>
  <c r="H207" i="52"/>
  <c r="I207" i="52" s="1"/>
  <c r="H208" i="52"/>
  <c r="I208" i="52" s="1"/>
  <c r="H209" i="52"/>
  <c r="I209" i="52" s="1"/>
  <c r="H210" i="52"/>
  <c r="I210" i="52" s="1"/>
  <c r="H211" i="52"/>
  <c r="I211" i="52" s="1"/>
  <c r="H212" i="52"/>
  <c r="I212" i="52" s="1"/>
  <c r="H213" i="52"/>
  <c r="I213" i="52" s="1"/>
  <c r="H214" i="52"/>
  <c r="I214" i="52" s="1"/>
  <c r="H215" i="52"/>
  <c r="I215" i="52" s="1"/>
  <c r="H216" i="52"/>
  <c r="I216" i="52" s="1"/>
  <c r="A99" i="52"/>
  <c r="H102" i="52"/>
  <c r="I102" i="52" s="1"/>
  <c r="H103" i="52"/>
  <c r="I103" i="52" s="1"/>
  <c r="H104" i="52"/>
  <c r="I104" i="52" s="1"/>
  <c r="H105" i="52"/>
  <c r="I105" i="52" s="1"/>
  <c r="H106" i="52"/>
  <c r="I106" i="52" s="1"/>
  <c r="H107" i="52"/>
  <c r="I107" i="52" s="1"/>
  <c r="H108" i="52"/>
  <c r="I108" i="52" s="1"/>
  <c r="H109" i="52"/>
  <c r="I109" i="52" s="1"/>
  <c r="H110" i="52"/>
  <c r="I110" i="52" s="1"/>
  <c r="H111" i="52"/>
  <c r="I111" i="52" s="1"/>
  <c r="H112" i="52"/>
  <c r="I112" i="52" s="1"/>
  <c r="H113" i="52"/>
  <c r="I113" i="52" s="1"/>
  <c r="H114" i="52"/>
  <c r="I114" i="52" s="1"/>
  <c r="H115" i="52"/>
  <c r="I115" i="52" s="1"/>
  <c r="H116" i="52"/>
  <c r="I116" i="52" s="1"/>
  <c r="H117" i="52"/>
  <c r="I117" i="52" s="1"/>
  <c r="H118" i="52"/>
  <c r="I118" i="52" s="1"/>
  <c r="H119" i="52"/>
  <c r="I119" i="52" s="1"/>
  <c r="H120" i="52"/>
  <c r="I120" i="52" s="1"/>
  <c r="H121" i="52"/>
  <c r="I121" i="52" s="1"/>
  <c r="H122" i="52"/>
  <c r="I122" i="52" s="1"/>
  <c r="H123" i="52"/>
  <c r="I123" i="52" s="1"/>
  <c r="H124" i="52"/>
  <c r="I124" i="52" s="1"/>
  <c r="H125" i="52"/>
  <c r="I125" i="52" s="1"/>
  <c r="H126" i="52"/>
  <c r="I126" i="52" s="1"/>
  <c r="H127" i="52"/>
  <c r="I127" i="52" s="1"/>
  <c r="H128" i="52"/>
  <c r="I128" i="52" s="1"/>
  <c r="H129" i="52"/>
  <c r="I129" i="52" s="1"/>
  <c r="H130" i="52"/>
  <c r="I130" i="52" s="1"/>
  <c r="H131" i="52"/>
  <c r="I131" i="52" s="1"/>
  <c r="H132" i="52"/>
  <c r="I132" i="52" s="1"/>
  <c r="H133" i="52"/>
  <c r="I133" i="52" s="1"/>
  <c r="H134" i="52"/>
  <c r="I134" i="52" s="1"/>
  <c r="H135" i="52"/>
  <c r="I135" i="52" s="1"/>
  <c r="H136" i="52"/>
  <c r="I136" i="52" s="1"/>
  <c r="H137" i="52"/>
  <c r="I137" i="52" s="1"/>
  <c r="H138" i="52"/>
  <c r="I138" i="52" s="1"/>
  <c r="H139" i="52"/>
  <c r="I139" i="52" s="1"/>
  <c r="H140" i="52"/>
  <c r="I140" i="52" s="1"/>
  <c r="H141" i="52"/>
  <c r="I141" i="52" s="1"/>
  <c r="H142" i="52"/>
  <c r="I142" i="52" s="1"/>
  <c r="H143" i="52"/>
  <c r="I143" i="52" s="1"/>
  <c r="H144" i="52"/>
  <c r="I144" i="52" s="1"/>
  <c r="H145" i="52"/>
  <c r="I145" i="52" s="1"/>
  <c r="H146" i="52"/>
  <c r="I146" i="52" s="1"/>
  <c r="H147" i="52"/>
  <c r="I147" i="52" s="1"/>
  <c r="H148" i="52"/>
  <c r="I148" i="52" s="1"/>
  <c r="H149" i="52"/>
  <c r="I149" i="52" s="1"/>
  <c r="H150" i="52"/>
  <c r="I150" i="52" s="1"/>
  <c r="H151" i="52"/>
  <c r="I151" i="52" s="1"/>
  <c r="H152" i="52"/>
  <c r="I152" i="52" s="1"/>
  <c r="H153" i="52"/>
  <c r="I153" i="52" s="1"/>
  <c r="H154" i="52"/>
  <c r="I154" i="52" s="1"/>
  <c r="H155" i="52"/>
  <c r="I155" i="52" s="1"/>
  <c r="H156" i="52"/>
  <c r="I156" i="52" s="1"/>
  <c r="H157" i="52"/>
  <c r="I157" i="52" s="1"/>
  <c r="H158" i="52"/>
  <c r="I158" i="52" s="1"/>
  <c r="H159" i="52"/>
  <c r="I159" i="52" s="1"/>
  <c r="H160" i="52"/>
  <c r="I160" i="52" s="1"/>
  <c r="H161" i="52"/>
  <c r="I161" i="52" s="1"/>
  <c r="H162" i="52"/>
  <c r="I162" i="52" s="1"/>
  <c r="H163" i="52"/>
  <c r="I163" i="52" s="1"/>
  <c r="H164" i="52"/>
  <c r="I164" i="52" s="1"/>
  <c r="H165" i="52"/>
  <c r="I165" i="52" s="1"/>
  <c r="H166" i="52"/>
  <c r="I166" i="52" s="1"/>
  <c r="H167" i="52"/>
  <c r="I167" i="52" s="1"/>
  <c r="H168" i="52"/>
  <c r="I168" i="52" s="1"/>
  <c r="H169" i="52"/>
  <c r="I169" i="52" s="1"/>
  <c r="H170" i="52"/>
  <c r="I170" i="52" s="1"/>
  <c r="A76" i="52"/>
  <c r="B76" i="52" s="1"/>
  <c r="H80" i="52"/>
  <c r="I80" i="52" s="1"/>
  <c r="H81" i="52"/>
  <c r="I81" i="52" s="1"/>
  <c r="H82" i="52"/>
  <c r="I82" i="52" s="1"/>
  <c r="H83" i="52"/>
  <c r="I83" i="52" s="1"/>
  <c r="H84" i="52"/>
  <c r="I84" i="52" s="1"/>
  <c r="H85" i="52"/>
  <c r="I85" i="52" s="1"/>
  <c r="H86" i="52"/>
  <c r="I86" i="52" s="1"/>
  <c r="H87" i="52"/>
  <c r="I87" i="52" s="1"/>
  <c r="H88" i="52"/>
  <c r="I88" i="52" s="1"/>
  <c r="H89" i="52"/>
  <c r="I89" i="52" s="1"/>
  <c r="H90" i="52"/>
  <c r="I90" i="52" s="1"/>
  <c r="H91" i="52"/>
  <c r="I91" i="52" s="1"/>
  <c r="A61" i="52"/>
  <c r="I61" i="52" s="1"/>
  <c r="H64" i="52"/>
  <c r="I64" i="52" s="1"/>
  <c r="H65" i="52"/>
  <c r="I65" i="52" s="1"/>
  <c r="H66" i="52"/>
  <c r="I66" i="52" s="1"/>
  <c r="H67" i="52"/>
  <c r="I67" i="52" s="1"/>
  <c r="A48" i="52"/>
  <c r="I48" i="52" s="1"/>
  <c r="H51" i="52"/>
  <c r="I51" i="52" s="1"/>
  <c r="H52" i="52"/>
  <c r="I52" i="52" s="1"/>
  <c r="A42" i="52"/>
  <c r="I42" i="52" s="1"/>
  <c r="A34" i="52"/>
  <c r="H2000" i="52"/>
  <c r="I2000" i="52" s="1"/>
  <c r="H1999" i="52"/>
  <c r="I1999" i="52" s="1"/>
  <c r="H1998" i="52"/>
  <c r="I1998" i="52" s="1"/>
  <c r="H1997" i="52"/>
  <c r="I1997" i="52" s="1"/>
  <c r="H1992" i="52"/>
  <c r="I1992" i="52" s="1"/>
  <c r="H1991" i="52"/>
  <c r="I1991" i="52" s="1"/>
  <c r="H1990" i="52"/>
  <c r="I1990" i="52" s="1"/>
  <c r="H1989" i="52"/>
  <c r="I1989" i="52" s="1"/>
  <c r="H1984" i="52"/>
  <c r="I1984" i="52" s="1"/>
  <c r="H1983" i="52"/>
  <c r="I1983" i="52" s="1"/>
  <c r="H1982" i="52"/>
  <c r="I1982" i="52" s="1"/>
  <c r="H1981" i="52"/>
  <c r="I1981" i="52" s="1"/>
  <c r="H1976" i="52"/>
  <c r="I1976" i="52" s="1"/>
  <c r="H1975" i="52"/>
  <c r="I1975" i="52" s="1"/>
  <c r="H1974" i="52"/>
  <c r="I1974" i="52" s="1"/>
  <c r="H1973" i="52"/>
  <c r="I1973" i="52" s="1"/>
  <c r="H1968" i="52"/>
  <c r="I1968" i="52" s="1"/>
  <c r="H1967" i="52"/>
  <c r="I1967" i="52" s="1"/>
  <c r="H1966" i="52"/>
  <c r="I1966" i="52" s="1"/>
  <c r="H1965" i="52"/>
  <c r="I1965" i="52" s="1"/>
  <c r="H1960" i="52"/>
  <c r="I1960" i="52" s="1"/>
  <c r="H1959" i="52"/>
  <c r="I1959" i="52" s="1"/>
  <c r="H1958" i="52"/>
  <c r="I1958" i="52" s="1"/>
  <c r="H1957" i="52"/>
  <c r="I1957" i="52" s="1"/>
  <c r="H1952" i="52"/>
  <c r="I1952" i="52" s="1"/>
  <c r="H1951" i="52"/>
  <c r="I1951" i="52" s="1"/>
  <c r="H1950" i="52"/>
  <c r="I1950" i="52" s="1"/>
  <c r="H1949" i="52"/>
  <c r="I1949" i="52" s="1"/>
  <c r="H1944" i="52"/>
  <c r="I1944" i="52" s="1"/>
  <c r="H1943" i="52"/>
  <c r="I1943" i="52" s="1"/>
  <c r="H1942" i="52"/>
  <c r="I1942" i="52" s="1"/>
  <c r="H1941" i="52"/>
  <c r="I1941" i="52" s="1"/>
  <c r="H1936" i="52"/>
  <c r="I1936" i="52" s="1"/>
  <c r="H1935" i="52"/>
  <c r="I1935" i="52" s="1"/>
  <c r="H1934" i="52"/>
  <c r="I1934" i="52" s="1"/>
  <c r="H1933" i="52"/>
  <c r="I1933" i="52" s="1"/>
  <c r="H1932" i="52"/>
  <c r="I1932" i="52" s="1"/>
  <c r="H1927" i="52"/>
  <c r="I1927" i="52" s="1"/>
  <c r="H1926" i="52"/>
  <c r="I1926" i="52" s="1"/>
  <c r="H1925" i="52"/>
  <c r="I1925" i="52" s="1"/>
  <c r="H1924" i="52"/>
  <c r="I1924" i="52" s="1"/>
  <c r="H1923" i="52"/>
  <c r="I1923" i="52" s="1"/>
  <c r="H1918" i="52"/>
  <c r="I1918" i="52" s="1"/>
  <c r="H1917" i="52"/>
  <c r="I1917" i="52" s="1"/>
  <c r="H1916" i="52"/>
  <c r="I1916" i="52" s="1"/>
  <c r="H1915" i="52"/>
  <c r="I1915" i="52" s="1"/>
  <c r="H1910" i="52"/>
  <c r="I1910" i="52" s="1"/>
  <c r="H1909" i="52"/>
  <c r="I1909" i="52" s="1"/>
  <c r="H1904" i="52"/>
  <c r="I1904" i="52" s="1"/>
  <c r="H1903" i="52"/>
  <c r="I1903" i="52" s="1"/>
  <c r="H1898" i="52"/>
  <c r="I1898" i="52" s="1"/>
  <c r="H1897" i="52"/>
  <c r="I1897" i="52" s="1"/>
  <c r="H1896" i="52"/>
  <c r="I1896" i="52" s="1"/>
  <c r="H1891" i="52"/>
  <c r="I1891" i="52" s="1"/>
  <c r="H1890" i="52"/>
  <c r="I1890" i="52" s="1"/>
  <c r="H1889" i="52"/>
  <c r="I1889" i="52" s="1"/>
  <c r="H1888" i="52"/>
  <c r="I1888" i="52" s="1"/>
  <c r="H1887" i="52"/>
  <c r="I1887" i="52" s="1"/>
  <c r="H1882" i="52"/>
  <c r="I1882" i="52" s="1"/>
  <c r="H1881" i="52"/>
  <c r="I1881" i="52" s="1"/>
  <c r="H1880" i="52"/>
  <c r="I1880" i="52" s="1"/>
  <c r="H1875" i="52"/>
  <c r="I1875" i="52" s="1"/>
  <c r="H1874" i="52"/>
  <c r="I1874" i="52" s="1"/>
  <c r="H1873" i="52"/>
  <c r="I1873" i="52" s="1"/>
  <c r="H1872" i="52"/>
  <c r="I1872" i="52" s="1"/>
  <c r="H1867" i="52"/>
  <c r="I1867" i="52" s="1"/>
  <c r="H1866" i="52"/>
  <c r="I1866" i="52" s="1"/>
  <c r="H1865" i="52"/>
  <c r="I1865" i="52" s="1"/>
  <c r="H1864" i="52"/>
  <c r="I1864" i="52" s="1"/>
  <c r="H1863" i="52"/>
  <c r="I1863" i="52" s="1"/>
  <c r="H1862" i="52"/>
  <c r="I1862" i="52" s="1"/>
  <c r="H1857" i="52"/>
  <c r="I1857" i="52" s="1"/>
  <c r="H1856" i="52"/>
  <c r="I1856" i="52" s="1"/>
  <c r="H1855" i="52"/>
  <c r="I1855" i="52" s="1"/>
  <c r="H1854" i="52"/>
  <c r="I1854" i="52" s="1"/>
  <c r="H1853" i="52"/>
  <c r="I1853" i="52" s="1"/>
  <c r="H1852" i="52"/>
  <c r="I1852" i="52" s="1"/>
  <c r="H1847" i="52"/>
  <c r="I1847" i="52" s="1"/>
  <c r="H1846" i="52"/>
  <c r="I1846" i="52" s="1"/>
  <c r="H1845" i="52"/>
  <c r="I1845" i="52" s="1"/>
  <c r="H1844" i="52"/>
  <c r="I1844" i="52" s="1"/>
  <c r="H1843" i="52"/>
  <c r="I1843" i="52" s="1"/>
  <c r="H1842" i="52"/>
  <c r="I1842" i="52" s="1"/>
  <c r="H1837" i="52"/>
  <c r="I1837" i="52" s="1"/>
  <c r="H1836" i="52"/>
  <c r="I1836" i="52" s="1"/>
  <c r="H1835" i="52"/>
  <c r="I1835" i="52" s="1"/>
  <c r="H1834" i="52"/>
  <c r="I1834" i="52" s="1"/>
  <c r="H1833" i="52"/>
  <c r="I1833" i="52" s="1"/>
  <c r="H1832" i="52"/>
  <c r="I1832" i="52" s="1"/>
  <c r="H1827" i="52"/>
  <c r="I1827" i="52" s="1"/>
  <c r="H1826" i="52"/>
  <c r="I1826" i="52" s="1"/>
  <c r="H1825" i="52"/>
  <c r="I1825" i="52" s="1"/>
  <c r="H1824" i="52"/>
  <c r="I1824" i="52" s="1"/>
  <c r="H1823" i="52"/>
  <c r="I1823" i="52" s="1"/>
  <c r="H1818" i="52"/>
  <c r="I1818" i="52" s="1"/>
  <c r="H1817" i="52"/>
  <c r="I1817" i="52" s="1"/>
  <c r="H1816" i="52"/>
  <c r="I1816" i="52" s="1"/>
  <c r="H1815" i="52"/>
  <c r="I1815" i="52" s="1"/>
  <c r="H1814" i="52"/>
  <c r="I1814" i="52" s="1"/>
  <c r="H1813" i="52"/>
  <c r="I1813" i="52" s="1"/>
  <c r="H1808" i="52"/>
  <c r="I1808" i="52" s="1"/>
  <c r="H1807" i="52"/>
  <c r="I1807" i="52" s="1"/>
  <c r="H1806" i="52"/>
  <c r="I1806" i="52" s="1"/>
  <c r="H1805" i="52"/>
  <c r="I1805" i="52" s="1"/>
  <c r="H1804" i="52"/>
  <c r="I1804" i="52" s="1"/>
  <c r="H1799" i="52"/>
  <c r="I1799" i="52" s="1"/>
  <c r="H1798" i="52"/>
  <c r="I1798" i="52" s="1"/>
  <c r="H1797" i="52"/>
  <c r="I1797" i="52" s="1"/>
  <c r="H1796" i="52"/>
  <c r="I1796" i="52" s="1"/>
  <c r="H1795" i="52"/>
  <c r="I1795" i="52" s="1"/>
  <c r="H1794" i="52"/>
  <c r="I1794" i="52" s="1"/>
  <c r="H1789" i="52"/>
  <c r="I1789" i="52" s="1"/>
  <c r="H1788" i="52"/>
  <c r="I1788" i="52" s="1"/>
  <c r="H1787" i="52"/>
  <c r="I1787" i="52" s="1"/>
  <c r="H1786" i="52"/>
  <c r="I1786" i="52" s="1"/>
  <c r="H1785" i="52"/>
  <c r="I1785" i="52" s="1"/>
  <c r="H1784" i="52"/>
  <c r="I1784" i="52" s="1"/>
  <c r="H1779" i="52"/>
  <c r="I1779" i="52" s="1"/>
  <c r="H1778" i="52"/>
  <c r="I1778" i="52" s="1"/>
  <c r="H1777" i="52"/>
  <c r="I1777" i="52" s="1"/>
  <c r="H1776" i="52"/>
  <c r="I1776" i="52" s="1"/>
  <c r="H1775" i="52"/>
  <c r="I1775" i="52" s="1"/>
  <c r="H1774" i="52"/>
  <c r="I1774" i="52" s="1"/>
  <c r="H1769" i="52"/>
  <c r="I1769" i="52" s="1"/>
  <c r="H1768" i="52"/>
  <c r="I1768" i="52" s="1"/>
  <c r="H1767" i="52"/>
  <c r="I1767" i="52" s="1"/>
  <c r="H1766" i="52"/>
  <c r="I1766" i="52" s="1"/>
  <c r="H1761" i="52"/>
  <c r="I1761" i="52" s="1"/>
  <c r="H1760" i="52"/>
  <c r="I1760" i="52" s="1"/>
  <c r="H1759" i="52"/>
  <c r="I1759" i="52" s="1"/>
  <c r="H1758" i="52"/>
  <c r="I1758" i="52" s="1"/>
  <c r="H1753" i="52"/>
  <c r="I1753" i="52" s="1"/>
  <c r="H1752" i="52"/>
  <c r="I1752" i="52" s="1"/>
  <c r="H1751" i="52"/>
  <c r="I1751" i="52" s="1"/>
  <c r="H1750" i="52"/>
  <c r="I1750" i="52" s="1"/>
  <c r="H1745" i="52"/>
  <c r="I1745" i="52" s="1"/>
  <c r="H1744" i="52"/>
  <c r="I1744" i="52" s="1"/>
  <c r="H1743" i="52"/>
  <c r="I1743" i="52" s="1"/>
  <c r="H1742" i="52"/>
  <c r="I1742" i="52" s="1"/>
  <c r="H1737" i="52"/>
  <c r="I1737" i="52" s="1"/>
  <c r="H1736" i="52"/>
  <c r="I1736" i="52" s="1"/>
  <c r="H1735" i="52"/>
  <c r="I1735" i="52" s="1"/>
  <c r="H1734" i="52"/>
  <c r="I1734" i="52" s="1"/>
  <c r="H1729" i="52"/>
  <c r="I1729" i="52" s="1"/>
  <c r="H1728" i="52"/>
  <c r="I1728" i="52" s="1"/>
  <c r="H1727" i="52"/>
  <c r="I1727" i="52" s="1"/>
  <c r="H1726" i="52"/>
  <c r="I1726" i="52" s="1"/>
  <c r="H1721" i="52"/>
  <c r="I1721" i="52" s="1"/>
  <c r="H1720" i="52"/>
  <c r="I1720" i="52" s="1"/>
  <c r="H1719" i="52"/>
  <c r="I1719" i="52" s="1"/>
  <c r="H1718" i="52"/>
  <c r="I1718" i="52" s="1"/>
  <c r="H1713" i="52"/>
  <c r="I1713" i="52" s="1"/>
  <c r="H1712" i="52"/>
  <c r="I1712" i="52" s="1"/>
  <c r="H1711" i="52"/>
  <c r="I1711" i="52" s="1"/>
  <c r="H1710" i="52"/>
  <c r="I1710" i="52" s="1"/>
  <c r="H1709" i="52"/>
  <c r="I1709" i="52" s="1"/>
  <c r="H1708" i="52"/>
  <c r="I1708" i="52" s="1"/>
  <c r="H1703" i="52"/>
  <c r="I1703" i="52" s="1"/>
  <c r="H1702" i="52"/>
  <c r="I1702" i="52" s="1"/>
  <c r="H1701" i="52"/>
  <c r="I1701" i="52" s="1"/>
  <c r="H1700" i="52"/>
  <c r="I1700" i="52" s="1"/>
  <c r="H1699" i="52"/>
  <c r="I1699" i="52" s="1"/>
  <c r="H1698" i="52"/>
  <c r="I1698" i="52" s="1"/>
  <c r="H1693" i="52"/>
  <c r="I1693" i="52" s="1"/>
  <c r="H1692" i="52"/>
  <c r="I1692" i="52" s="1"/>
  <c r="H1691" i="52"/>
  <c r="I1691" i="52" s="1"/>
  <c r="H1690" i="52"/>
  <c r="I1690" i="52" s="1"/>
  <c r="H1689" i="52"/>
  <c r="I1689" i="52" s="1"/>
  <c r="H1684" i="52"/>
  <c r="I1684" i="52" s="1"/>
  <c r="H1683" i="52"/>
  <c r="I1683" i="52" s="1"/>
  <c r="H1682" i="52"/>
  <c r="I1682" i="52" s="1"/>
  <c r="H1681" i="52"/>
  <c r="I1681" i="52" s="1"/>
  <c r="H1680" i="52"/>
  <c r="I1680" i="52" s="1"/>
  <c r="H1679" i="52"/>
  <c r="I1679" i="52" s="1"/>
  <c r="H1674" i="52"/>
  <c r="I1674" i="52" s="1"/>
  <c r="H1673" i="52"/>
  <c r="I1673" i="52" s="1"/>
  <c r="H1672" i="52"/>
  <c r="I1672" i="52" s="1"/>
  <c r="H1671" i="52"/>
  <c r="I1671" i="52" s="1"/>
  <c r="H1670" i="52"/>
  <c r="I1670" i="52" s="1"/>
  <c r="H1669" i="52"/>
  <c r="I1669" i="52" s="1"/>
  <c r="H1664" i="52"/>
  <c r="I1664" i="52" s="1"/>
  <c r="H1663" i="52"/>
  <c r="I1663" i="52" s="1"/>
  <c r="H1662" i="52"/>
  <c r="I1662" i="52" s="1"/>
  <c r="H1661" i="52"/>
  <c r="I1661" i="52" s="1"/>
  <c r="H1660" i="52"/>
  <c r="I1660" i="52" s="1"/>
  <c r="H1659" i="52"/>
  <c r="I1659" i="52" s="1"/>
  <c r="H1654" i="52"/>
  <c r="I1654" i="52" s="1"/>
  <c r="H1653" i="52"/>
  <c r="I1653" i="52" s="1"/>
  <c r="H1652" i="52"/>
  <c r="I1652" i="52" s="1"/>
  <c r="H1651" i="52"/>
  <c r="I1651" i="52" s="1"/>
  <c r="H1650" i="52"/>
  <c r="I1650" i="52" s="1"/>
  <c r="H1649" i="52"/>
  <c r="I1649" i="52" s="1"/>
  <c r="H1644" i="52"/>
  <c r="I1644" i="52" s="1"/>
  <c r="H1643" i="52"/>
  <c r="I1643" i="52" s="1"/>
  <c r="H1642" i="52"/>
  <c r="I1642" i="52" s="1"/>
  <c r="H1637" i="52"/>
  <c r="I1637" i="52" s="1"/>
  <c r="H1636" i="52"/>
  <c r="I1636" i="52" s="1"/>
  <c r="H1635" i="52"/>
  <c r="I1635" i="52" s="1"/>
  <c r="H1634" i="52"/>
  <c r="I1634" i="52" s="1"/>
  <c r="H1629" i="52"/>
  <c r="I1629" i="52" s="1"/>
  <c r="H1628" i="52"/>
  <c r="I1628" i="52" s="1"/>
  <c r="H1627" i="52"/>
  <c r="I1627" i="52" s="1"/>
  <c r="H1626" i="52"/>
  <c r="I1626" i="52" s="1"/>
  <c r="H1621" i="52"/>
  <c r="I1621" i="52" s="1"/>
  <c r="H1620" i="52"/>
  <c r="I1620" i="52" s="1"/>
  <c r="H1619" i="52"/>
  <c r="I1619" i="52" s="1"/>
  <c r="H1618" i="52"/>
  <c r="I1618" i="52" s="1"/>
  <c r="H1613" i="52"/>
  <c r="I1613" i="52" s="1"/>
  <c r="H1612" i="52"/>
  <c r="I1612" i="52" s="1"/>
  <c r="H1611" i="52"/>
  <c r="I1611" i="52" s="1"/>
  <c r="H1606" i="52"/>
  <c r="I1606" i="52" s="1"/>
  <c r="H1605" i="52"/>
  <c r="I1605" i="52" s="1"/>
  <c r="H1604" i="52"/>
  <c r="I1604" i="52" s="1"/>
  <c r="H1603" i="52"/>
  <c r="I1603" i="52" s="1"/>
  <c r="H1598" i="52"/>
  <c r="I1598" i="52" s="1"/>
  <c r="H1597" i="52"/>
  <c r="I1597" i="52" s="1"/>
  <c r="H1596" i="52"/>
  <c r="I1596" i="52" s="1"/>
  <c r="H1591" i="52"/>
  <c r="I1591" i="52" s="1"/>
  <c r="H1590" i="52"/>
  <c r="I1590" i="52" s="1"/>
  <c r="H1589" i="52"/>
  <c r="I1589" i="52" s="1"/>
  <c r="H1584" i="52"/>
  <c r="I1584" i="52" s="1"/>
  <c r="H1583" i="52"/>
  <c r="I1583" i="52" s="1"/>
  <c r="H1578" i="52"/>
  <c r="I1578" i="52" s="1"/>
  <c r="H1577" i="52"/>
  <c r="I1577" i="52" s="1"/>
  <c r="H1576" i="52"/>
  <c r="I1576" i="52" s="1"/>
  <c r="H1575" i="52"/>
  <c r="I1575" i="52" s="1"/>
  <c r="H1570" i="52"/>
  <c r="I1570" i="52" s="1"/>
  <c r="H1569" i="52"/>
  <c r="I1569" i="52" s="1"/>
  <c r="H1568" i="52"/>
  <c r="I1568" i="52" s="1"/>
  <c r="H1567" i="52"/>
  <c r="I1567" i="52" s="1"/>
  <c r="H1562" i="52"/>
  <c r="I1562" i="52" s="1"/>
  <c r="H1561" i="52"/>
  <c r="I1561" i="52" s="1"/>
  <c r="H1560" i="52"/>
  <c r="I1560" i="52" s="1"/>
  <c r="H1555" i="52"/>
  <c r="I1555" i="52" s="1"/>
  <c r="H1554" i="52"/>
  <c r="I1554" i="52" s="1"/>
  <c r="H1553" i="52"/>
  <c r="I1553" i="52" s="1"/>
  <c r="H1548" i="52"/>
  <c r="I1548" i="52" s="1"/>
  <c r="H1547" i="52"/>
  <c r="I1547" i="52" s="1"/>
  <c r="H1546" i="52"/>
  <c r="I1546" i="52" s="1"/>
  <c r="H1545" i="52"/>
  <c r="I1545" i="52" s="1"/>
  <c r="H1540" i="52"/>
  <c r="I1540" i="52" s="1"/>
  <c r="H1539" i="52"/>
  <c r="I1539" i="52" s="1"/>
  <c r="H1538" i="52"/>
  <c r="I1538" i="52" s="1"/>
  <c r="H1533" i="52"/>
  <c r="I1533" i="52" s="1"/>
  <c r="H1532" i="52"/>
  <c r="I1532" i="52" s="1"/>
  <c r="H1531" i="52"/>
  <c r="I1531" i="52" s="1"/>
  <c r="H1530" i="52"/>
  <c r="I1530" i="52" s="1"/>
  <c r="H1525" i="52"/>
  <c r="I1525" i="52" s="1"/>
  <c r="H1524" i="52"/>
  <c r="I1524" i="52" s="1"/>
  <c r="H1523" i="52"/>
  <c r="I1523" i="52" s="1"/>
  <c r="H1518" i="52"/>
  <c r="I1518" i="52" s="1"/>
  <c r="H1517" i="52"/>
  <c r="I1517" i="52" s="1"/>
  <c r="H1516" i="52"/>
  <c r="I1516" i="52" s="1"/>
  <c r="H1511" i="52"/>
  <c r="I1511" i="52" s="1"/>
  <c r="H1510" i="52"/>
  <c r="I1510" i="52" s="1"/>
  <c r="H1509" i="52"/>
  <c r="I1509" i="52" s="1"/>
  <c r="H1504" i="52"/>
  <c r="I1504" i="52" s="1"/>
  <c r="H1503" i="52"/>
  <c r="I1503" i="52" s="1"/>
  <c r="H1502" i="52"/>
  <c r="I1502" i="52" s="1"/>
  <c r="H1497" i="52"/>
  <c r="I1497" i="52" s="1"/>
  <c r="H1496" i="52"/>
  <c r="I1496" i="52" s="1"/>
  <c r="H1495" i="52"/>
  <c r="I1495" i="52" s="1"/>
  <c r="H1490" i="52"/>
  <c r="I1490" i="52" s="1"/>
  <c r="H1489" i="52"/>
  <c r="I1489" i="52" s="1"/>
  <c r="H1488" i="52"/>
  <c r="I1488" i="52" s="1"/>
  <c r="H1487" i="52"/>
  <c r="I1487" i="52" s="1"/>
  <c r="H1486" i="52"/>
  <c r="I1486" i="52" s="1"/>
  <c r="H1481" i="52"/>
  <c r="I1481" i="52" s="1"/>
  <c r="H1480" i="52"/>
  <c r="I1480" i="52" s="1"/>
  <c r="H1475" i="52"/>
  <c r="I1475" i="52" s="1"/>
  <c r="H1474" i="52"/>
  <c r="I1474" i="52" s="1"/>
  <c r="H1473" i="52"/>
  <c r="I1473" i="52" s="1"/>
  <c r="H1472" i="52"/>
  <c r="I1472" i="52" s="1"/>
  <c r="H1471" i="52"/>
  <c r="I1471" i="52" s="1"/>
  <c r="H1470" i="52"/>
  <c r="I1470" i="52" s="1"/>
  <c r="H1465" i="52"/>
  <c r="I1465" i="52" s="1"/>
  <c r="H1464" i="52"/>
  <c r="I1464" i="52" s="1"/>
  <c r="H1463" i="52"/>
  <c r="I1463" i="52" s="1"/>
  <c r="H1458" i="52"/>
  <c r="I1458" i="52" s="1"/>
  <c r="H1457" i="52"/>
  <c r="I1457" i="52" s="1"/>
  <c r="H1456" i="52"/>
  <c r="I1456" i="52" s="1"/>
  <c r="H1451" i="52"/>
  <c r="I1451" i="52" s="1"/>
  <c r="H1450" i="52"/>
  <c r="I1450" i="52" s="1"/>
  <c r="H1445" i="52"/>
  <c r="I1445" i="52" s="1"/>
  <c r="H1444" i="52"/>
  <c r="I1444" i="52" s="1"/>
  <c r="H1439" i="52"/>
  <c r="I1439" i="52" s="1"/>
  <c r="H1438" i="52"/>
  <c r="I1438" i="52" s="1"/>
  <c r="H1437" i="52"/>
  <c r="I1437" i="52" s="1"/>
  <c r="H1432" i="52"/>
  <c r="I1432" i="52" s="1"/>
  <c r="H1431" i="52"/>
  <c r="I1431" i="52" s="1"/>
  <c r="H1430" i="52"/>
  <c r="I1430" i="52" s="1"/>
  <c r="H1425" i="52"/>
  <c r="I1425" i="52" s="1"/>
  <c r="H1424" i="52"/>
  <c r="I1424" i="52" s="1"/>
  <c r="H1419" i="52"/>
  <c r="I1419" i="52" s="1"/>
  <c r="H1418" i="52"/>
  <c r="I1418" i="52" s="1"/>
  <c r="H1417" i="52"/>
  <c r="I1417" i="52" s="1"/>
  <c r="H1412" i="52"/>
  <c r="I1412" i="52" s="1"/>
  <c r="H1411" i="52"/>
  <c r="I1411" i="52" s="1"/>
  <c r="H1410" i="52"/>
  <c r="I1410" i="52" s="1"/>
  <c r="H1409" i="52"/>
  <c r="I1409" i="52" s="1"/>
  <c r="H1408" i="52"/>
  <c r="I1408" i="52" s="1"/>
  <c r="H1403" i="52"/>
  <c r="I1403" i="52" s="1"/>
  <c r="H1402" i="52"/>
  <c r="I1402" i="52" s="1"/>
  <c r="H1401" i="52"/>
  <c r="I1401" i="52" s="1"/>
  <c r="H1400" i="52"/>
  <c r="I1400" i="52" s="1"/>
  <c r="H1395" i="52"/>
  <c r="I1395" i="52" s="1"/>
  <c r="H1394" i="52"/>
  <c r="I1394" i="52" s="1"/>
  <c r="H1393" i="52"/>
  <c r="I1393" i="52" s="1"/>
  <c r="H1392" i="52"/>
  <c r="I1392" i="52" s="1"/>
  <c r="H1387" i="52"/>
  <c r="I1387" i="52" s="1"/>
  <c r="H1386" i="52"/>
  <c r="I1386" i="52" s="1"/>
  <c r="H1385" i="52"/>
  <c r="I1385" i="52" s="1"/>
  <c r="H1384" i="52"/>
  <c r="I1384" i="52" s="1"/>
  <c r="H1383" i="52"/>
  <c r="I1383" i="52" s="1"/>
  <c r="H1378" i="52"/>
  <c r="I1378" i="52" s="1"/>
  <c r="H1377" i="52"/>
  <c r="I1377" i="52" s="1"/>
  <c r="H1376" i="52"/>
  <c r="I1376" i="52" s="1"/>
  <c r="H1371" i="52"/>
  <c r="I1371" i="52" s="1"/>
  <c r="H1370" i="52"/>
  <c r="I1370" i="52" s="1"/>
  <c r="H1369" i="52"/>
  <c r="I1369" i="52" s="1"/>
  <c r="H1364" i="52"/>
  <c r="I1364" i="52" s="1"/>
  <c r="H1363" i="52"/>
  <c r="I1363" i="52" s="1"/>
  <c r="H1362" i="52"/>
  <c r="I1362" i="52" s="1"/>
  <c r="H1361" i="52"/>
  <c r="I1361" i="52" s="1"/>
  <c r="H1356" i="52"/>
  <c r="I1356" i="52" s="1"/>
  <c r="H1355" i="52"/>
  <c r="I1355" i="52" s="1"/>
  <c r="H1354" i="52"/>
  <c r="I1354" i="52" s="1"/>
  <c r="H1353" i="52"/>
  <c r="I1353" i="52" s="1"/>
  <c r="H1348" i="52"/>
  <c r="I1348" i="52" s="1"/>
  <c r="H1347" i="52"/>
  <c r="I1347" i="52" s="1"/>
  <c r="H1346" i="52"/>
  <c r="I1346" i="52" s="1"/>
  <c r="H1345" i="52"/>
  <c r="I1345" i="52" s="1"/>
  <c r="H1340" i="52"/>
  <c r="I1340" i="52" s="1"/>
  <c r="H1339" i="52"/>
  <c r="I1339" i="52" s="1"/>
  <c r="H1338" i="52"/>
  <c r="I1338" i="52" s="1"/>
  <c r="H1333" i="52"/>
  <c r="I1333" i="52" s="1"/>
  <c r="H1332" i="52"/>
  <c r="I1332" i="52" s="1"/>
  <c r="H1331" i="52"/>
  <c r="I1331" i="52" s="1"/>
  <c r="H1326" i="52"/>
  <c r="I1326" i="52" s="1"/>
  <c r="H1325" i="52"/>
  <c r="I1325" i="52" s="1"/>
  <c r="H1324" i="52"/>
  <c r="I1324" i="52" s="1"/>
  <c r="H1319" i="52"/>
  <c r="I1319" i="52" s="1"/>
  <c r="H1318" i="52"/>
  <c r="I1318" i="52" s="1"/>
  <c r="H1317" i="52"/>
  <c r="I1317" i="52" s="1"/>
  <c r="H1312" i="52"/>
  <c r="I1312" i="52" s="1"/>
  <c r="H1311" i="52"/>
  <c r="I1311" i="52" s="1"/>
  <c r="H1310" i="52"/>
  <c r="I1310" i="52" s="1"/>
  <c r="H1305" i="52"/>
  <c r="I1305" i="52" s="1"/>
  <c r="H1304" i="52"/>
  <c r="I1304" i="52" s="1"/>
  <c r="H1303" i="52"/>
  <c r="I1303" i="52" s="1"/>
  <c r="H1302" i="52"/>
  <c r="I1302" i="52" s="1"/>
  <c r="H1297" i="52"/>
  <c r="I1297" i="52" s="1"/>
  <c r="H1296" i="52"/>
  <c r="I1296" i="52" s="1"/>
  <c r="H1295" i="52"/>
  <c r="I1295" i="52" s="1"/>
  <c r="H1294" i="52"/>
  <c r="I1294" i="52" s="1"/>
  <c r="H1289" i="52"/>
  <c r="I1289" i="52" s="1"/>
  <c r="H1288" i="52"/>
  <c r="I1288" i="52" s="1"/>
  <c r="H1287" i="52"/>
  <c r="I1287" i="52" s="1"/>
  <c r="H1286" i="52"/>
  <c r="I1286" i="52" s="1"/>
  <c r="H1281" i="52"/>
  <c r="I1281" i="52" s="1"/>
  <c r="H1280" i="52"/>
  <c r="I1280" i="52" s="1"/>
  <c r="H1279" i="52"/>
  <c r="I1279" i="52" s="1"/>
  <c r="H1274" i="52"/>
  <c r="I1274" i="52" s="1"/>
  <c r="H1273" i="52"/>
  <c r="I1273" i="52" s="1"/>
  <c r="H1272" i="52"/>
  <c r="I1272" i="52" s="1"/>
  <c r="H1267" i="52"/>
  <c r="I1267" i="52" s="1"/>
  <c r="H1266" i="52"/>
  <c r="I1266" i="52" s="1"/>
  <c r="H1265" i="52"/>
  <c r="I1265" i="52" s="1"/>
  <c r="H1264" i="52"/>
  <c r="I1264" i="52" s="1"/>
  <c r="H1259" i="52"/>
  <c r="I1259" i="52" s="1"/>
  <c r="H1258" i="52"/>
  <c r="I1258" i="52" s="1"/>
  <c r="H1257" i="52"/>
  <c r="I1257" i="52" s="1"/>
  <c r="H1256" i="52"/>
  <c r="I1256" i="52" s="1"/>
  <c r="H1251" i="52"/>
  <c r="I1251" i="52" s="1"/>
  <c r="H1250" i="52"/>
  <c r="I1250" i="52" s="1"/>
  <c r="H1249" i="52"/>
  <c r="I1249" i="52" s="1"/>
  <c r="H1248" i="52"/>
  <c r="I1248" i="52" s="1"/>
  <c r="H1243" i="52"/>
  <c r="I1243" i="52" s="1"/>
  <c r="H1242" i="52"/>
  <c r="I1242" i="52" s="1"/>
  <c r="H1241" i="52"/>
  <c r="I1241" i="52" s="1"/>
  <c r="H1240" i="52"/>
  <c r="I1240" i="52" s="1"/>
  <c r="H1235" i="52"/>
  <c r="I1235" i="52" s="1"/>
  <c r="H1234" i="52"/>
  <c r="I1234" i="52" s="1"/>
  <c r="H1229" i="52"/>
  <c r="I1229" i="52" s="1"/>
  <c r="H1228" i="52"/>
  <c r="I1228" i="52" s="1"/>
  <c r="H1223" i="52"/>
  <c r="I1223" i="52" s="1"/>
  <c r="H1222" i="52"/>
  <c r="I1222" i="52" s="1"/>
  <c r="H1217" i="52"/>
  <c r="I1217" i="52" s="1"/>
  <c r="H1216" i="52"/>
  <c r="I1216" i="52" s="1"/>
  <c r="H1211" i="52"/>
  <c r="I1211" i="52" s="1"/>
  <c r="H1210" i="52"/>
  <c r="I1210" i="52" s="1"/>
  <c r="H1209" i="52"/>
  <c r="I1209" i="52" s="1"/>
  <c r="H1204" i="52"/>
  <c r="I1204" i="52" s="1"/>
  <c r="H1203" i="52"/>
  <c r="I1203" i="52" s="1"/>
  <c r="H1202" i="52"/>
  <c r="I1202" i="52" s="1"/>
  <c r="H1201" i="52"/>
  <c r="I1201" i="52" s="1"/>
  <c r="H1196" i="52"/>
  <c r="I1196" i="52" s="1"/>
  <c r="H1195" i="52"/>
  <c r="I1195" i="52" s="1"/>
  <c r="H1194" i="52"/>
  <c r="I1194" i="52" s="1"/>
  <c r="H1193" i="52"/>
  <c r="I1193" i="52" s="1"/>
  <c r="H1188" i="52"/>
  <c r="I1188" i="52" s="1"/>
  <c r="H1187" i="52"/>
  <c r="I1187" i="52" s="1"/>
  <c r="H1182" i="52"/>
  <c r="I1182" i="52" s="1"/>
  <c r="H1181" i="52"/>
  <c r="I1181" i="52" s="1"/>
  <c r="H1180" i="52"/>
  <c r="I1180" i="52" s="1"/>
  <c r="H1175" i="52"/>
  <c r="I1175" i="52" s="1"/>
  <c r="H1174" i="52"/>
  <c r="I1174" i="52" s="1"/>
  <c r="H1169" i="52"/>
  <c r="I1169" i="52" s="1"/>
  <c r="H1168" i="52"/>
  <c r="I1168" i="52" s="1"/>
  <c r="H1163" i="52"/>
  <c r="I1163" i="52" s="1"/>
  <c r="H1162" i="52"/>
  <c r="I1162" i="52" s="1"/>
  <c r="H1161" i="52"/>
  <c r="I1161" i="52" s="1"/>
  <c r="H1156" i="52"/>
  <c r="I1156" i="52" s="1"/>
  <c r="H1155" i="52"/>
  <c r="I1155" i="52" s="1"/>
  <c r="H1154" i="52"/>
  <c r="I1154" i="52" s="1"/>
  <c r="H1149" i="52"/>
  <c r="I1149" i="52" s="1"/>
  <c r="H1148" i="52"/>
  <c r="I1148" i="52" s="1"/>
  <c r="H1147" i="52"/>
  <c r="I1147" i="52" s="1"/>
  <c r="H1146" i="52"/>
  <c r="I1146" i="52" s="1"/>
  <c r="H1141" i="52"/>
  <c r="I1141" i="52" s="1"/>
  <c r="H1140" i="52"/>
  <c r="I1140" i="52" s="1"/>
  <c r="H1139" i="52"/>
  <c r="I1139" i="52" s="1"/>
  <c r="H1138" i="52"/>
  <c r="I1138" i="52" s="1"/>
  <c r="H1133" i="52"/>
  <c r="I1133" i="52" s="1"/>
  <c r="H1132" i="52"/>
  <c r="I1132" i="52" s="1"/>
  <c r="H1131" i="52"/>
  <c r="I1131" i="52" s="1"/>
  <c r="H1130" i="52"/>
  <c r="I1130" i="52" s="1"/>
  <c r="H1125" i="52"/>
  <c r="I1125" i="52" s="1"/>
  <c r="H1124" i="52"/>
  <c r="I1124" i="52" s="1"/>
  <c r="H1123" i="52"/>
  <c r="I1123" i="52" s="1"/>
  <c r="H1122" i="52"/>
  <c r="I1122" i="52" s="1"/>
  <c r="H1117" i="52"/>
  <c r="I1117" i="52" s="1"/>
  <c r="H1116" i="52"/>
  <c r="I1116" i="52" s="1"/>
  <c r="H1115" i="52"/>
  <c r="I1115" i="52" s="1"/>
  <c r="H1114" i="52"/>
  <c r="I1114" i="52" s="1"/>
  <c r="H1109" i="52"/>
  <c r="I1109" i="52" s="1"/>
  <c r="H1108" i="52"/>
  <c r="I1108" i="52" s="1"/>
  <c r="H1107" i="52"/>
  <c r="I1107" i="52" s="1"/>
  <c r="H1106" i="52"/>
  <c r="I1106" i="52" s="1"/>
  <c r="H1101" i="52"/>
  <c r="I1101" i="52" s="1"/>
  <c r="H1100" i="52"/>
  <c r="I1100" i="52" s="1"/>
  <c r="H1099" i="52"/>
  <c r="I1099" i="52" s="1"/>
  <c r="H1098" i="52"/>
  <c r="I1098" i="52" s="1"/>
  <c r="H1093" i="52"/>
  <c r="I1093" i="52" s="1"/>
  <c r="H1092" i="52"/>
  <c r="I1092" i="52" s="1"/>
  <c r="H1091" i="52"/>
  <c r="I1091" i="52" s="1"/>
  <c r="H1090" i="52"/>
  <c r="I1090" i="52" s="1"/>
  <c r="H1085" i="52"/>
  <c r="I1085" i="52" s="1"/>
  <c r="H1084" i="52"/>
  <c r="I1084" i="52" s="1"/>
  <c r="H1083" i="52"/>
  <c r="I1083" i="52" s="1"/>
  <c r="H1082" i="52"/>
  <c r="I1082" i="52" s="1"/>
  <c r="H1077" i="52"/>
  <c r="I1077" i="52" s="1"/>
  <c r="H1076" i="52"/>
  <c r="I1076" i="52" s="1"/>
  <c r="H1075" i="52"/>
  <c r="I1075" i="52" s="1"/>
  <c r="H1074" i="52"/>
  <c r="I1074" i="52" s="1"/>
  <c r="H1069" i="52"/>
  <c r="I1069" i="52" s="1"/>
  <c r="H1068" i="52"/>
  <c r="I1068" i="52" s="1"/>
  <c r="H1067" i="52"/>
  <c r="I1067" i="52" s="1"/>
  <c r="H1066" i="52"/>
  <c r="I1066" i="52" s="1"/>
  <c r="H1061" i="52"/>
  <c r="I1061" i="52" s="1"/>
  <c r="H1060" i="52"/>
  <c r="I1060" i="52" s="1"/>
  <c r="H1059" i="52"/>
  <c r="I1059" i="52" s="1"/>
  <c r="H1058" i="52"/>
  <c r="I1058" i="52" s="1"/>
  <c r="H1053" i="52"/>
  <c r="I1053" i="52" s="1"/>
  <c r="H1052" i="52"/>
  <c r="I1052" i="52" s="1"/>
  <c r="H1051" i="52"/>
  <c r="I1051" i="52" s="1"/>
  <c r="H1050" i="52"/>
  <c r="I1050" i="52" s="1"/>
  <c r="H1049" i="52"/>
  <c r="I1049" i="52" s="1"/>
  <c r="H1048" i="52"/>
  <c r="I1048" i="52" s="1"/>
  <c r="H1043" i="52"/>
  <c r="I1043" i="52" s="1"/>
  <c r="H1042" i="52"/>
  <c r="I1042" i="52" s="1"/>
  <c r="H1041" i="52"/>
  <c r="I1041" i="52" s="1"/>
  <c r="H1036" i="52"/>
  <c r="I1036" i="52" s="1"/>
  <c r="H1035" i="52"/>
  <c r="I1035" i="52" s="1"/>
  <c r="H1034" i="52"/>
  <c r="I1034" i="52" s="1"/>
  <c r="H1029" i="52"/>
  <c r="I1029" i="52" s="1"/>
  <c r="H1028" i="52"/>
  <c r="I1028" i="52" s="1"/>
  <c r="H1027" i="52"/>
  <c r="I1027" i="52" s="1"/>
  <c r="H1022" i="52"/>
  <c r="I1022" i="52" s="1"/>
  <c r="H1021" i="52"/>
  <c r="I1021" i="52" s="1"/>
  <c r="H1020" i="52"/>
  <c r="I1020" i="52" s="1"/>
  <c r="H1019" i="52"/>
  <c r="I1019" i="52" s="1"/>
  <c r="H1018" i="52"/>
  <c r="I1018" i="52" s="1"/>
  <c r="H1017" i="52"/>
  <c r="I1017" i="52" s="1"/>
  <c r="H1010" i="52"/>
  <c r="I1010" i="52" s="1"/>
  <c r="H1005" i="52"/>
  <c r="I1005" i="52" s="1"/>
  <c r="H1004" i="52"/>
  <c r="I1004" i="52" s="1"/>
  <c r="H1003" i="52"/>
  <c r="I1003" i="52" s="1"/>
  <c r="H998" i="52"/>
  <c r="I998" i="52" s="1"/>
  <c r="H997" i="52"/>
  <c r="I997" i="52" s="1"/>
  <c r="H996" i="52"/>
  <c r="I996" i="52" s="1"/>
  <c r="H995" i="52"/>
  <c r="I995" i="52" s="1"/>
  <c r="H990" i="52"/>
  <c r="I990" i="52" s="1"/>
  <c r="H989" i="52"/>
  <c r="I989" i="52" s="1"/>
  <c r="H988" i="52"/>
  <c r="I988" i="52" s="1"/>
  <c r="H983" i="52"/>
  <c r="I983" i="52" s="1"/>
  <c r="H982" i="52"/>
  <c r="I982" i="52" s="1"/>
  <c r="H981" i="52"/>
  <c r="I981" i="52" s="1"/>
  <c r="H976" i="52"/>
  <c r="I976" i="52" s="1"/>
  <c r="H975" i="52"/>
  <c r="I975" i="52" s="1"/>
  <c r="H974" i="52"/>
  <c r="I974" i="52" s="1"/>
  <c r="H969" i="52"/>
  <c r="I969" i="52" s="1"/>
  <c r="H968" i="52"/>
  <c r="I968" i="52" s="1"/>
  <c r="H967" i="52"/>
  <c r="I967" i="52" s="1"/>
  <c r="H962" i="52"/>
  <c r="I962" i="52" s="1"/>
  <c r="H961" i="52"/>
  <c r="I961" i="52" s="1"/>
  <c r="H960" i="52"/>
  <c r="I960" i="52" s="1"/>
  <c r="H955" i="52"/>
  <c r="I955" i="52" s="1"/>
  <c r="H954" i="52"/>
  <c r="I954" i="52" s="1"/>
  <c r="H953" i="52"/>
  <c r="I953" i="52" s="1"/>
  <c r="H948" i="52"/>
  <c r="I948" i="52" s="1"/>
  <c r="H947" i="52"/>
  <c r="I947" i="52" s="1"/>
  <c r="H946" i="52"/>
  <c r="I946" i="52" s="1"/>
  <c r="H941" i="52"/>
  <c r="I941" i="52" s="1"/>
  <c r="H940" i="52"/>
  <c r="I940" i="52" s="1"/>
  <c r="H939" i="52"/>
  <c r="I939" i="52" s="1"/>
  <c r="H938" i="52"/>
  <c r="I938" i="52" s="1"/>
  <c r="H933" i="52"/>
  <c r="I933" i="52" s="1"/>
  <c r="H928" i="52"/>
  <c r="I928" i="52" s="1"/>
  <c r="H927" i="52"/>
  <c r="I927" i="52" s="1"/>
  <c r="H922" i="52"/>
  <c r="I922" i="52" s="1"/>
  <c r="H917" i="52"/>
  <c r="I917" i="52" s="1"/>
  <c r="H916" i="52"/>
  <c r="I916" i="52" s="1"/>
  <c r="H915" i="52"/>
  <c r="I915" i="52" s="1"/>
  <c r="H914" i="52"/>
  <c r="I914" i="52" s="1"/>
  <c r="H913" i="52"/>
  <c r="I913" i="52" s="1"/>
  <c r="H908" i="52"/>
  <c r="I908" i="52" s="1"/>
  <c r="H907" i="52"/>
  <c r="I907" i="52" s="1"/>
  <c r="H906" i="52"/>
  <c r="I906" i="52" s="1"/>
  <c r="H905" i="52"/>
  <c r="I905" i="52" s="1"/>
  <c r="H904" i="52"/>
  <c r="I904" i="52" s="1"/>
  <c r="H899" i="52"/>
  <c r="I899" i="52" s="1"/>
  <c r="H898" i="52"/>
  <c r="I898" i="52" s="1"/>
  <c r="H897" i="52"/>
  <c r="I897" i="52" s="1"/>
  <c r="H896" i="52"/>
  <c r="I896" i="52" s="1"/>
  <c r="H895" i="52"/>
  <c r="I895" i="52" s="1"/>
  <c r="H894" i="52"/>
  <c r="I894" i="52" s="1"/>
  <c r="H889" i="52"/>
  <c r="I889" i="52" s="1"/>
  <c r="H888" i="52"/>
  <c r="I888" i="52" s="1"/>
  <c r="H887" i="52"/>
  <c r="I887" i="52" s="1"/>
  <c r="H886" i="52"/>
  <c r="I886" i="52" s="1"/>
  <c r="H881" i="52"/>
  <c r="I881" i="52" s="1"/>
  <c r="H880" i="52"/>
  <c r="I880" i="52" s="1"/>
  <c r="H879" i="52"/>
  <c r="I879" i="52" s="1"/>
  <c r="H878" i="52"/>
  <c r="I878" i="52" s="1"/>
  <c r="H873" i="52"/>
  <c r="I873" i="52" s="1"/>
  <c r="H872" i="52"/>
  <c r="I872" i="52" s="1"/>
  <c r="H871" i="52"/>
  <c r="I871" i="52" s="1"/>
  <c r="H870" i="52"/>
  <c r="I870" i="52" s="1"/>
  <c r="H869" i="52"/>
  <c r="I869" i="52" s="1"/>
  <c r="H868" i="52"/>
  <c r="I868" i="52" s="1"/>
  <c r="H863" i="52"/>
  <c r="I863" i="52" s="1"/>
  <c r="H858" i="52"/>
  <c r="I858" i="52" s="1"/>
  <c r="H857" i="52"/>
  <c r="I857" i="52" s="1"/>
  <c r="H856" i="52"/>
  <c r="I856" i="52" s="1"/>
  <c r="H855" i="52"/>
  <c r="I855" i="52" s="1"/>
  <c r="H850" i="52"/>
  <c r="I850" i="52" s="1"/>
  <c r="H849" i="52"/>
  <c r="I849" i="52" s="1"/>
  <c r="H844" i="52"/>
  <c r="I844" i="52" s="1"/>
  <c r="H843" i="52"/>
  <c r="I843" i="52" s="1"/>
  <c r="H842" i="52"/>
  <c r="I842" i="52" s="1"/>
  <c r="H841" i="52"/>
  <c r="I841" i="52" s="1"/>
  <c r="H840" i="52"/>
  <c r="I840" i="52" s="1"/>
  <c r="H835" i="52"/>
  <c r="I835" i="52" s="1"/>
  <c r="H834" i="52"/>
  <c r="I834" i="52" s="1"/>
  <c r="H833" i="52"/>
  <c r="I833" i="52" s="1"/>
  <c r="H832" i="52"/>
  <c r="I832" i="52" s="1"/>
  <c r="H831" i="52"/>
  <c r="I831" i="52" s="1"/>
  <c r="H826" i="52"/>
  <c r="I826" i="52" s="1"/>
  <c r="H825" i="52"/>
  <c r="I825" i="52" s="1"/>
  <c r="H824" i="52"/>
  <c r="I824" i="52" s="1"/>
  <c r="H819" i="52"/>
  <c r="I819" i="52" s="1"/>
  <c r="H818" i="52"/>
  <c r="I818" i="52" s="1"/>
  <c r="H817" i="52"/>
  <c r="I817" i="52" s="1"/>
  <c r="H812" i="52"/>
  <c r="I812" i="52" s="1"/>
  <c r="H811" i="52"/>
  <c r="I811" i="52" s="1"/>
  <c r="H810" i="52"/>
  <c r="I810" i="52" s="1"/>
  <c r="H809" i="52"/>
  <c r="I809" i="52" s="1"/>
  <c r="H808" i="52"/>
  <c r="I808" i="52" s="1"/>
  <c r="H803" i="52"/>
  <c r="I803" i="52" s="1"/>
  <c r="H802" i="52"/>
  <c r="I802" i="52" s="1"/>
  <c r="H801" i="52"/>
  <c r="I801" i="52" s="1"/>
  <c r="H796" i="52"/>
  <c r="I796" i="52" s="1"/>
  <c r="H795" i="52"/>
  <c r="I795" i="52" s="1"/>
  <c r="H794" i="52"/>
  <c r="I794" i="52" s="1"/>
  <c r="H789" i="52"/>
  <c r="I789" i="52" s="1"/>
  <c r="H788" i="52"/>
  <c r="I788" i="52" s="1"/>
  <c r="H787" i="52"/>
  <c r="I787" i="52" s="1"/>
  <c r="H782" i="52"/>
  <c r="I782" i="52" s="1"/>
  <c r="H781" i="52"/>
  <c r="I781" i="52" s="1"/>
  <c r="H780" i="52"/>
  <c r="I780" i="52" s="1"/>
  <c r="H775" i="52"/>
  <c r="I775" i="52" s="1"/>
  <c r="H774" i="52"/>
  <c r="I774" i="52" s="1"/>
  <c r="H773" i="52"/>
  <c r="I773" i="52" s="1"/>
  <c r="H768" i="52"/>
  <c r="I768" i="52" s="1"/>
  <c r="H767" i="52"/>
  <c r="I767" i="52" s="1"/>
  <c r="H766" i="52"/>
  <c r="I766" i="52" s="1"/>
  <c r="H765" i="52"/>
  <c r="I765" i="52" s="1"/>
  <c r="H764" i="52"/>
  <c r="I764" i="52" s="1"/>
  <c r="H759" i="52"/>
  <c r="I759" i="52" s="1"/>
  <c r="H758" i="52"/>
  <c r="I758" i="52" s="1"/>
  <c r="H757" i="52"/>
  <c r="I757" i="52" s="1"/>
  <c r="H756" i="52"/>
  <c r="I756" i="52" s="1"/>
  <c r="H755" i="52"/>
  <c r="I755" i="52" s="1"/>
  <c r="H750" i="52"/>
  <c r="I750" i="52" s="1"/>
  <c r="H749" i="52"/>
  <c r="I749" i="52" s="1"/>
  <c r="H748" i="52"/>
  <c r="I748" i="52" s="1"/>
  <c r="H747" i="52"/>
  <c r="I747" i="52" s="1"/>
  <c r="H746" i="52"/>
  <c r="I746" i="52" s="1"/>
  <c r="H741" i="52"/>
  <c r="I741" i="52" s="1"/>
  <c r="H740" i="52"/>
  <c r="I740" i="52" s="1"/>
  <c r="H739" i="52"/>
  <c r="I739" i="52" s="1"/>
  <c r="H738" i="52"/>
  <c r="I738" i="52" s="1"/>
  <c r="H737" i="52"/>
  <c r="I737" i="52" s="1"/>
  <c r="H732" i="52"/>
  <c r="I732" i="52" s="1"/>
  <c r="H731" i="52"/>
  <c r="I731" i="52" s="1"/>
  <c r="H730" i="52"/>
  <c r="I730" i="52" s="1"/>
  <c r="H725" i="52"/>
  <c r="I725" i="52" s="1"/>
  <c r="H724" i="52"/>
  <c r="I724" i="52" s="1"/>
  <c r="H723" i="52"/>
  <c r="I723" i="52" s="1"/>
  <c r="H718" i="52"/>
  <c r="I718" i="52" s="1"/>
  <c r="H713" i="52"/>
  <c r="I713" i="52" s="1"/>
  <c r="H712" i="52"/>
  <c r="I712" i="52" s="1"/>
  <c r="H711" i="52"/>
  <c r="I711" i="52" s="1"/>
  <c r="H710" i="52"/>
  <c r="I710" i="52" s="1"/>
  <c r="H709" i="52"/>
  <c r="I709" i="52" s="1"/>
  <c r="H708" i="52"/>
  <c r="I708" i="52" s="1"/>
  <c r="H703" i="52"/>
  <c r="I703" i="52" s="1"/>
  <c r="H702" i="52"/>
  <c r="I702" i="52" s="1"/>
  <c r="H701" i="52"/>
  <c r="I701" i="52" s="1"/>
  <c r="H700" i="52"/>
  <c r="I700" i="52" s="1"/>
  <c r="H699" i="52"/>
  <c r="I699" i="52" s="1"/>
  <c r="H698" i="52"/>
  <c r="I698" i="52" s="1"/>
  <c r="H693" i="52"/>
  <c r="I693" i="52" s="1"/>
  <c r="H692" i="52"/>
  <c r="I692" i="52" s="1"/>
  <c r="H691" i="52"/>
  <c r="I691" i="52" s="1"/>
  <c r="H690" i="52"/>
  <c r="I690" i="52" s="1"/>
  <c r="H689" i="52"/>
  <c r="I689" i="52" s="1"/>
  <c r="H687" i="52"/>
  <c r="I687" i="52" s="1"/>
  <c r="H686" i="52"/>
  <c r="I686" i="52" s="1"/>
  <c r="H681" i="52"/>
  <c r="I681" i="52" s="1"/>
  <c r="H680" i="52"/>
  <c r="I680" i="52" s="1"/>
  <c r="H679" i="52"/>
  <c r="I679" i="52" s="1"/>
  <c r="H678" i="52"/>
  <c r="I678" i="52" s="1"/>
  <c r="H677" i="52"/>
  <c r="I677" i="52" s="1"/>
  <c r="H675" i="52"/>
  <c r="I675" i="52" s="1"/>
  <c r="H674" i="52"/>
  <c r="I674" i="52" s="1"/>
  <c r="H669" i="52"/>
  <c r="I669" i="52" s="1"/>
  <c r="H668" i="52"/>
  <c r="I668" i="52" s="1"/>
  <c r="H667" i="52"/>
  <c r="I667" i="52" s="1"/>
  <c r="H666" i="52"/>
  <c r="I666" i="52" s="1"/>
  <c r="H665" i="52"/>
  <c r="I665" i="52" s="1"/>
  <c r="H663" i="52"/>
  <c r="I663" i="52" s="1"/>
  <c r="H662" i="52"/>
  <c r="I662" i="52" s="1"/>
  <c r="H657" i="52"/>
  <c r="I657" i="52" s="1"/>
  <c r="H656" i="52"/>
  <c r="I656" i="52" s="1"/>
  <c r="H655" i="52"/>
  <c r="I655" i="52" s="1"/>
  <c r="H654" i="52"/>
  <c r="I654" i="52" s="1"/>
  <c r="H652" i="52"/>
  <c r="I652" i="52" s="1"/>
  <c r="H651" i="52"/>
  <c r="I651" i="52" s="1"/>
  <c r="H650" i="52"/>
  <c r="I650" i="52" s="1"/>
  <c r="H645" i="52"/>
  <c r="I645" i="52" s="1"/>
  <c r="H644" i="52"/>
  <c r="I644" i="52" s="1"/>
  <c r="H643" i="52"/>
  <c r="I643" i="52" s="1"/>
  <c r="H642" i="52"/>
  <c r="I642" i="52" s="1"/>
  <c r="H637" i="52"/>
  <c r="I637" i="52" s="1"/>
  <c r="H636" i="52"/>
  <c r="I636" i="52" s="1"/>
  <c r="H635" i="52"/>
  <c r="I635" i="52" s="1"/>
  <c r="H634" i="52"/>
  <c r="I634" i="52" s="1"/>
  <c r="H633" i="52"/>
  <c r="I633" i="52" s="1"/>
  <c r="H632" i="52"/>
  <c r="I632" i="52" s="1"/>
  <c r="H627" i="52"/>
  <c r="I627" i="52" s="1"/>
  <c r="H626" i="52"/>
  <c r="I626" i="52" s="1"/>
  <c r="H625" i="52"/>
  <c r="I625" i="52" s="1"/>
  <c r="H624" i="52"/>
  <c r="I624" i="52" s="1"/>
  <c r="H623" i="52"/>
  <c r="I623" i="52" s="1"/>
  <c r="H618" i="52"/>
  <c r="I618" i="52" s="1"/>
  <c r="H617" i="52"/>
  <c r="I617" i="52" s="1"/>
  <c r="H616" i="52"/>
  <c r="I616" i="52" s="1"/>
  <c r="H615" i="52"/>
  <c r="I615" i="52" s="1"/>
  <c r="H614" i="52"/>
  <c r="I614" i="52" s="1"/>
  <c r="H609" i="52"/>
  <c r="I609" i="52" s="1"/>
  <c r="H608" i="52"/>
  <c r="I608" i="52" s="1"/>
  <c r="H607" i="52"/>
  <c r="I607" i="52" s="1"/>
  <c r="H606" i="52"/>
  <c r="I606" i="52" s="1"/>
  <c r="H605" i="52"/>
  <c r="I605" i="52" s="1"/>
  <c r="H604" i="52"/>
  <c r="I604" i="52" s="1"/>
  <c r="H603" i="52"/>
  <c r="I603" i="52" s="1"/>
  <c r="H598" i="52"/>
  <c r="I598" i="52" s="1"/>
  <c r="H597" i="52"/>
  <c r="I597" i="52" s="1"/>
  <c r="H596" i="52"/>
  <c r="I596" i="52" s="1"/>
  <c r="H595" i="52"/>
  <c r="I595" i="52" s="1"/>
  <c r="H594" i="52"/>
  <c r="I594" i="52" s="1"/>
  <c r="H589" i="52"/>
  <c r="I589" i="52" s="1"/>
  <c r="H588" i="52"/>
  <c r="I588" i="52" s="1"/>
  <c r="H587" i="52"/>
  <c r="I587" i="52" s="1"/>
  <c r="H586" i="52"/>
  <c r="I586" i="52" s="1"/>
  <c r="H585" i="52"/>
  <c r="I585" i="52" s="1"/>
  <c r="H580" i="52"/>
  <c r="I580" i="52" s="1"/>
  <c r="H579" i="52"/>
  <c r="I579" i="52" s="1"/>
  <c r="H577" i="52"/>
  <c r="I577" i="52" s="1"/>
  <c r="H576" i="52"/>
  <c r="I576" i="52" s="1"/>
  <c r="H575" i="52"/>
  <c r="I575" i="52" s="1"/>
  <c r="H574" i="52"/>
  <c r="I574" i="52" s="1"/>
  <c r="H573" i="52"/>
  <c r="I573" i="52" s="1"/>
  <c r="H568" i="52"/>
  <c r="I568" i="52" s="1"/>
  <c r="H567" i="52"/>
  <c r="I567" i="52" s="1"/>
  <c r="H566" i="52"/>
  <c r="I566" i="52" s="1"/>
  <c r="H562" i="52"/>
  <c r="I562" i="52" s="1"/>
  <c r="H561" i="52"/>
  <c r="I561" i="52" s="1"/>
  <c r="H560" i="52"/>
  <c r="I560" i="52" s="1"/>
  <c r="H559" i="52"/>
  <c r="I559" i="52" s="1"/>
  <c r="H554" i="52"/>
  <c r="I554" i="52" s="1"/>
  <c r="H553" i="52"/>
  <c r="I553" i="52" s="1"/>
  <c r="H552" i="52"/>
  <c r="I552" i="52" s="1"/>
  <c r="H551" i="52"/>
  <c r="I551" i="52" s="1"/>
  <c r="H550" i="52"/>
  <c r="I550" i="52" s="1"/>
  <c r="H545" i="52"/>
  <c r="I545" i="52" s="1"/>
  <c r="H544" i="52"/>
  <c r="I544" i="52" s="1"/>
  <c r="H543" i="52"/>
  <c r="I543" i="52" s="1"/>
  <c r="H542" i="52"/>
  <c r="I542" i="52" s="1"/>
  <c r="H541" i="52"/>
  <c r="I541" i="52" s="1"/>
  <c r="H536" i="52"/>
  <c r="I536" i="52" s="1"/>
  <c r="H535" i="52"/>
  <c r="I535" i="52" s="1"/>
  <c r="H534" i="52"/>
  <c r="I534" i="52" s="1"/>
  <c r="H533" i="52"/>
  <c r="I533" i="52" s="1"/>
  <c r="H532" i="52"/>
  <c r="I532" i="52" s="1"/>
  <c r="H527" i="52"/>
  <c r="I527" i="52" s="1"/>
  <c r="H526" i="52"/>
  <c r="I526" i="52" s="1"/>
  <c r="H525" i="52"/>
  <c r="I525" i="52" s="1"/>
  <c r="H524" i="52"/>
  <c r="I524" i="52" s="1"/>
  <c r="H523" i="52"/>
  <c r="I523" i="52" s="1"/>
  <c r="H518" i="52"/>
  <c r="I518" i="52" s="1"/>
  <c r="H517" i="52"/>
  <c r="I517" i="52" s="1"/>
  <c r="H516" i="52"/>
  <c r="I516" i="52" s="1"/>
  <c r="H515" i="52"/>
  <c r="I515" i="52" s="1"/>
  <c r="H514" i="52"/>
  <c r="I514" i="52" s="1"/>
  <c r="H509" i="52"/>
  <c r="I509" i="52" s="1"/>
  <c r="H508" i="52"/>
  <c r="I508" i="52" s="1"/>
  <c r="H507" i="52"/>
  <c r="I507" i="52" s="1"/>
  <c r="H506" i="52"/>
  <c r="I506" i="52" s="1"/>
  <c r="H505" i="52"/>
  <c r="I505" i="52" s="1"/>
  <c r="H504" i="52"/>
  <c r="I504" i="52" s="1"/>
  <c r="H499" i="52"/>
  <c r="I499" i="52" s="1"/>
  <c r="H498" i="52"/>
  <c r="I498" i="52" s="1"/>
  <c r="H497" i="52"/>
  <c r="I497" i="52" s="1"/>
  <c r="H496" i="52"/>
  <c r="I496" i="52" s="1"/>
  <c r="H495" i="52"/>
  <c r="I495" i="52" s="1"/>
  <c r="H494" i="52"/>
  <c r="I494" i="52" s="1"/>
  <c r="H493" i="52"/>
  <c r="I493" i="52" s="1"/>
  <c r="H488" i="52"/>
  <c r="I488" i="52" s="1"/>
  <c r="H487" i="52"/>
  <c r="I487" i="52" s="1"/>
  <c r="H482" i="52"/>
  <c r="I482" i="52" s="1"/>
  <c r="H481" i="52"/>
  <c r="I481" i="52" s="1"/>
  <c r="H480" i="52"/>
  <c r="I480" i="52" s="1"/>
  <c r="H479" i="52"/>
  <c r="I479" i="52" s="1"/>
  <c r="H478" i="52"/>
  <c r="I478" i="52" s="1"/>
  <c r="H477" i="52"/>
  <c r="I477" i="52" s="1"/>
  <c r="H476" i="52"/>
  <c r="I476" i="52" s="1"/>
  <c r="H471" i="52"/>
  <c r="I471" i="52" s="1"/>
  <c r="H470" i="52"/>
  <c r="I470" i="52" s="1"/>
  <c r="H469" i="52"/>
  <c r="I469" i="52" s="1"/>
  <c r="H468" i="52"/>
  <c r="I468" i="52" s="1"/>
  <c r="H467" i="52"/>
  <c r="I467" i="52" s="1"/>
  <c r="H462" i="52"/>
  <c r="I462" i="52" s="1"/>
  <c r="H461" i="52"/>
  <c r="I461" i="52" s="1"/>
  <c r="H460" i="52"/>
  <c r="I460" i="52" s="1"/>
  <c r="H459" i="52"/>
  <c r="I459" i="52" s="1"/>
  <c r="H458" i="52"/>
  <c r="I458" i="52" s="1"/>
  <c r="H453" i="52"/>
  <c r="I453" i="52" s="1"/>
  <c r="H452" i="52"/>
  <c r="I452" i="52" s="1"/>
  <c r="H451" i="52"/>
  <c r="I451" i="52" s="1"/>
  <c r="H450" i="52"/>
  <c r="I450" i="52" s="1"/>
  <c r="H449" i="52"/>
  <c r="I449" i="52" s="1"/>
  <c r="H444" i="52"/>
  <c r="I444" i="52" s="1"/>
  <c r="H443" i="52"/>
  <c r="I443" i="52" s="1"/>
  <c r="H442" i="52"/>
  <c r="I442" i="52" s="1"/>
  <c r="H441" i="52"/>
  <c r="I441" i="52" s="1"/>
  <c r="H440" i="52"/>
  <c r="I440" i="52" s="1"/>
  <c r="H435" i="52"/>
  <c r="I435" i="52" s="1"/>
  <c r="H434" i="52"/>
  <c r="I434" i="52" s="1"/>
  <c r="H433" i="52"/>
  <c r="I433" i="52" s="1"/>
  <c r="H432" i="52"/>
  <c r="I432" i="52" s="1"/>
  <c r="H431" i="52"/>
  <c r="I431" i="52" s="1"/>
  <c r="H426" i="52"/>
  <c r="I426" i="52" s="1"/>
  <c r="H425" i="52"/>
  <c r="I425" i="52" s="1"/>
  <c r="H424" i="52"/>
  <c r="I424" i="52" s="1"/>
  <c r="H423" i="52"/>
  <c r="I423" i="52" s="1"/>
  <c r="H422" i="52"/>
  <c r="I422" i="52" s="1"/>
  <c r="H421" i="52"/>
  <c r="I421" i="52" s="1"/>
  <c r="H420" i="52"/>
  <c r="I420" i="52" s="1"/>
  <c r="H415" i="52"/>
  <c r="I415" i="52" s="1"/>
  <c r="H414" i="52"/>
  <c r="I414" i="52" s="1"/>
  <c r="H413" i="52"/>
  <c r="I413" i="52" s="1"/>
  <c r="H412" i="52"/>
  <c r="I412" i="52" s="1"/>
  <c r="H411" i="52"/>
  <c r="I411" i="52" s="1"/>
  <c r="H410" i="52"/>
  <c r="I410" i="52" s="1"/>
  <c r="H406" i="52"/>
  <c r="I406" i="52" s="1"/>
  <c r="H401" i="52"/>
  <c r="I401" i="52" s="1"/>
  <c r="H396" i="52"/>
  <c r="I396" i="52" s="1"/>
  <c r="H395" i="52"/>
  <c r="I395" i="52" s="1"/>
  <c r="H390" i="52"/>
  <c r="I390" i="52" s="1"/>
  <c r="H389" i="52"/>
  <c r="I389" i="52" s="1"/>
  <c r="H388" i="52"/>
  <c r="I388" i="52" s="1"/>
  <c r="H387" i="52"/>
  <c r="I387" i="52" s="1"/>
  <c r="H382" i="52"/>
  <c r="I382" i="52" s="1"/>
  <c r="H377" i="52"/>
  <c r="I377" i="52" s="1"/>
  <c r="H376" i="52"/>
  <c r="I376" i="52" s="1"/>
  <c r="H375" i="52"/>
  <c r="I375" i="52" s="1"/>
  <c r="H374" i="52"/>
  <c r="I374" i="52" s="1"/>
  <c r="H369" i="52"/>
  <c r="I369" i="52" s="1"/>
  <c r="H368" i="52"/>
  <c r="I368" i="52" s="1"/>
  <c r="H367" i="52"/>
  <c r="I367" i="52" s="1"/>
  <c r="H366" i="52"/>
  <c r="I366" i="52" s="1"/>
  <c r="H365" i="52"/>
  <c r="I365" i="52" s="1"/>
  <c r="H364" i="52"/>
  <c r="I364" i="52" s="1"/>
  <c r="H359" i="52"/>
  <c r="I359" i="52" s="1"/>
  <c r="H358" i="52"/>
  <c r="I358" i="52" s="1"/>
  <c r="H357" i="52"/>
  <c r="I357" i="52" s="1"/>
  <c r="H356" i="52"/>
  <c r="I356" i="52" s="1"/>
  <c r="H355" i="52"/>
  <c r="I355" i="52" s="1"/>
  <c r="H353" i="52"/>
  <c r="I353" i="52" s="1"/>
  <c r="H352" i="52"/>
  <c r="I352" i="52" s="1"/>
  <c r="H347" i="52"/>
  <c r="I347" i="52" s="1"/>
  <c r="H346" i="52"/>
  <c r="I346" i="52" s="1"/>
  <c r="H345" i="52"/>
  <c r="I345" i="52" s="1"/>
  <c r="H344" i="52"/>
  <c r="I344" i="52" s="1"/>
  <c r="H343" i="52"/>
  <c r="I343" i="52" s="1"/>
  <c r="H342" i="52"/>
  <c r="I342" i="52" s="1"/>
  <c r="H274" i="52"/>
  <c r="I274" i="52" s="1"/>
  <c r="H269" i="52"/>
  <c r="I269" i="52" s="1"/>
  <c r="H268" i="52"/>
  <c r="I268" i="52" s="1"/>
  <c r="H267" i="52"/>
  <c r="I267" i="52" s="1"/>
  <c r="H266" i="52"/>
  <c r="I266" i="52" s="1"/>
  <c r="H265" i="52"/>
  <c r="I265" i="52" s="1"/>
  <c r="H264" i="52"/>
  <c r="I264" i="52" s="1"/>
  <c r="H227" i="52"/>
  <c r="I227" i="52" s="1"/>
  <c r="H222" i="52"/>
  <c r="I222" i="52" s="1"/>
  <c r="H221" i="52"/>
  <c r="I221" i="52" s="1"/>
  <c r="H220" i="52"/>
  <c r="I220" i="52" s="1"/>
  <c r="H219" i="52"/>
  <c r="I219" i="52" s="1"/>
  <c r="H218" i="52"/>
  <c r="I218" i="52" s="1"/>
  <c r="H217" i="52"/>
  <c r="I217" i="52" s="1"/>
  <c r="H181" i="52"/>
  <c r="I181" i="52" s="1"/>
  <c r="H176" i="52"/>
  <c r="I176" i="52" s="1"/>
  <c r="H175" i="52"/>
  <c r="I175" i="52" s="1"/>
  <c r="H174" i="52"/>
  <c r="I174" i="52" s="1"/>
  <c r="H173" i="52"/>
  <c r="I173" i="52" s="1"/>
  <c r="H172" i="52"/>
  <c r="I172" i="52" s="1"/>
  <c r="H171" i="52"/>
  <c r="I171" i="52" s="1"/>
  <c r="H101" i="52"/>
  <c r="I101" i="52" s="1"/>
  <c r="H96" i="52"/>
  <c r="I96" i="52" s="1"/>
  <c r="H95" i="52"/>
  <c r="I95" i="52" s="1"/>
  <c r="H94" i="52"/>
  <c r="I94" i="52" s="1"/>
  <c r="H93" i="52"/>
  <c r="I93" i="52" s="1"/>
  <c r="H92" i="52"/>
  <c r="I92" i="52" s="1"/>
  <c r="H79" i="52"/>
  <c r="I79" i="52" s="1"/>
  <c r="H78" i="52"/>
  <c r="I78" i="52" s="1"/>
  <c r="H73" i="52"/>
  <c r="I73" i="52" s="1"/>
  <c r="H72" i="52"/>
  <c r="I72" i="52" s="1"/>
  <c r="H71" i="52"/>
  <c r="I71" i="52" s="1"/>
  <c r="H70" i="52"/>
  <c r="I70" i="52" s="1"/>
  <c r="H69" i="52"/>
  <c r="I69" i="52" s="1"/>
  <c r="H68" i="52"/>
  <c r="I68" i="52" s="1"/>
  <c r="H63" i="52"/>
  <c r="I63" i="52" s="1"/>
  <c r="H58" i="52"/>
  <c r="I58" i="52" s="1"/>
  <c r="H57" i="52"/>
  <c r="I57" i="52" s="1"/>
  <c r="H56" i="52"/>
  <c r="I56" i="52" s="1"/>
  <c r="H55" i="52"/>
  <c r="I55" i="52" s="1"/>
  <c r="H54" i="52"/>
  <c r="I54" i="52" s="1"/>
  <c r="H53" i="52"/>
  <c r="I53" i="52" s="1"/>
  <c r="H50" i="52"/>
  <c r="I50" i="52" s="1"/>
  <c r="H45" i="52"/>
  <c r="I45" i="52" s="1"/>
  <c r="H44" i="52"/>
  <c r="I44" i="52" s="1"/>
  <c r="H39" i="52"/>
  <c r="I39" i="52" s="1"/>
  <c r="H38" i="52"/>
  <c r="I38" i="52" s="1"/>
  <c r="H37" i="52"/>
  <c r="I37" i="52" s="1"/>
  <c r="H36" i="52"/>
  <c r="I36" i="52" s="1"/>
  <c r="B2666" i="52" l="1"/>
  <c r="B2610" i="52"/>
  <c r="B2641" i="52"/>
  <c r="I2624" i="52"/>
  <c r="B2649" i="52"/>
  <c r="B2603" i="52"/>
  <c r="B2597" i="52"/>
  <c r="B2617" i="52"/>
  <c r="I2560" i="52"/>
  <c r="B2470" i="52"/>
  <c r="B2573" i="52"/>
  <c r="B2537" i="52"/>
  <c r="B2585" i="52"/>
  <c r="I2500" i="52"/>
  <c r="I2516" i="52"/>
  <c r="B2547" i="52"/>
  <c r="B2532" i="52"/>
  <c r="B2542" i="52"/>
  <c r="I2462" i="52"/>
  <c r="I2488" i="52"/>
  <c r="B2509" i="52"/>
  <c r="B2524" i="52"/>
  <c r="B2396" i="52"/>
  <c r="B2337" i="52"/>
  <c r="B2479" i="52"/>
  <c r="B2440" i="52"/>
  <c r="I2448" i="52"/>
  <c r="I2427" i="52"/>
  <c r="B2372" i="52"/>
  <c r="I2279" i="52"/>
  <c r="B2314" i="52"/>
  <c r="I2379" i="52"/>
  <c r="B2416" i="52"/>
  <c r="B2355" i="52"/>
  <c r="B2388" i="52"/>
  <c r="B2405" i="52"/>
  <c r="I2360" i="52"/>
  <c r="B2344" i="52"/>
  <c r="B2330" i="52"/>
  <c r="B2200" i="52"/>
  <c r="B2323" i="52"/>
  <c r="B2273" i="52"/>
  <c r="B2303" i="52"/>
  <c r="B2163" i="52"/>
  <c r="B2296" i="52"/>
  <c r="B2129" i="52"/>
  <c r="I2265" i="52"/>
  <c r="I2288" i="52"/>
  <c r="B2155" i="52"/>
  <c r="I2250" i="52"/>
  <c r="B2191" i="52"/>
  <c r="B2234" i="52"/>
  <c r="B2209" i="52"/>
  <c r="B2227" i="52"/>
  <c r="I2218" i="52"/>
  <c r="B2242" i="52"/>
  <c r="B2258" i="52"/>
  <c r="B2147" i="52"/>
  <c r="B2171" i="52"/>
  <c r="B2138" i="52"/>
  <c r="B2119" i="52"/>
  <c r="B2020" i="52"/>
  <c r="B2111" i="52"/>
  <c r="B2102" i="52"/>
  <c r="B2093" i="52"/>
  <c r="B2083" i="52"/>
  <c r="B2044" i="52"/>
  <c r="B2074" i="52"/>
  <c r="B2034" i="52"/>
  <c r="I2065" i="52"/>
  <c r="I1995" i="52"/>
  <c r="B1971" i="52"/>
  <c r="B2027" i="52"/>
  <c r="B1939" i="52"/>
  <c r="I2056" i="52"/>
  <c r="B2010" i="52"/>
  <c r="I2054" i="52"/>
  <c r="J2044" i="52" s="1"/>
  <c r="I2063" i="52"/>
  <c r="J2056" i="52" s="1"/>
  <c r="I2042" i="52"/>
  <c r="J2034" i="52" s="1"/>
  <c r="I2507" i="52"/>
  <c r="J2500" i="52" s="1"/>
  <c r="I2377" i="52"/>
  <c r="J2372" i="52" s="1"/>
  <c r="I2403" i="52"/>
  <c r="J2396" i="52" s="1"/>
  <c r="I2446" i="52"/>
  <c r="J2440" i="52" s="1"/>
  <c r="I2414" i="52"/>
  <c r="J2405" i="52" s="1"/>
  <c r="I2460" i="52"/>
  <c r="J2448" i="52" s="1"/>
  <c r="I2486" i="52"/>
  <c r="J2479" i="52" s="1"/>
  <c r="I2091" i="52"/>
  <c r="J2083" i="52" s="1"/>
  <c r="I2425" i="52"/>
  <c r="J2416" i="52" s="1"/>
  <c r="I2498" i="52"/>
  <c r="J2488" i="52" s="1"/>
  <c r="I2394" i="52"/>
  <c r="J2388" i="52" s="1"/>
  <c r="I2438" i="52"/>
  <c r="J2427" i="52" s="1"/>
  <c r="I2468" i="52"/>
  <c r="J2462" i="52" s="1"/>
  <c r="I2477" i="52"/>
  <c r="J2470" i="52" s="1"/>
  <c r="I2558" i="52"/>
  <c r="J2547" i="52" s="1"/>
  <c r="I2595" i="52"/>
  <c r="J2585" i="52" s="1"/>
  <c r="B1979" i="52"/>
  <c r="I2117" i="52"/>
  <c r="J2111" i="52" s="1"/>
  <c r="I2153" i="52"/>
  <c r="J2147" i="52" s="1"/>
  <c r="I2198" i="52"/>
  <c r="J2191" i="52" s="1"/>
  <c r="I2225" i="52"/>
  <c r="J2218" i="52" s="1"/>
  <c r="I2248" i="52"/>
  <c r="J2242" i="52" s="1"/>
  <c r="I2277" i="52"/>
  <c r="J2273" i="52" s="1"/>
  <c r="I2540" i="52"/>
  <c r="J2537" i="52" s="1"/>
  <c r="I2571" i="52"/>
  <c r="J2560" i="52" s="1"/>
  <c r="I2608" i="52"/>
  <c r="J2603" i="52" s="1"/>
  <c r="B1987" i="52"/>
  <c r="I2169" i="52"/>
  <c r="J2163" i="52" s="1"/>
  <c r="I2207" i="52"/>
  <c r="J2200" i="52" s="1"/>
  <c r="I2256" i="52"/>
  <c r="J2250" i="52" s="1"/>
  <c r="I2328" i="52"/>
  <c r="J2323" i="52" s="1"/>
  <c r="I2535" i="52"/>
  <c r="J2532" i="52" s="1"/>
  <c r="I2601" i="52"/>
  <c r="J2597" i="52" s="1"/>
  <c r="I2032" i="52"/>
  <c r="J2027" i="52" s="1"/>
  <c r="I2136" i="52"/>
  <c r="J2129" i="52" s="1"/>
  <c r="I2232" i="52"/>
  <c r="J2227" i="52" s="1"/>
  <c r="I2263" i="52"/>
  <c r="J2258" i="52" s="1"/>
  <c r="I2312" i="52"/>
  <c r="J2303" i="52" s="1"/>
  <c r="I2216" i="52"/>
  <c r="J2209" i="52" s="1"/>
  <c r="I2240" i="52"/>
  <c r="J2234" i="52" s="1"/>
  <c r="I2271" i="52"/>
  <c r="J2265" i="52" s="1"/>
  <c r="I2294" i="52"/>
  <c r="J2288" i="52" s="1"/>
  <c r="I2335" i="52"/>
  <c r="J2330" i="52" s="1"/>
  <c r="I2342" i="52"/>
  <c r="J2337" i="52" s="1"/>
  <c r="I2545" i="52"/>
  <c r="J2542" i="52" s="1"/>
  <c r="I2583" i="52"/>
  <c r="J2573" i="52" s="1"/>
  <c r="I2615" i="52"/>
  <c r="J2610" i="52" s="1"/>
  <c r="I2161" i="52"/>
  <c r="J2155" i="52" s="1"/>
  <c r="I2514" i="52"/>
  <c r="J2509" i="52" s="1"/>
  <c r="I2522" i="52"/>
  <c r="J2516" i="52" s="1"/>
  <c r="I2647" i="52"/>
  <c r="J2641" i="52" s="1"/>
  <c r="I2659" i="52"/>
  <c r="J2656" i="52" s="1"/>
  <c r="I2664" i="52"/>
  <c r="J2661" i="52" s="1"/>
  <c r="I2670" i="52"/>
  <c r="J2666" i="52" s="1"/>
  <c r="I2631" i="52"/>
  <c r="J2624" i="52" s="1"/>
  <c r="I2654" i="52"/>
  <c r="J2649" i="52" s="1"/>
  <c r="I2622" i="52"/>
  <c r="J2617" i="52" s="1"/>
  <c r="I2639" i="52"/>
  <c r="J2633" i="52" s="1"/>
  <c r="I2530" i="52"/>
  <c r="J2524" i="52" s="1"/>
  <c r="I2358" i="52"/>
  <c r="J2355" i="52" s="1"/>
  <c r="I2370" i="52"/>
  <c r="J2360" i="52" s="1"/>
  <c r="I2386" i="52"/>
  <c r="J2379" i="52" s="1"/>
  <c r="I2286" i="52"/>
  <c r="J2279" i="52" s="1"/>
  <c r="I2301" i="52"/>
  <c r="J2296" i="52" s="1"/>
  <c r="I2321" i="52"/>
  <c r="J2314" i="52" s="1"/>
  <c r="I2353" i="52"/>
  <c r="J2344" i="52" s="1"/>
  <c r="I2189" i="52"/>
  <c r="J2171" i="52" s="1"/>
  <c r="I2100" i="52"/>
  <c r="J2093" i="52" s="1"/>
  <c r="I2109" i="52"/>
  <c r="J2102" i="52" s="1"/>
  <c r="I2127" i="52"/>
  <c r="J2119" i="52" s="1"/>
  <c r="I2145" i="52"/>
  <c r="J2138" i="52" s="1"/>
  <c r="I2081" i="52"/>
  <c r="J2074" i="52" s="1"/>
  <c r="I2072" i="52"/>
  <c r="J2065" i="52" s="1"/>
  <c r="I2025" i="52"/>
  <c r="J2020" i="52" s="1"/>
  <c r="I2018" i="52"/>
  <c r="J2010" i="52" s="1"/>
  <c r="I2008" i="52"/>
  <c r="J2003" i="52" s="1"/>
  <c r="B2003" i="52"/>
  <c r="I1894" i="52"/>
  <c r="I1921" i="52"/>
  <c r="B1955" i="52"/>
  <c r="I1860" i="52"/>
  <c r="B1913" i="52"/>
  <c r="B1850" i="52"/>
  <c r="B1947" i="52"/>
  <c r="I1885" i="52"/>
  <c r="B1878" i="52"/>
  <c r="B1963" i="52"/>
  <c r="I1930" i="52"/>
  <c r="B1740" i="52"/>
  <c r="B1907" i="52"/>
  <c r="B1870" i="52"/>
  <c r="B1901" i="52"/>
  <c r="B1764" i="52"/>
  <c r="B1840" i="52"/>
  <c r="B1802" i="52"/>
  <c r="B1830" i="52"/>
  <c r="B1821" i="52"/>
  <c r="B1792" i="52"/>
  <c r="I1811" i="52"/>
  <c r="B1696" i="52"/>
  <c r="B1782" i="52"/>
  <c r="B1772" i="52"/>
  <c r="B1756" i="52"/>
  <c r="I1724" i="52"/>
  <c r="B1748" i="52"/>
  <c r="I1716" i="52"/>
  <c r="B1732" i="52"/>
  <c r="I1435" i="52"/>
  <c r="B1677" i="52"/>
  <c r="B1706" i="52"/>
  <c r="B1657" i="52"/>
  <c r="I1461" i="52"/>
  <c r="B1573" i="52"/>
  <c r="I1667" i="52"/>
  <c r="I1624" i="52"/>
  <c r="B1687" i="52"/>
  <c r="B1558" i="52"/>
  <c r="B1616" i="52"/>
  <c r="B1587" i="52"/>
  <c r="B1647" i="52"/>
  <c r="B1640" i="52"/>
  <c r="I1632" i="52"/>
  <c r="B1601" i="52"/>
  <c r="I1551" i="52"/>
  <c r="B1609" i="52"/>
  <c r="B1594" i="52"/>
  <c r="B1565" i="52"/>
  <c r="B1581" i="52"/>
  <c r="I1521" i="52"/>
  <c r="B1528" i="52"/>
  <c r="B1478" i="52"/>
  <c r="I1536" i="52"/>
  <c r="B1543" i="52"/>
  <c r="B1500" i="52"/>
  <c r="B1493" i="52"/>
  <c r="I1514" i="52"/>
  <c r="I1428" i="52"/>
  <c r="B1422" i="52"/>
  <c r="B1507" i="52"/>
  <c r="I1448" i="52"/>
  <c r="I1442" i="52"/>
  <c r="B1468" i="52"/>
  <c r="I1454" i="52"/>
  <c r="I1415" i="52"/>
  <c r="I1381" i="52"/>
  <c r="I1315" i="52"/>
  <c r="I1374" i="52"/>
  <c r="I1406" i="52"/>
  <c r="B1398" i="52"/>
  <c r="I1336" i="52"/>
  <c r="I1367" i="52"/>
  <c r="B1359" i="52"/>
  <c r="B1390" i="52"/>
  <c r="B1351" i="52"/>
  <c r="B1292" i="52"/>
  <c r="B1343" i="52"/>
  <c r="B1284" i="52"/>
  <c r="I1308" i="52"/>
  <c r="B1300" i="52"/>
  <c r="I1329" i="52"/>
  <c r="B1322" i="52"/>
  <c r="B1254" i="52"/>
  <c r="I1277" i="52"/>
  <c r="I1270" i="52"/>
  <c r="B1232" i="52"/>
  <c r="B1172" i="52"/>
  <c r="I1226" i="52"/>
  <c r="B1262" i="52"/>
  <c r="B1199" i="52"/>
  <c r="B1246" i="52"/>
  <c r="B1238" i="52"/>
  <c r="B1214" i="52"/>
  <c r="B1220" i="52"/>
  <c r="I1207" i="52"/>
  <c r="I1178" i="52"/>
  <c r="I1112" i="52"/>
  <c r="B1166" i="52"/>
  <c r="B1136" i="52"/>
  <c r="B1191" i="52"/>
  <c r="B1185" i="52"/>
  <c r="I1159" i="52"/>
  <c r="B1096" i="52"/>
  <c r="B1088" i="52"/>
  <c r="I1152" i="52"/>
  <c r="B1144" i="52"/>
  <c r="B1104" i="52"/>
  <c r="I1120" i="52"/>
  <c r="I1032" i="52"/>
  <c r="B1128" i="52"/>
  <c r="B1072" i="52"/>
  <c r="B1064" i="52"/>
  <c r="B1056" i="52"/>
  <c r="B1080" i="52"/>
  <c r="I1039" i="52"/>
  <c r="B1046" i="52"/>
  <c r="I902" i="52"/>
  <c r="I958" i="52"/>
  <c r="I986" i="52"/>
  <c r="I1025" i="52"/>
  <c r="I965" i="52"/>
  <c r="B993" i="52"/>
  <c r="I1008" i="52"/>
  <c r="I979" i="52"/>
  <c r="I944" i="52"/>
  <c r="I972" i="52"/>
  <c r="I1001" i="52"/>
  <c r="I892" i="52"/>
  <c r="I866" i="52"/>
  <c r="I931" i="52"/>
  <c r="B861" i="52"/>
  <c r="I951" i="52"/>
  <c r="B936" i="52"/>
  <c r="B799" i="52"/>
  <c r="B925" i="52"/>
  <c r="B920" i="52"/>
  <c r="B911" i="52"/>
  <c r="B884" i="52"/>
  <c r="I815" i="52"/>
  <c r="B876" i="52"/>
  <c r="B847" i="52"/>
  <c r="I838" i="52"/>
  <c r="B792" i="52"/>
  <c r="B853" i="52"/>
  <c r="I822" i="52"/>
  <c r="B778" i="52"/>
  <c r="I829" i="52"/>
  <c r="I806" i="52"/>
  <c r="I735" i="52"/>
  <c r="I785" i="52"/>
  <c r="I753" i="52"/>
  <c r="I771" i="52"/>
  <c r="I728" i="52"/>
  <c r="I684" i="52"/>
  <c r="I762" i="52"/>
  <c r="B744" i="52"/>
  <c r="B706" i="52"/>
  <c r="B696" i="52"/>
  <c r="I721" i="52"/>
  <c r="I640" i="52"/>
  <c r="B660" i="52"/>
  <c r="I716" i="52"/>
  <c r="I621" i="52"/>
  <c r="I539" i="52"/>
  <c r="B648" i="52"/>
  <c r="B583" i="52"/>
  <c r="B380" i="52"/>
  <c r="B672" i="52"/>
  <c r="I612" i="52"/>
  <c r="B571" i="52"/>
  <c r="B592" i="52"/>
  <c r="B548" i="52"/>
  <c r="B630" i="52"/>
  <c r="B601" i="52"/>
  <c r="B512" i="52"/>
  <c r="I474" i="52"/>
  <c r="I465" i="52"/>
  <c r="B502" i="52"/>
  <c r="I557" i="52"/>
  <c r="I350" i="52"/>
  <c r="B530" i="52"/>
  <c r="B521" i="52"/>
  <c r="B438" i="52"/>
  <c r="I429" i="52"/>
  <c r="B491" i="52"/>
  <c r="B456" i="52"/>
  <c r="B447" i="52"/>
  <c r="I485" i="52"/>
  <c r="I362" i="52"/>
  <c r="B418" i="52"/>
  <c r="B399" i="52"/>
  <c r="B404" i="52"/>
  <c r="B393" i="52"/>
  <c r="B372" i="52"/>
  <c r="B225" i="52"/>
  <c r="I272" i="52"/>
  <c r="I1534" i="52"/>
  <c r="J1528" i="52" s="1"/>
  <c r="I1563" i="52"/>
  <c r="J1558" i="52" s="1"/>
  <c r="I1599" i="52"/>
  <c r="J1594" i="52" s="1"/>
  <c r="I1630" i="52"/>
  <c r="J1624" i="52" s="1"/>
  <c r="I670" i="52"/>
  <c r="J660" i="52" s="1"/>
  <c r="I742" i="52"/>
  <c r="J735" i="52" s="1"/>
  <c r="I874" i="52"/>
  <c r="J866" i="52" s="1"/>
  <c r="I1212" i="52"/>
  <c r="J1207" i="52" s="1"/>
  <c r="I628" i="52"/>
  <c r="J621" i="52" s="1"/>
  <c r="I1585" i="52"/>
  <c r="J1581" i="52" s="1"/>
  <c r="I1614" i="52"/>
  <c r="J1609" i="52" s="1"/>
  <c r="I1645" i="52"/>
  <c r="J1640" i="52" s="1"/>
  <c r="B99" i="52"/>
  <c r="I99" i="52"/>
  <c r="I714" i="52"/>
  <c r="J706" i="52" s="1"/>
  <c r="I590" i="52"/>
  <c r="J583" i="52" s="1"/>
  <c r="I179" i="52"/>
  <c r="I270" i="52"/>
  <c r="J225" i="52" s="1"/>
  <c r="I76" i="52"/>
  <c r="B61" i="52"/>
  <c r="B48" i="52"/>
  <c r="B42" i="52"/>
  <c r="I977" i="52"/>
  <c r="J972" i="52" s="1"/>
  <c r="I581" i="52"/>
  <c r="J571" i="52" s="1"/>
  <c r="I619" i="52"/>
  <c r="J612" i="52" s="1"/>
  <c r="I658" i="52"/>
  <c r="J648" i="52" s="1"/>
  <c r="I704" i="52"/>
  <c r="J696" i="52" s="1"/>
  <c r="I733" i="52"/>
  <c r="J728" i="52" s="1"/>
  <c r="I769" i="52"/>
  <c r="J762" i="52" s="1"/>
  <c r="I909" i="52"/>
  <c r="J902" i="52" s="1"/>
  <c r="I991" i="52"/>
  <c r="J986" i="52" s="1"/>
  <c r="I1420" i="52"/>
  <c r="J1415" i="52" s="1"/>
  <c r="I59" i="52"/>
  <c r="J48" i="52" s="1"/>
  <c r="I74" i="52"/>
  <c r="J61" i="52" s="1"/>
  <c r="I223" i="52"/>
  <c r="J179" i="52" s="1"/>
  <c r="I436" i="52"/>
  <c r="J429" i="52" s="1"/>
  <c r="I569" i="52"/>
  <c r="J557" i="52" s="1"/>
  <c r="I610" i="52"/>
  <c r="J601" i="52" s="1"/>
  <c r="I646" i="52"/>
  <c r="J640" i="52" s="1"/>
  <c r="I694" i="52"/>
  <c r="J684" i="52" s="1"/>
  <c r="I726" i="52"/>
  <c r="J721" i="52" s="1"/>
  <c r="I760" i="52"/>
  <c r="J753" i="52" s="1"/>
  <c r="I1006" i="52"/>
  <c r="J1001" i="52" s="1"/>
  <c r="I1157" i="52"/>
  <c r="J1152" i="52" s="1"/>
  <c r="I1704" i="52"/>
  <c r="J1696" i="52" s="1"/>
  <c r="I519" i="52"/>
  <c r="J512" i="52" s="1"/>
  <c r="I555" i="52"/>
  <c r="J548" i="52" s="1"/>
  <c r="I599" i="52"/>
  <c r="J592" i="52" s="1"/>
  <c r="I638" i="52"/>
  <c r="J630" i="52" s="1"/>
  <c r="I682" i="52"/>
  <c r="J672" i="52" s="1"/>
  <c r="I719" i="52"/>
  <c r="J716" i="52" s="1"/>
  <c r="I751" i="52"/>
  <c r="J744" i="52" s="1"/>
  <c r="I918" i="52"/>
  <c r="J911" i="52" s="1"/>
  <c r="I1993" i="52"/>
  <c r="J1987" i="52" s="1"/>
  <c r="I851" i="52"/>
  <c r="J847" i="52" s="1"/>
  <c r="I882" i="52"/>
  <c r="J876" i="52" s="1"/>
  <c r="I1224" i="52"/>
  <c r="J1220" i="52" s="1"/>
  <c r="I1446" i="52"/>
  <c r="J1442" i="52" s="1"/>
  <c r="I1466" i="52"/>
  <c r="J1461" i="52" s="1"/>
  <c r="I1476" i="52"/>
  <c r="J1468" i="52" s="1"/>
  <c r="I370" i="52"/>
  <c r="J362" i="52" s="1"/>
  <c r="I463" i="52"/>
  <c r="J456" i="52" s="1"/>
  <c r="I790" i="52"/>
  <c r="J785" i="52" s="1"/>
  <c r="I97" i="52"/>
  <c r="J76" i="52" s="1"/>
  <c r="I177" i="52"/>
  <c r="J99" i="52" s="1"/>
  <c r="I348" i="52"/>
  <c r="J272" i="52" s="1"/>
  <c r="I427" i="52"/>
  <c r="J418" i="52" s="1"/>
  <c r="I445" i="52"/>
  <c r="J438" i="52" s="1"/>
  <c r="I483" i="52"/>
  <c r="J474" i="52" s="1"/>
  <c r="I783" i="52"/>
  <c r="J778" i="52" s="1"/>
  <c r="I797" i="52"/>
  <c r="J792" i="52" s="1"/>
  <c r="I813" i="52"/>
  <c r="J806" i="52" s="1"/>
  <c r="I537" i="52"/>
  <c r="J530" i="52" s="1"/>
  <c r="I776" i="52"/>
  <c r="J771" i="52" s="1"/>
  <c r="I804" i="52"/>
  <c r="J799" i="52" s="1"/>
  <c r="I949" i="52"/>
  <c r="J944" i="52" s="1"/>
  <c r="I1037" i="52"/>
  <c r="J1032" i="52" s="1"/>
  <c r="I1044" i="52"/>
  <c r="J1039" i="52" s="1"/>
  <c r="I1062" i="52"/>
  <c r="J1056" i="52" s="1"/>
  <c r="I1078" i="52"/>
  <c r="J1072" i="52" s="1"/>
  <c r="I1142" i="52"/>
  <c r="J1136" i="52" s="1"/>
  <c r="I1170" i="52"/>
  <c r="J1166" i="52" s="1"/>
  <c r="I1197" i="52"/>
  <c r="J1191" i="52" s="1"/>
  <c r="I1365" i="52"/>
  <c r="J1359" i="52" s="1"/>
  <c r="I1459" i="52"/>
  <c r="J1454" i="52" s="1"/>
  <c r="I1498" i="52"/>
  <c r="J1493" i="52" s="1"/>
  <c r="I1977" i="52"/>
  <c r="J1971" i="52" s="1"/>
  <c r="I1244" i="52"/>
  <c r="J1238" i="52" s="1"/>
  <c r="I1413" i="52"/>
  <c r="J1406" i="52" s="1"/>
  <c r="I1665" i="52"/>
  <c r="J1657" i="52" s="1"/>
  <c r="I1945" i="52"/>
  <c r="J1939" i="52" s="1"/>
  <c r="I1030" i="52"/>
  <c r="J1025" i="52" s="1"/>
  <c r="I1183" i="52"/>
  <c r="J1178" i="52" s="1"/>
  <c r="I1230" i="52"/>
  <c r="J1226" i="52" s="1"/>
  <c r="I1236" i="52"/>
  <c r="J1232" i="52" s="1"/>
  <c r="I984" i="52"/>
  <c r="J979" i="52" s="1"/>
  <c r="I1252" i="52"/>
  <c r="J1246" i="52" s="1"/>
  <c r="I1260" i="52"/>
  <c r="J1254" i="52" s="1"/>
  <c r="I1268" i="52"/>
  <c r="J1262" i="52" s="1"/>
  <c r="I1404" i="52"/>
  <c r="J1398" i="52" s="1"/>
  <c r="I1433" i="52"/>
  <c r="J1428" i="52" s="1"/>
  <c r="I1738" i="52"/>
  <c r="J1732" i="52" s="1"/>
  <c r="I1754" i="52"/>
  <c r="J1748" i="52" s="1"/>
  <c r="I1770" i="52"/>
  <c r="J1764" i="52" s="1"/>
  <c r="I1780" i="52"/>
  <c r="J1772" i="52" s="1"/>
  <c r="I1928" i="52"/>
  <c r="J1921" i="52" s="1"/>
  <c r="I1961" i="52"/>
  <c r="J1955" i="52" s="1"/>
  <c r="I1858" i="52"/>
  <c r="J1850" i="52" s="1"/>
  <c r="I1919" i="52"/>
  <c r="J1913" i="52" s="1"/>
  <c r="I1275" i="52"/>
  <c r="J1270" i="52" s="1"/>
  <c r="I1282" i="52"/>
  <c r="J1277" i="52" s="1"/>
  <c r="I1320" i="52"/>
  <c r="J1315" i="52" s="1"/>
  <c r="I1341" i="52"/>
  <c r="J1336" i="52" s="1"/>
  <c r="I1349" i="52"/>
  <c r="J1343" i="52" s="1"/>
  <c r="I1357" i="52"/>
  <c r="J1351" i="52" s="1"/>
  <c r="I1685" i="52"/>
  <c r="J1677" i="52" s="1"/>
  <c r="I1714" i="52"/>
  <c r="J1706" i="52" s="1"/>
  <c r="I1800" i="52"/>
  <c r="J1792" i="52" s="1"/>
  <c r="I1722" i="52"/>
  <c r="J1716" i="52" s="1"/>
  <c r="I1762" i="52"/>
  <c r="J1756" i="52" s="1"/>
  <c r="I1892" i="52"/>
  <c r="J1885" i="52" s="1"/>
  <c r="I1809" i="52"/>
  <c r="J1802" i="52" s="1"/>
  <c r="I1790" i="52"/>
  <c r="J1782" i="52" s="1"/>
  <c r="I1819" i="52"/>
  <c r="J1811" i="52" s="1"/>
  <c r="I1828" i="52"/>
  <c r="J1821" i="52" s="1"/>
  <c r="I1868" i="52"/>
  <c r="J1860" i="52" s="1"/>
  <c r="I1899" i="52"/>
  <c r="J1894" i="52" s="1"/>
  <c r="I1937" i="52"/>
  <c r="J1930" i="52" s="1"/>
  <c r="I1838" i="52"/>
  <c r="J1830" i="52" s="1"/>
  <c r="I1876" i="52"/>
  <c r="J1870" i="52" s="1"/>
  <c r="I1905" i="52"/>
  <c r="J1901" i="52" s="1"/>
  <c r="I1953" i="52"/>
  <c r="J1947" i="52" s="1"/>
  <c r="I1985" i="52"/>
  <c r="J1979" i="52" s="1"/>
  <c r="I2001" i="52"/>
  <c r="J1995" i="52" s="1"/>
  <c r="I1848" i="52"/>
  <c r="J1840" i="52" s="1"/>
  <c r="I1883" i="52"/>
  <c r="J1878" i="52" s="1"/>
  <c r="I1911" i="52"/>
  <c r="J1907" i="52" s="1"/>
  <c r="I1969" i="52"/>
  <c r="J1963" i="52" s="1"/>
  <c r="I1512" i="52"/>
  <c r="J1507" i="52" s="1"/>
  <c r="I1541" i="52"/>
  <c r="J1536" i="52" s="1"/>
  <c r="I1571" i="52"/>
  <c r="J1565" i="52" s="1"/>
  <c r="I1519" i="52"/>
  <c r="J1514" i="52" s="1"/>
  <c r="I1549" i="52"/>
  <c r="J1543" i="52" s="1"/>
  <c r="I1526" i="52"/>
  <c r="J1521" i="52" s="1"/>
  <c r="I1556" i="52"/>
  <c r="J1551" i="52" s="1"/>
  <c r="I1579" i="52"/>
  <c r="J1573" i="52" s="1"/>
  <c r="I1592" i="52"/>
  <c r="J1587" i="52" s="1"/>
  <c r="I1607" i="52"/>
  <c r="J1601" i="52" s="1"/>
  <c r="I1622" i="52"/>
  <c r="J1616" i="52" s="1"/>
  <c r="I1638" i="52"/>
  <c r="J1632" i="52" s="1"/>
  <c r="I1694" i="52"/>
  <c r="J1687" i="52" s="1"/>
  <c r="I1675" i="52"/>
  <c r="J1667" i="52" s="1"/>
  <c r="I1746" i="52"/>
  <c r="J1740" i="52" s="1"/>
  <c r="I1655" i="52"/>
  <c r="J1647" i="52" s="1"/>
  <c r="I1730" i="52"/>
  <c r="J1724" i="52" s="1"/>
  <c r="I1290" i="52"/>
  <c r="J1284" i="52" s="1"/>
  <c r="I1313" i="52"/>
  <c r="J1308" i="52" s="1"/>
  <c r="I1379" i="52"/>
  <c r="J1374" i="52" s="1"/>
  <c r="I1388" i="52"/>
  <c r="J1381" i="52" s="1"/>
  <c r="I1306" i="52"/>
  <c r="J1300" i="52" s="1"/>
  <c r="I1327" i="52"/>
  <c r="J1322" i="52" s="1"/>
  <c r="I1334" i="52"/>
  <c r="J1329" i="52" s="1"/>
  <c r="I1298" i="52"/>
  <c r="J1292" i="52" s="1"/>
  <c r="I1372" i="52"/>
  <c r="J1367" i="52" s="1"/>
  <c r="I1396" i="52"/>
  <c r="J1390" i="52" s="1"/>
  <c r="I1452" i="52"/>
  <c r="J1448" i="52" s="1"/>
  <c r="I1440" i="52"/>
  <c r="J1435" i="52" s="1"/>
  <c r="I1505" i="52"/>
  <c r="J1500" i="52" s="1"/>
  <c r="I1426" i="52"/>
  <c r="J1422" i="52" s="1"/>
  <c r="I1491" i="52"/>
  <c r="J1478" i="52" s="1"/>
  <c r="I1094" i="52"/>
  <c r="J1088" i="52" s="1"/>
  <c r="I1126" i="52"/>
  <c r="J1120" i="52" s="1"/>
  <c r="I1134" i="52"/>
  <c r="J1128" i="52" s="1"/>
  <c r="I1150" i="52"/>
  <c r="J1144" i="52" s="1"/>
  <c r="I1164" i="52"/>
  <c r="J1159" i="52" s="1"/>
  <c r="I1176" i="52"/>
  <c r="J1172" i="52" s="1"/>
  <c r="I1189" i="52"/>
  <c r="J1185" i="52" s="1"/>
  <c r="I1205" i="52"/>
  <c r="J1199" i="52" s="1"/>
  <c r="I1218" i="52"/>
  <c r="J1214" i="52" s="1"/>
  <c r="I1102" i="52"/>
  <c r="J1096" i="52" s="1"/>
  <c r="I1070" i="52"/>
  <c r="J1064" i="52" s="1"/>
  <c r="I1086" i="52"/>
  <c r="J1080" i="52" s="1"/>
  <c r="I1110" i="52"/>
  <c r="J1104" i="52" s="1"/>
  <c r="I1118" i="52"/>
  <c r="J1112" i="52" s="1"/>
  <c r="I859" i="52"/>
  <c r="J853" i="52" s="1"/>
  <c r="I864" i="52"/>
  <c r="J861" i="52" s="1"/>
  <c r="I827" i="52"/>
  <c r="J822" i="52" s="1"/>
  <c r="I836" i="52"/>
  <c r="J829" i="52" s="1"/>
  <c r="I845" i="52"/>
  <c r="J838" i="52" s="1"/>
  <c r="I900" i="52"/>
  <c r="J892" i="52" s="1"/>
  <c r="I923" i="52"/>
  <c r="J920" i="52" s="1"/>
  <c r="I929" i="52"/>
  <c r="J925" i="52" s="1"/>
  <c r="I956" i="52"/>
  <c r="J951" i="52" s="1"/>
  <c r="I999" i="52"/>
  <c r="J993" i="52" s="1"/>
  <c r="I890" i="52"/>
  <c r="J884" i="52" s="1"/>
  <c r="I934" i="52"/>
  <c r="J931" i="52" s="1"/>
  <c r="I963" i="52"/>
  <c r="J958" i="52" s="1"/>
  <c r="I1023" i="52"/>
  <c r="J1008" i="52" s="1"/>
  <c r="I1054" i="52"/>
  <c r="J1046" i="52" s="1"/>
  <c r="I942" i="52"/>
  <c r="J936" i="52" s="1"/>
  <c r="I970" i="52"/>
  <c r="J965" i="52" s="1"/>
  <c r="I820" i="52"/>
  <c r="J815" i="52" s="1"/>
  <c r="I546" i="52"/>
  <c r="J539" i="52" s="1"/>
  <c r="I528" i="52"/>
  <c r="J521" i="52" s="1"/>
  <c r="I500" i="52"/>
  <c r="J491" i="52" s="1"/>
  <c r="I510" i="52"/>
  <c r="J502" i="52" s="1"/>
  <c r="I489" i="52"/>
  <c r="J485" i="52" s="1"/>
  <c r="I472" i="52"/>
  <c r="J465" i="52" s="1"/>
  <c r="I454" i="52"/>
  <c r="J447" i="52" s="1"/>
  <c r="I402" i="52"/>
  <c r="J399" i="52" s="1"/>
  <c r="I416" i="52"/>
  <c r="J404" i="52" s="1"/>
  <c r="I391" i="52"/>
  <c r="J380" i="52" s="1"/>
  <c r="I397" i="52"/>
  <c r="J393" i="52" s="1"/>
  <c r="I378" i="52"/>
  <c r="J372" i="52" s="1"/>
  <c r="I360" i="52"/>
  <c r="J350" i="52" s="1"/>
  <c r="I46" i="52"/>
  <c r="J42" i="52" s="1"/>
  <c r="B34" i="52"/>
  <c r="I34" i="52"/>
  <c r="I40" i="52"/>
  <c r="J34" i="52" s="1"/>
  <c r="A26" i="52"/>
  <c r="I26" i="52" s="1"/>
  <c r="H31" i="52"/>
  <c r="I31" i="52" s="1"/>
  <c r="H30" i="52"/>
  <c r="I30" i="52" s="1"/>
  <c r="H29" i="52"/>
  <c r="I29" i="52" s="1"/>
  <c r="H28" i="52"/>
  <c r="I28" i="52" s="1"/>
  <c r="H23" i="52"/>
  <c r="I23" i="52" s="1"/>
  <c r="H22" i="52"/>
  <c r="I22" i="52" s="1"/>
  <c r="H21" i="52"/>
  <c r="I21" i="52" s="1"/>
  <c r="A15" i="52"/>
  <c r="B15" i="52" s="1"/>
  <c r="H17" i="52"/>
  <c r="I17" i="52" s="1"/>
  <c r="H18" i="52"/>
  <c r="I18" i="52" s="1"/>
  <c r="H19" i="52"/>
  <c r="I19" i="52" s="1"/>
  <c r="H20" i="52"/>
  <c r="I20" i="52" s="1"/>
  <c r="A8" i="52"/>
  <c r="H12" i="52"/>
  <c r="I12" i="52" s="1"/>
  <c r="H11" i="52"/>
  <c r="I11" i="52" s="1"/>
  <c r="H10" i="52"/>
  <c r="I10" i="52" s="1"/>
  <c r="F32" i="36" l="1"/>
  <c r="F31" i="36"/>
  <c r="F79" i="36"/>
  <c r="F175" i="36"/>
  <c r="F218" i="36"/>
  <c r="F261" i="36"/>
  <c r="F303" i="36"/>
  <c r="F351" i="36"/>
  <c r="F375" i="36"/>
  <c r="F395" i="36"/>
  <c r="F59" i="36"/>
  <c r="F102" i="36"/>
  <c r="F155" i="36"/>
  <c r="F203" i="36"/>
  <c r="F251" i="36"/>
  <c r="F294" i="36"/>
  <c r="F342" i="36"/>
  <c r="F384" i="36"/>
  <c r="F332" i="36"/>
  <c r="F296" i="36"/>
  <c r="F264" i="36"/>
  <c r="F232" i="36"/>
  <c r="F196" i="36"/>
  <c r="F152" i="36"/>
  <c r="F116" i="36"/>
  <c r="F44" i="36"/>
  <c r="F53" i="36"/>
  <c r="F106" i="36"/>
  <c r="F154" i="36"/>
  <c r="F197" i="36"/>
  <c r="F239" i="36"/>
  <c r="F282" i="36"/>
  <c r="F330" i="36"/>
  <c r="F81" i="36"/>
  <c r="F129" i="36"/>
  <c r="F182" i="36"/>
  <c r="F230" i="36"/>
  <c r="F273" i="36"/>
  <c r="F315" i="36"/>
  <c r="F360" i="36"/>
  <c r="F400" i="36"/>
  <c r="F427" i="36"/>
  <c r="F316" i="36"/>
  <c r="F280" i="36"/>
  <c r="F248" i="36"/>
  <c r="F212" i="36"/>
  <c r="F180" i="36"/>
  <c r="F132" i="36"/>
  <c r="F96" i="36"/>
  <c r="F76" i="36"/>
  <c r="F60" i="36"/>
  <c r="F37" i="36"/>
  <c r="F58" i="36"/>
  <c r="F85" i="36"/>
  <c r="F111" i="36"/>
  <c r="F133" i="36"/>
  <c r="F159" i="36"/>
  <c r="F181" i="36"/>
  <c r="F202" i="36"/>
  <c r="F223" i="36"/>
  <c r="F245" i="36"/>
  <c r="F266" i="36"/>
  <c r="F287" i="36"/>
  <c r="F314" i="36"/>
  <c r="F335" i="36"/>
  <c r="F355" i="36"/>
  <c r="F379" i="36"/>
  <c r="F403" i="36"/>
  <c r="F33" i="36"/>
  <c r="F65" i="36"/>
  <c r="F86" i="36"/>
  <c r="F107" i="36"/>
  <c r="F134" i="36"/>
  <c r="F161" i="36"/>
  <c r="F187" i="36"/>
  <c r="F209" i="36"/>
  <c r="F235" i="36"/>
  <c r="F257" i="36"/>
  <c r="F278" i="36"/>
  <c r="F299" i="36"/>
  <c r="F321" i="36"/>
  <c r="F347" i="36"/>
  <c r="F368" i="36"/>
  <c r="F388" i="36"/>
  <c r="F412" i="36"/>
  <c r="F348" i="36"/>
  <c r="F328" i="36"/>
  <c r="F312" i="36"/>
  <c r="F292" i="36"/>
  <c r="F276" i="36"/>
  <c r="F260" i="36"/>
  <c r="F244" i="36"/>
  <c r="F228" i="36"/>
  <c r="F208" i="36"/>
  <c r="F192" i="36"/>
  <c r="F176" i="36"/>
  <c r="F148" i="36"/>
  <c r="F128" i="36"/>
  <c r="F112" i="36"/>
  <c r="F92" i="36"/>
  <c r="F72" i="36"/>
  <c r="F56" i="36"/>
  <c r="F36" i="36"/>
  <c r="F24" i="36"/>
  <c r="F42" i="36"/>
  <c r="F90" i="36"/>
  <c r="F117" i="36"/>
  <c r="F165" i="36"/>
  <c r="F186" i="36"/>
  <c r="F207" i="36"/>
  <c r="F229" i="36"/>
  <c r="F271" i="36"/>
  <c r="F293" i="36"/>
  <c r="F319" i="36"/>
  <c r="F341" i="36"/>
  <c r="F359" i="36"/>
  <c r="F383" i="36"/>
  <c r="F411" i="36"/>
  <c r="F38" i="36"/>
  <c r="F70" i="36"/>
  <c r="F91" i="36"/>
  <c r="F118" i="36"/>
  <c r="F139" i="36"/>
  <c r="F171" i="36"/>
  <c r="F193" i="36"/>
  <c r="F214" i="36"/>
  <c r="F241" i="36"/>
  <c r="F262" i="36"/>
  <c r="F283" i="36"/>
  <c r="F305" i="36"/>
  <c r="F326" i="36"/>
  <c r="F352" i="36"/>
  <c r="F376" i="36"/>
  <c r="F392" i="36"/>
  <c r="F415" i="36"/>
  <c r="F344" i="36"/>
  <c r="F324" i="36"/>
  <c r="F304" i="36"/>
  <c r="F288" i="36"/>
  <c r="F272" i="36"/>
  <c r="F256" i="36"/>
  <c r="F240" i="36"/>
  <c r="F224" i="36"/>
  <c r="F204" i="36"/>
  <c r="F188" i="36"/>
  <c r="F172" i="36"/>
  <c r="F140" i="36"/>
  <c r="F124" i="36"/>
  <c r="F108" i="36"/>
  <c r="F84" i="36"/>
  <c r="F68" i="36"/>
  <c r="F52" i="36"/>
  <c r="I8" i="52"/>
  <c r="F50" i="36"/>
  <c r="F61" i="36"/>
  <c r="F71" i="36"/>
  <c r="F83" i="36"/>
  <c r="F98" i="36"/>
  <c r="F110" i="36"/>
  <c r="F130" i="36"/>
  <c r="F146" i="36"/>
  <c r="F162" i="36"/>
  <c r="F178" i="36"/>
  <c r="F189" i="36"/>
  <c r="F199" i="36"/>
  <c r="F210" i="36"/>
  <c r="F221" i="36"/>
  <c r="F231" i="36"/>
  <c r="F242" i="36"/>
  <c r="F254" i="36"/>
  <c r="F270" i="36"/>
  <c r="F281" i="36"/>
  <c r="F297" i="36"/>
  <c r="F311" i="36"/>
  <c r="F322" i="36"/>
  <c r="F333" i="36"/>
  <c r="F345" i="36"/>
  <c r="F358" i="36"/>
  <c r="F366" i="36"/>
  <c r="F377" i="36"/>
  <c r="F386" i="36"/>
  <c r="F397" i="36"/>
  <c r="F405" i="36"/>
  <c r="F413" i="36"/>
  <c r="F30" i="36"/>
  <c r="F51" i="36"/>
  <c r="F62" i="36"/>
  <c r="F73" i="36"/>
  <c r="F87" i="36"/>
  <c r="F99" i="36"/>
  <c r="F115" i="36"/>
  <c r="F135" i="36"/>
  <c r="F147" i="36"/>
  <c r="F169" i="36"/>
  <c r="F179" i="36"/>
  <c r="F190" i="36"/>
  <c r="F201" i="36"/>
  <c r="F211" i="36"/>
  <c r="F222" i="36"/>
  <c r="F233" i="36"/>
  <c r="F243" i="36"/>
  <c r="F82" i="36"/>
  <c r="F174" i="36"/>
  <c r="F217" i="36"/>
  <c r="F279" i="36"/>
  <c r="F317" i="36"/>
  <c r="F353" i="36"/>
  <c r="F374" i="36"/>
  <c r="F401" i="36"/>
  <c r="F418" i="36"/>
  <c r="F45" i="36"/>
  <c r="F66" i="36"/>
  <c r="F89" i="36"/>
  <c r="F119" i="36"/>
  <c r="F151" i="36"/>
  <c r="F183" i="36"/>
  <c r="F205" i="36"/>
  <c r="F226" i="36"/>
  <c r="F247" i="36"/>
  <c r="F269" i="36"/>
  <c r="F285" i="36"/>
  <c r="F302" i="36"/>
  <c r="F318" i="36"/>
  <c r="F334" i="36"/>
  <c r="F354" i="36"/>
  <c r="F365" i="36"/>
  <c r="F378" i="36"/>
  <c r="F390" i="36"/>
  <c r="F402" i="36"/>
  <c r="F420" i="36"/>
  <c r="F426" i="36"/>
  <c r="F46" i="36"/>
  <c r="F67" i="36"/>
  <c r="F93" i="36"/>
  <c r="F153" i="36"/>
  <c r="F185" i="36"/>
  <c r="F206" i="36"/>
  <c r="F227" i="36"/>
  <c r="F253" i="36"/>
  <c r="F274" i="36"/>
  <c r="F286" i="36"/>
  <c r="F323" i="36"/>
  <c r="F339" i="36"/>
  <c r="F369" i="36"/>
  <c r="F394" i="36"/>
  <c r="F416" i="36"/>
  <c r="F425" i="36"/>
  <c r="F121" i="36"/>
  <c r="F306" i="36"/>
  <c r="F357" i="36"/>
  <c r="F381" i="36"/>
  <c r="F406" i="36"/>
  <c r="F421" i="36"/>
  <c r="F55" i="36"/>
  <c r="F78" i="36"/>
  <c r="F103" i="36"/>
  <c r="F137" i="36"/>
  <c r="F173" i="36"/>
  <c r="F194" i="36"/>
  <c r="F215" i="36"/>
  <c r="F237" i="36"/>
  <c r="F263" i="36"/>
  <c r="F275" i="36"/>
  <c r="F295" i="36"/>
  <c r="F313" i="36"/>
  <c r="F327" i="36"/>
  <c r="F343" i="36"/>
  <c r="F361" i="36"/>
  <c r="F370" i="36"/>
  <c r="F385" i="36"/>
  <c r="F398" i="36"/>
  <c r="F409" i="36"/>
  <c r="F417" i="36"/>
  <c r="F422" i="36"/>
  <c r="F57" i="36"/>
  <c r="F109" i="36"/>
  <c r="F141" i="36"/>
  <c r="F195" i="36"/>
  <c r="F238" i="36"/>
  <c r="F265" i="36"/>
  <c r="F301" i="36"/>
  <c r="F329" i="36"/>
  <c r="F362" i="36"/>
  <c r="F389" i="36"/>
  <c r="F410" i="36"/>
  <c r="F47" i="36"/>
  <c r="F74" i="36"/>
  <c r="F101" i="36"/>
  <c r="F122" i="36"/>
  <c r="F149" i="36"/>
  <c r="F170" i="36"/>
  <c r="F191" i="36"/>
  <c r="F213" i="36"/>
  <c r="F234" i="36"/>
  <c r="F255" i="36"/>
  <c r="F277" i="36"/>
  <c r="F298" i="36"/>
  <c r="F325" i="36"/>
  <c r="F346" i="36"/>
  <c r="F367" i="36"/>
  <c r="F391" i="36"/>
  <c r="F414" i="36"/>
  <c r="F43" i="36"/>
  <c r="F75" i="36"/>
  <c r="F97" i="36"/>
  <c r="F123" i="36"/>
  <c r="F145" i="36"/>
  <c r="F177" i="36"/>
  <c r="F198" i="36"/>
  <c r="F225" i="36"/>
  <c r="F246" i="36"/>
  <c r="F267" i="36"/>
  <c r="F289" i="36"/>
  <c r="F310" i="36"/>
  <c r="F331" i="36"/>
  <c r="F356" i="36"/>
  <c r="F380" i="36"/>
  <c r="F396" i="36"/>
  <c r="F419" i="36"/>
  <c r="F340" i="36"/>
  <c r="F320" i="36"/>
  <c r="F300" i="36"/>
  <c r="F284" i="36"/>
  <c r="F268" i="36"/>
  <c r="F252" i="36"/>
  <c r="F236" i="36"/>
  <c r="F216" i="36"/>
  <c r="F200" i="36"/>
  <c r="F184" i="36"/>
  <c r="F160" i="36"/>
  <c r="F136" i="36"/>
  <c r="F120" i="36"/>
  <c r="F100" i="36"/>
  <c r="F80" i="36"/>
  <c r="F64" i="36"/>
  <c r="F48" i="36"/>
  <c r="F22" i="36"/>
  <c r="F23" i="36"/>
  <c r="F25" i="36"/>
  <c r="F26" i="36"/>
  <c r="F27" i="36"/>
  <c r="F28" i="36"/>
  <c r="F29" i="36"/>
  <c r="B26" i="52"/>
  <c r="I32" i="52"/>
  <c r="J26" i="52" s="1"/>
  <c r="F21" i="36" s="1"/>
  <c r="B8" i="52"/>
  <c r="I24" i="52"/>
  <c r="J15" i="52" s="1"/>
  <c r="F20" i="36" s="1"/>
  <c r="I15" i="52"/>
  <c r="I13" i="52"/>
  <c r="J8" i="52" s="1"/>
  <c r="F17" i="36" s="1"/>
  <c r="I183" i="36" l="1"/>
  <c r="I233" i="36"/>
  <c r="I135" i="36"/>
  <c r="I231" i="36"/>
  <c r="I130" i="36"/>
  <c r="I52" i="36"/>
  <c r="I204" i="36"/>
  <c r="I262" i="36"/>
  <c r="I70" i="36"/>
  <c r="I271" i="36"/>
  <c r="I24" i="36"/>
  <c r="I176" i="36"/>
  <c r="I107" i="36"/>
  <c r="I133" i="36"/>
  <c r="I132" i="36"/>
  <c r="I282" i="36"/>
  <c r="I152" i="36"/>
  <c r="I29" i="36"/>
  <c r="I64" i="36"/>
  <c r="N2627" i="52"/>
  <c r="I43" i="36"/>
  <c r="I74" i="36"/>
  <c r="I78" i="36"/>
  <c r="I236" i="36"/>
  <c r="I234" i="36"/>
  <c r="I151" i="36"/>
  <c r="I222" i="36"/>
  <c r="I115" i="36"/>
  <c r="I221" i="36"/>
  <c r="I110" i="36"/>
  <c r="I68" i="36"/>
  <c r="I224" i="36"/>
  <c r="I241" i="36"/>
  <c r="I38" i="36"/>
  <c r="I229" i="36"/>
  <c r="I36" i="36"/>
  <c r="I192" i="36"/>
  <c r="I278" i="36"/>
  <c r="I86" i="36"/>
  <c r="I287" i="36"/>
  <c r="I111" i="36"/>
  <c r="I180" i="36"/>
  <c r="I239" i="36"/>
  <c r="I196" i="36"/>
  <c r="I251" i="36"/>
  <c r="I206" i="36"/>
  <c r="I119" i="36"/>
  <c r="I211" i="36"/>
  <c r="I99" i="36"/>
  <c r="I210" i="36"/>
  <c r="I98" i="36"/>
  <c r="I84" i="36"/>
  <c r="I240" i="36"/>
  <c r="I214" i="36"/>
  <c r="I207" i="36"/>
  <c r="I56" i="36"/>
  <c r="I208" i="36"/>
  <c r="I257" i="36"/>
  <c r="I65" i="36"/>
  <c r="I266" i="36"/>
  <c r="I85" i="36"/>
  <c r="I212" i="36"/>
  <c r="I273" i="36"/>
  <c r="I197" i="36"/>
  <c r="I232" i="36"/>
  <c r="I203" i="36"/>
  <c r="I261" i="36"/>
  <c r="I193" i="36"/>
  <c r="I186" i="36"/>
  <c r="I72" i="36"/>
  <c r="I228" i="36"/>
  <c r="I235" i="36"/>
  <c r="I33" i="36"/>
  <c r="I245" i="36"/>
  <c r="I58" i="36"/>
  <c r="I248" i="36"/>
  <c r="I230" i="36"/>
  <c r="I154" i="36"/>
  <c r="I264" i="36"/>
  <c r="I155" i="36"/>
  <c r="I218" i="36"/>
  <c r="I80" i="36"/>
  <c r="I225" i="36"/>
  <c r="I47" i="36"/>
  <c r="I55" i="36"/>
  <c r="I227" i="36"/>
  <c r="I27" i="36"/>
  <c r="I252" i="36"/>
  <c r="I198" i="36"/>
  <c r="I120" i="36"/>
  <c r="I177" i="36"/>
  <c r="I191" i="36"/>
  <c r="I109" i="36"/>
  <c r="I215" i="36"/>
  <c r="I185" i="36"/>
  <c r="I285" i="36"/>
  <c r="I89" i="36"/>
  <c r="I279" i="36"/>
  <c r="I201" i="36"/>
  <c r="I87" i="36"/>
  <c r="I199" i="36"/>
  <c r="I83" i="36"/>
  <c r="I108" i="36"/>
  <c r="I256" i="36"/>
  <c r="I20" i="36"/>
  <c r="I25" i="36"/>
  <c r="I136" i="36"/>
  <c r="I284" i="36"/>
  <c r="I145" i="36"/>
  <c r="I170" i="36"/>
  <c r="I57" i="36"/>
  <c r="I194" i="36"/>
  <c r="I153" i="36"/>
  <c r="I269" i="36"/>
  <c r="I66" i="36"/>
  <c r="I217" i="36"/>
  <c r="I190" i="36"/>
  <c r="I73" i="36"/>
  <c r="I281" i="36"/>
  <c r="I189" i="36"/>
  <c r="I71" i="36"/>
  <c r="I124" i="36"/>
  <c r="I272" i="36"/>
  <c r="I171" i="36"/>
  <c r="I165" i="36"/>
  <c r="I92" i="36"/>
  <c r="I244" i="36"/>
  <c r="I209" i="36"/>
  <c r="I223" i="36"/>
  <c r="I37" i="36"/>
  <c r="I280" i="36"/>
  <c r="I182" i="36"/>
  <c r="I106" i="36"/>
  <c r="I102" i="36"/>
  <c r="I175" i="36"/>
  <c r="I139" i="36"/>
  <c r="I117" i="36"/>
  <c r="I112" i="36"/>
  <c r="I260" i="36"/>
  <c r="I187" i="36"/>
  <c r="I202" i="36"/>
  <c r="I60" i="36"/>
  <c r="I129" i="36"/>
  <c r="I53" i="36"/>
  <c r="I59" i="36"/>
  <c r="I79" i="36"/>
  <c r="I216" i="36"/>
  <c r="I246" i="36"/>
  <c r="I255" i="36"/>
  <c r="I238" i="36"/>
  <c r="I275" i="36"/>
  <c r="I253" i="36"/>
  <c r="I28" i="36"/>
  <c r="I195" i="36"/>
  <c r="I263" i="36"/>
  <c r="I17" i="36"/>
  <c r="I100" i="36"/>
  <c r="I213" i="36"/>
  <c r="I141" i="36"/>
  <c r="I237" i="36"/>
  <c r="I26" i="36"/>
  <c r="I268" i="36"/>
  <c r="I23" i="36"/>
  <c r="I160" i="36"/>
  <c r="I123" i="36"/>
  <c r="I149" i="36"/>
  <c r="N2652" i="52"/>
  <c r="I173" i="36"/>
  <c r="I93" i="36"/>
  <c r="I247" i="36"/>
  <c r="I45" i="36"/>
  <c r="I174" i="36"/>
  <c r="I179" i="36"/>
  <c r="I62" i="36"/>
  <c r="I270" i="36"/>
  <c r="I178" i="36"/>
  <c r="I61" i="36"/>
  <c r="I140" i="36"/>
  <c r="I288" i="36"/>
  <c r="I21" i="36"/>
  <c r="I22" i="36"/>
  <c r="I184" i="36"/>
  <c r="I289" i="36"/>
  <c r="I97" i="36"/>
  <c r="I122" i="36"/>
  <c r="I67" i="36"/>
  <c r="I118" i="36"/>
  <c r="I90" i="36"/>
  <c r="I128" i="36"/>
  <c r="I276" i="36"/>
  <c r="I161" i="36"/>
  <c r="I181" i="36"/>
  <c r="I76" i="36"/>
  <c r="I81" i="36"/>
  <c r="I44" i="36"/>
  <c r="I31" i="36"/>
  <c r="I137" i="36"/>
  <c r="I286" i="36"/>
  <c r="I226" i="36"/>
  <c r="I82" i="36"/>
  <c r="I169" i="36"/>
  <c r="I51" i="36"/>
  <c r="I254" i="36"/>
  <c r="I162" i="36"/>
  <c r="I50" i="36"/>
  <c r="I172" i="36"/>
  <c r="I48" i="36"/>
  <c r="I200" i="36"/>
  <c r="I267" i="36"/>
  <c r="I75" i="36"/>
  <c r="I277" i="36"/>
  <c r="I101" i="36"/>
  <c r="I265" i="36"/>
  <c r="I103" i="36"/>
  <c r="I121" i="36"/>
  <c r="I274" i="36"/>
  <c r="I46" i="36"/>
  <c r="I205" i="36"/>
  <c r="I243" i="36"/>
  <c r="I147" i="36"/>
  <c r="I30" i="36"/>
  <c r="I242" i="36"/>
  <c r="I146" i="36"/>
  <c r="I188" i="36"/>
  <c r="I283" i="36"/>
  <c r="I91" i="36"/>
  <c r="I42" i="36"/>
  <c r="I148" i="36"/>
  <c r="I134" i="36"/>
  <c r="I159" i="36"/>
  <c r="I96" i="36"/>
  <c r="I116" i="36"/>
  <c r="I32" i="36"/>
  <c r="F499" i="49"/>
  <c r="F498" i="49"/>
  <c r="F495" i="49"/>
  <c r="F295" i="29"/>
  <c r="F296" i="29" s="1"/>
  <c r="F292" i="29"/>
  <c r="F291" i="29"/>
  <c r="F293" i="29" s="1"/>
  <c r="J283" i="36" l="1"/>
  <c r="J46" i="36"/>
  <c r="J181" i="36"/>
  <c r="J274" i="36"/>
  <c r="J96" i="36"/>
  <c r="J188" i="36"/>
  <c r="J30" i="36"/>
  <c r="J121" i="36"/>
  <c r="J265" i="36"/>
  <c r="J267" i="36"/>
  <c r="J162" i="36"/>
  <c r="J169" i="36"/>
  <c r="J90" i="36"/>
  <c r="J67" i="36"/>
  <c r="J122" i="36"/>
  <c r="J173" i="36"/>
  <c r="J149" i="36"/>
  <c r="J238" i="36"/>
  <c r="J79" i="36"/>
  <c r="J129" i="36"/>
  <c r="J175" i="36"/>
  <c r="J92" i="36"/>
  <c r="J189" i="36"/>
  <c r="J190" i="36"/>
  <c r="J194" i="36"/>
  <c r="J284" i="36"/>
  <c r="J201" i="36"/>
  <c r="J191" i="36"/>
  <c r="J252" i="36"/>
  <c r="J245" i="36"/>
  <c r="J228" i="36"/>
  <c r="J193" i="36"/>
  <c r="J197" i="36"/>
  <c r="J266" i="36"/>
  <c r="J98" i="36"/>
  <c r="J99" i="36"/>
  <c r="J239" i="36"/>
  <c r="J192" i="36"/>
  <c r="J110" i="36"/>
  <c r="J115" i="36"/>
  <c r="J78" i="36"/>
  <c r="J132" i="36"/>
  <c r="J271" i="36"/>
  <c r="J277" i="36"/>
  <c r="J276" i="36"/>
  <c r="J45" i="36"/>
  <c r="J42" i="36"/>
  <c r="J32" i="36"/>
  <c r="J44" i="36"/>
  <c r="J146" i="36"/>
  <c r="J103" i="36"/>
  <c r="J82" i="36"/>
  <c r="J76" i="36"/>
  <c r="J184" i="36"/>
  <c r="J270" i="36"/>
  <c r="J255" i="36"/>
  <c r="J187" i="36"/>
  <c r="J117" i="36"/>
  <c r="J102" i="36"/>
  <c r="J280" i="36"/>
  <c r="J272" i="36"/>
  <c r="J153" i="36"/>
  <c r="J136" i="36"/>
  <c r="J256" i="36"/>
  <c r="J27" i="36"/>
  <c r="J47" i="36"/>
  <c r="J218" i="36"/>
  <c r="J33" i="36"/>
  <c r="J72" i="36"/>
  <c r="J273" i="36"/>
  <c r="J65" i="36"/>
  <c r="J56" i="36"/>
  <c r="J210" i="36"/>
  <c r="J211" i="36"/>
  <c r="J86" i="36"/>
  <c r="J36" i="36"/>
  <c r="J222" i="36"/>
  <c r="J152" i="36"/>
  <c r="J133" i="36"/>
  <c r="J70" i="36"/>
  <c r="J183" i="36"/>
  <c r="J243" i="36"/>
  <c r="J116" i="36"/>
  <c r="J91" i="36"/>
  <c r="J147" i="36"/>
  <c r="J101" i="36"/>
  <c r="J254" i="36"/>
  <c r="J137" i="36"/>
  <c r="J288" i="36"/>
  <c r="J174" i="36"/>
  <c r="J93" i="36"/>
  <c r="J28" i="36"/>
  <c r="J59" i="36"/>
  <c r="J209" i="36"/>
  <c r="J148" i="36"/>
  <c r="J23" i="36"/>
  <c r="J100" i="36"/>
  <c r="J195" i="36"/>
  <c r="J253" i="36"/>
  <c r="J60" i="36"/>
  <c r="J37" i="36"/>
  <c r="J66" i="36"/>
  <c r="J57" i="36"/>
  <c r="J145" i="36"/>
  <c r="J25" i="36"/>
  <c r="J108" i="36"/>
  <c r="J89" i="36"/>
  <c r="J109" i="36"/>
  <c r="J155" i="36"/>
  <c r="J186" i="36"/>
  <c r="J212" i="36"/>
  <c r="J229" i="36"/>
  <c r="J74" i="36"/>
  <c r="J29" i="36"/>
  <c r="J135" i="36"/>
  <c r="J200" i="36"/>
  <c r="J97" i="36"/>
  <c r="J242" i="36"/>
  <c r="J172" i="36"/>
  <c r="J118" i="36"/>
  <c r="J22" i="36"/>
  <c r="J75" i="36"/>
  <c r="J48" i="36"/>
  <c r="J51" i="36"/>
  <c r="J31" i="36"/>
  <c r="J81" i="36"/>
  <c r="J289" i="36"/>
  <c r="J21" i="36"/>
  <c r="J61" i="36"/>
  <c r="J62" i="36"/>
  <c r="J275" i="36"/>
  <c r="J202" i="36"/>
  <c r="J260" i="36"/>
  <c r="J244" i="36"/>
  <c r="J171" i="36"/>
  <c r="J71" i="36"/>
  <c r="J73" i="36"/>
  <c r="J269" i="36"/>
  <c r="J83" i="36"/>
  <c r="J87" i="36"/>
  <c r="J285" i="36"/>
  <c r="J55" i="36"/>
  <c r="J80" i="36"/>
  <c r="J58" i="36"/>
  <c r="J85" i="36"/>
  <c r="J84" i="36"/>
  <c r="J119" i="36"/>
  <c r="J196" i="36"/>
  <c r="J111" i="36"/>
  <c r="J38" i="36"/>
  <c r="J68" i="36"/>
  <c r="J151" i="36"/>
  <c r="J43" i="36"/>
  <c r="J107" i="36"/>
  <c r="J24" i="36"/>
  <c r="J233" i="36"/>
  <c r="N2643" i="52"/>
  <c r="N2634" i="52"/>
  <c r="L2614" i="52"/>
  <c r="L2605" i="52"/>
  <c r="F496" i="49"/>
  <c r="F500" i="49"/>
  <c r="F501" i="49" s="1"/>
  <c r="K422" i="36" s="1"/>
  <c r="E422" i="36" s="1"/>
  <c r="F297" i="29"/>
  <c r="K285" i="36" s="1"/>
  <c r="E285" i="36" s="1"/>
  <c r="I182" i="50" l="1"/>
  <c r="I181" i="50"/>
  <c r="I180" i="50"/>
  <c r="H208" i="36"/>
  <c r="B10" i="51"/>
  <c r="B9" i="51"/>
  <c r="B8" i="51"/>
  <c r="B7" i="51"/>
  <c r="B6" i="51"/>
  <c r="C122" i="51"/>
  <c r="E115" i="51" s="1"/>
  <c r="F115" i="51" s="1"/>
  <c r="F116" i="51" s="1"/>
  <c r="C119" i="51"/>
  <c r="B119" i="51"/>
  <c r="F112" i="51"/>
  <c r="F111" i="51"/>
  <c r="F104" i="51"/>
  <c r="F105" i="51" s="1"/>
  <c r="F101" i="51"/>
  <c r="F100" i="51"/>
  <c r="F102" i="51" s="1"/>
  <c r="F93" i="51"/>
  <c r="F92" i="51"/>
  <c r="F91" i="51"/>
  <c r="F90" i="51"/>
  <c r="F89" i="51"/>
  <c r="F88" i="51"/>
  <c r="F87" i="51"/>
  <c r="F84" i="51"/>
  <c r="F83" i="51"/>
  <c r="F82" i="51"/>
  <c r="F81" i="51"/>
  <c r="F80" i="51"/>
  <c r="F79" i="51"/>
  <c r="F71" i="51"/>
  <c r="F70" i="51"/>
  <c r="F69" i="51"/>
  <c r="F68" i="51"/>
  <c r="F67" i="51"/>
  <c r="F66" i="51"/>
  <c r="F63" i="51"/>
  <c r="F62" i="51"/>
  <c r="F61" i="51"/>
  <c r="F60" i="51"/>
  <c r="F53" i="51"/>
  <c r="F52" i="51"/>
  <c r="F49" i="51"/>
  <c r="F50" i="51" s="1"/>
  <c r="F46" i="51"/>
  <c r="F45" i="51"/>
  <c r="F42" i="51"/>
  <c r="F41" i="51"/>
  <c r="F43" i="51" s="1"/>
  <c r="F34" i="51"/>
  <c r="F35" i="51" s="1"/>
  <c r="F31" i="51"/>
  <c r="F30" i="51"/>
  <c r="F32" i="51" s="1"/>
  <c r="F23" i="51"/>
  <c r="F22" i="51"/>
  <c r="F21" i="51"/>
  <c r="F20" i="51"/>
  <c r="F19" i="51"/>
  <c r="F16" i="51"/>
  <c r="F15" i="51"/>
  <c r="F6" i="51"/>
  <c r="F2" i="50"/>
  <c r="B6" i="50"/>
  <c r="B5" i="50"/>
  <c r="B4" i="50"/>
  <c r="B3" i="50"/>
  <c r="B2" i="50"/>
  <c r="F581" i="50"/>
  <c r="F580" i="50"/>
  <c r="F577" i="50"/>
  <c r="F576" i="50"/>
  <c r="F569" i="50"/>
  <c r="F568" i="50"/>
  <c r="F565" i="50"/>
  <c r="F564" i="50"/>
  <c r="F557" i="50"/>
  <c r="F556" i="50"/>
  <c r="F553" i="50"/>
  <c r="F552" i="50"/>
  <c r="F545" i="50"/>
  <c r="F544" i="50"/>
  <c r="F541" i="50"/>
  <c r="F542" i="50" s="1"/>
  <c r="F540" i="50"/>
  <c r="F533" i="50"/>
  <c r="F532" i="50"/>
  <c r="F529" i="50"/>
  <c r="F528" i="50"/>
  <c r="C523" i="50"/>
  <c r="E515" i="50" s="1"/>
  <c r="F515" i="50" s="1"/>
  <c r="F516" i="50" s="1"/>
  <c r="F512" i="50"/>
  <c r="F511" i="50"/>
  <c r="C506" i="50"/>
  <c r="E498" i="50" s="1"/>
  <c r="F498" i="50" s="1"/>
  <c r="F495" i="50"/>
  <c r="F494" i="50"/>
  <c r="F493" i="50"/>
  <c r="F486" i="50"/>
  <c r="F487" i="50" s="1"/>
  <c r="F483" i="50"/>
  <c r="F482" i="50"/>
  <c r="C477" i="50"/>
  <c r="E469" i="50" s="1"/>
  <c r="F469" i="50" s="1"/>
  <c r="F468" i="50"/>
  <c r="F467" i="50"/>
  <c r="F464" i="50"/>
  <c r="F463" i="50"/>
  <c r="F456" i="50"/>
  <c r="F455" i="50"/>
  <c r="F457" i="50" s="1"/>
  <c r="F452" i="50"/>
  <c r="F451" i="50"/>
  <c r="F444" i="50"/>
  <c r="F443" i="50"/>
  <c r="F440" i="50"/>
  <c r="F439" i="50"/>
  <c r="C434" i="50"/>
  <c r="E426" i="50" s="1"/>
  <c r="F426" i="50" s="1"/>
  <c r="F425" i="50"/>
  <c r="F424" i="50"/>
  <c r="F421" i="50"/>
  <c r="F420" i="50"/>
  <c r="C415" i="50"/>
  <c r="E407" i="50" s="1"/>
  <c r="F407" i="50" s="1"/>
  <c r="F408" i="50" s="1"/>
  <c r="F404" i="50"/>
  <c r="F403" i="50"/>
  <c r="C398" i="50"/>
  <c r="E390" i="50" s="1"/>
  <c r="F390" i="50" s="1"/>
  <c r="F391" i="50" s="1"/>
  <c r="F387" i="50"/>
  <c r="F386" i="50"/>
  <c r="F388" i="50" s="1"/>
  <c r="F379" i="50"/>
  <c r="F380" i="50" s="1"/>
  <c r="F376" i="50"/>
  <c r="F375" i="50"/>
  <c r="C370" i="50"/>
  <c r="E362" i="50" s="1"/>
  <c r="F362" i="50" s="1"/>
  <c r="F363" i="50" s="1"/>
  <c r="F359" i="50"/>
  <c r="F358" i="50"/>
  <c r="F351" i="50"/>
  <c r="F352" i="50" s="1"/>
  <c r="F348" i="50"/>
  <c r="F347" i="50"/>
  <c r="C342" i="50"/>
  <c r="E334" i="50" s="1"/>
  <c r="F334" i="50" s="1"/>
  <c r="F335" i="50" s="1"/>
  <c r="F331" i="50"/>
  <c r="F330" i="50"/>
  <c r="C325" i="50"/>
  <c r="E317" i="50" s="1"/>
  <c r="F317" i="50" s="1"/>
  <c r="F318" i="50" s="1"/>
  <c r="F314" i="50"/>
  <c r="F313" i="50"/>
  <c r="F306" i="50"/>
  <c r="F305" i="50"/>
  <c r="F302" i="50"/>
  <c r="F301" i="50"/>
  <c r="C296" i="50"/>
  <c r="E288" i="50" s="1"/>
  <c r="F288" i="50" s="1"/>
  <c r="F289" i="50" s="1"/>
  <c r="F285" i="50"/>
  <c r="F284" i="50"/>
  <c r="C279" i="50"/>
  <c r="E271" i="50" s="1"/>
  <c r="F271" i="50" s="1"/>
  <c r="F272" i="50" s="1"/>
  <c r="F268" i="50"/>
  <c r="F267" i="50"/>
  <c r="C262" i="50"/>
  <c r="E254" i="50" s="1"/>
  <c r="F254" i="50" s="1"/>
  <c r="F255" i="50" s="1"/>
  <c r="F251" i="50"/>
  <c r="F252" i="50" s="1"/>
  <c r="F250" i="50"/>
  <c r="F243" i="50"/>
  <c r="F244" i="50" s="1"/>
  <c r="F240" i="50"/>
  <c r="F239" i="50"/>
  <c r="F232" i="50"/>
  <c r="F233" i="50" s="1"/>
  <c r="F229" i="50"/>
  <c r="F228" i="50"/>
  <c r="F230" i="50" s="1"/>
  <c r="F221" i="50"/>
  <c r="F220" i="50"/>
  <c r="F219" i="50"/>
  <c r="F218" i="50"/>
  <c r="F217" i="50"/>
  <c r="F216" i="50"/>
  <c r="F215" i="50"/>
  <c r="F214" i="50"/>
  <c r="F213" i="50"/>
  <c r="F210" i="50"/>
  <c r="F209" i="50"/>
  <c r="F202" i="50"/>
  <c r="F203" i="50" s="1"/>
  <c r="F199" i="50"/>
  <c r="F200" i="50" s="1"/>
  <c r="F192" i="50"/>
  <c r="F193" i="50" s="1"/>
  <c r="F189" i="50"/>
  <c r="F188" i="50"/>
  <c r="C183" i="50"/>
  <c r="E175" i="50" s="1"/>
  <c r="F175" i="50" s="1"/>
  <c r="F176" i="50" s="1"/>
  <c r="F172" i="50"/>
  <c r="F171" i="50"/>
  <c r="C165" i="50"/>
  <c r="C164" i="50"/>
  <c r="C163" i="50"/>
  <c r="C160" i="50"/>
  <c r="E146" i="50" s="1"/>
  <c r="F146" i="50" s="1"/>
  <c r="C152" i="50"/>
  <c r="C151" i="50"/>
  <c r="F144" i="50"/>
  <c r="F140" i="50"/>
  <c r="F139" i="50"/>
  <c r="C134" i="50"/>
  <c r="E126" i="50" s="1"/>
  <c r="F126" i="50" s="1"/>
  <c r="F127" i="50" s="1"/>
  <c r="F123" i="50"/>
  <c r="F122" i="50"/>
  <c r="C117" i="50"/>
  <c r="E109" i="50" s="1"/>
  <c r="F109" i="50" s="1"/>
  <c r="F110" i="50" s="1"/>
  <c r="F106" i="50"/>
  <c r="F105" i="50"/>
  <c r="C100" i="50"/>
  <c r="E92" i="50" s="1"/>
  <c r="F92" i="50" s="1"/>
  <c r="F93" i="50" s="1"/>
  <c r="F89" i="50"/>
  <c r="F88" i="50"/>
  <c r="F90" i="50" s="1"/>
  <c r="C80" i="50"/>
  <c r="C83" i="50" s="1"/>
  <c r="E75" i="50" s="1"/>
  <c r="F75" i="50" s="1"/>
  <c r="F76" i="50" s="1"/>
  <c r="F72" i="50"/>
  <c r="F71" i="50"/>
  <c r="F73" i="50" s="1"/>
  <c r="C63" i="50"/>
  <c r="C66" i="50" s="1"/>
  <c r="E58" i="50" s="1"/>
  <c r="F58" i="50" s="1"/>
  <c r="F59" i="50" s="1"/>
  <c r="F55" i="50"/>
  <c r="F56" i="50" s="1"/>
  <c r="C49" i="50"/>
  <c r="C47" i="50"/>
  <c r="F39" i="50"/>
  <c r="F40" i="50" s="1"/>
  <c r="C34" i="50"/>
  <c r="E26" i="50" s="1"/>
  <c r="F26" i="50" s="1"/>
  <c r="F27" i="50" s="1"/>
  <c r="F23" i="50"/>
  <c r="F22" i="50"/>
  <c r="F15" i="50"/>
  <c r="F16" i="50" s="1"/>
  <c r="F12" i="50"/>
  <c r="F13" i="50" s="1"/>
  <c r="F11" i="50"/>
  <c r="J208" i="36" l="1"/>
  <c r="F113" i="51"/>
  <c r="F117" i="51" s="1"/>
  <c r="K161" i="36" s="1"/>
  <c r="E161" i="36" s="1"/>
  <c r="F360" i="50"/>
  <c r="F441" i="50"/>
  <c r="F377" i="50"/>
  <c r="F124" i="50"/>
  <c r="F453" i="50"/>
  <c r="F458" i="50" s="1"/>
  <c r="K215" i="36" s="1"/>
  <c r="E215" i="36" s="1"/>
  <c r="F60" i="50"/>
  <c r="K223" i="36" s="1"/>
  <c r="E223" i="36" s="1"/>
  <c r="F364" i="50"/>
  <c r="K198" i="36" s="1"/>
  <c r="E198" i="36" s="1"/>
  <c r="F570" i="50"/>
  <c r="C154" i="50"/>
  <c r="E143" i="50" s="1"/>
  <c r="F143" i="50" s="1"/>
  <c r="F578" i="50"/>
  <c r="F583" i="50" s="1"/>
  <c r="K177" i="36" s="1"/>
  <c r="E177" i="36" s="1"/>
  <c r="F582" i="50"/>
  <c r="F422" i="50"/>
  <c r="F513" i="50"/>
  <c r="F517" i="50" s="1"/>
  <c r="K234" i="36" s="1"/>
  <c r="E234" i="36" s="1"/>
  <c r="F24" i="50"/>
  <c r="F28" i="50" s="1"/>
  <c r="K225" i="36" s="1"/>
  <c r="E225" i="36" s="1"/>
  <c r="F77" i="50"/>
  <c r="K226" i="36" s="1"/>
  <c r="E226" i="36" s="1"/>
  <c r="F107" i="50"/>
  <c r="F111" i="50" s="1"/>
  <c r="K241" i="36" s="1"/>
  <c r="E241" i="36" s="1"/>
  <c r="F173" i="50"/>
  <c r="F392" i="50"/>
  <c r="K199" i="36" s="1"/>
  <c r="E199" i="36" s="1"/>
  <c r="F427" i="50"/>
  <c r="C50" i="50"/>
  <c r="E42" i="50" s="1"/>
  <c r="F42" i="50" s="1"/>
  <c r="F43" i="50" s="1"/>
  <c r="F44" i="50" s="1"/>
  <c r="K224" i="36" s="1"/>
  <c r="E224" i="36" s="1"/>
  <c r="F269" i="50"/>
  <c r="F332" i="50"/>
  <c r="F484" i="50"/>
  <c r="F488" i="50" s="1"/>
  <c r="K217" i="36" s="1"/>
  <c r="E217" i="36" s="1"/>
  <c r="F530" i="50"/>
  <c r="F554" i="50"/>
  <c r="F54" i="51"/>
  <c r="F141" i="50"/>
  <c r="F241" i="50"/>
  <c r="F303" i="50"/>
  <c r="F546" i="50"/>
  <c r="F547" i="50" s="1"/>
  <c r="K180" i="36" s="1"/>
  <c r="E180" i="36" s="1"/>
  <c r="F558" i="50"/>
  <c r="F36" i="51"/>
  <c r="K52" i="36" s="1"/>
  <c r="E52" i="36" s="1"/>
  <c r="F47" i="51"/>
  <c r="F55" i="51" s="1"/>
  <c r="K53" i="36" s="1"/>
  <c r="E53" i="36" s="1"/>
  <c r="F106" i="51"/>
  <c r="K160" i="36" s="1"/>
  <c r="E160" i="36" s="1"/>
  <c r="F94" i="51"/>
  <c r="F24" i="51"/>
  <c r="F64" i="51"/>
  <c r="F85" i="51"/>
  <c r="F72" i="51"/>
  <c r="F17" i="51"/>
  <c r="F25" i="51" s="1"/>
  <c r="K50" i="36" s="1"/>
  <c r="E50" i="36" s="1"/>
  <c r="F428" i="50"/>
  <c r="K213" i="36" s="1"/>
  <c r="E213" i="36" s="1"/>
  <c r="F470" i="50"/>
  <c r="F496" i="50"/>
  <c r="F17" i="50"/>
  <c r="K221" i="36" s="1"/>
  <c r="E221" i="36" s="1"/>
  <c r="F307" i="50"/>
  <c r="F308" i="50" s="1"/>
  <c r="K170" i="36" s="1"/>
  <c r="E170" i="36" s="1"/>
  <c r="F445" i="50"/>
  <c r="F204" i="50"/>
  <c r="F315" i="50"/>
  <c r="F319" i="50" s="1"/>
  <c r="K182" i="36" s="1"/>
  <c r="E182" i="36" s="1"/>
  <c r="F534" i="50"/>
  <c r="F535" i="50" s="1"/>
  <c r="K176" i="36" s="1"/>
  <c r="E176" i="36" s="1"/>
  <c r="F211" i="50"/>
  <c r="F286" i="50"/>
  <c r="F290" i="50" s="1"/>
  <c r="K257" i="36" s="1"/>
  <c r="E257" i="36" s="1"/>
  <c r="F349" i="50"/>
  <c r="F353" i="50" s="1"/>
  <c r="K203" i="36" s="1"/>
  <c r="E203" i="36" s="1"/>
  <c r="F405" i="50"/>
  <c r="F409" i="50" s="1"/>
  <c r="K207" i="36" s="1"/>
  <c r="E207" i="36" s="1"/>
  <c r="F465" i="50"/>
  <c r="F94" i="50"/>
  <c r="K240" i="36" s="1"/>
  <c r="E240" i="36" s="1"/>
  <c r="F128" i="50"/>
  <c r="K248" i="36" s="1"/>
  <c r="E248" i="36" s="1"/>
  <c r="F190" i="50"/>
  <c r="F194" i="50" s="1"/>
  <c r="F222" i="50"/>
  <c r="F256" i="50"/>
  <c r="K236" i="36" s="1"/>
  <c r="E236" i="36" s="1"/>
  <c r="F381" i="50"/>
  <c r="K205" i="36" s="1"/>
  <c r="E205" i="36" s="1"/>
  <c r="F446" i="50"/>
  <c r="K214" i="36" s="1"/>
  <c r="E214" i="36" s="1"/>
  <c r="F566" i="50"/>
  <c r="C166" i="50"/>
  <c r="E145" i="50" s="1"/>
  <c r="F145" i="50" s="1"/>
  <c r="F147" i="50" s="1"/>
  <c r="F148" i="50" s="1"/>
  <c r="K227" i="36" s="1"/>
  <c r="E227" i="36" s="1"/>
  <c r="F234" i="50"/>
  <c r="K231" i="36" s="1"/>
  <c r="E231" i="36" s="1"/>
  <c r="F336" i="50"/>
  <c r="K185" i="36" s="1"/>
  <c r="E185" i="36" s="1"/>
  <c r="F499" i="50"/>
  <c r="F500" i="50" s="1"/>
  <c r="K237" i="36" s="1"/>
  <c r="E237" i="36" s="1"/>
  <c r="F273" i="50"/>
  <c r="K251" i="36" s="1"/>
  <c r="E251" i="36" s="1"/>
  <c r="F177" i="50"/>
  <c r="K235" i="36" s="1"/>
  <c r="E235" i="36" s="1"/>
  <c r="F245" i="50"/>
  <c r="J231" i="36" l="1"/>
  <c r="J234" i="36"/>
  <c r="J235" i="36"/>
  <c r="J205" i="36"/>
  <c r="J203" i="36"/>
  <c r="J221" i="36"/>
  <c r="J224" i="36"/>
  <c r="J214" i="36"/>
  <c r="J215" i="36"/>
  <c r="J251" i="36"/>
  <c r="J236" i="36"/>
  <c r="J257" i="36"/>
  <c r="J207" i="36"/>
  <c r="J160" i="36"/>
  <c r="J199" i="36"/>
  <c r="J177" i="36"/>
  <c r="J248" i="36"/>
  <c r="J170" i="36"/>
  <c r="J237" i="36"/>
  <c r="J185" i="36"/>
  <c r="J176" i="36"/>
  <c r="J213" i="36"/>
  <c r="J53" i="36"/>
  <c r="J182" i="36"/>
  <c r="J50" i="36"/>
  <c r="J52" i="36"/>
  <c r="J241" i="36"/>
  <c r="J161" i="36"/>
  <c r="J227" i="36"/>
  <c r="J240" i="36"/>
  <c r="J217" i="36"/>
  <c r="J226" i="36"/>
  <c r="J198" i="36"/>
  <c r="J180" i="36"/>
  <c r="J225" i="36"/>
  <c r="J223" i="36"/>
  <c r="F571" i="50"/>
  <c r="K179" i="36" s="1"/>
  <c r="E179" i="36" s="1"/>
  <c r="F559" i="50"/>
  <c r="K178" i="36" s="1"/>
  <c r="E178" i="36" s="1"/>
  <c r="F73" i="51"/>
  <c r="K64" i="36" s="1"/>
  <c r="E64" i="36" s="1"/>
  <c r="F223" i="50"/>
  <c r="K230" i="36" s="1"/>
  <c r="E230" i="36" s="1"/>
  <c r="K246" i="36"/>
  <c r="E246" i="36" s="1"/>
  <c r="K206" i="36"/>
  <c r="E206" i="36" s="1"/>
  <c r="K244" i="36"/>
  <c r="K247" i="36"/>
  <c r="E247" i="36" s="1"/>
  <c r="K245" i="36"/>
  <c r="K232" i="36"/>
  <c r="E232" i="36" s="1"/>
  <c r="K204" i="36"/>
  <c r="E204" i="36" s="1"/>
  <c r="F95" i="51"/>
  <c r="K159" i="36" s="1"/>
  <c r="E159" i="36" s="1"/>
  <c r="F471" i="50"/>
  <c r="K216" i="36" s="1"/>
  <c r="E216" i="36" s="1"/>
  <c r="J178" i="36" l="1"/>
  <c r="J206" i="36"/>
  <c r="J247" i="36"/>
  <c r="J246" i="36"/>
  <c r="J179" i="36"/>
  <c r="J216" i="36"/>
  <c r="J159" i="36"/>
  <c r="J230" i="36"/>
  <c r="J232" i="36"/>
  <c r="J204" i="36"/>
  <c r="J64" i="36"/>
  <c r="G132" i="49"/>
  <c r="C132" i="49" s="1"/>
  <c r="G131" i="49"/>
  <c r="C131" i="49" s="1"/>
  <c r="B12" i="49" l="1"/>
  <c r="B11" i="49"/>
  <c r="B10" i="49"/>
  <c r="B9" i="49"/>
  <c r="F7" i="49"/>
  <c r="B7" i="49"/>
  <c r="C396" i="49"/>
  <c r="E388" i="49" s="1"/>
  <c r="F388" i="49" s="1"/>
  <c r="F389" i="49" s="1"/>
  <c r="F488" i="49"/>
  <c r="F487" i="49"/>
  <c r="F486" i="49"/>
  <c r="F485" i="49"/>
  <c r="F482" i="49"/>
  <c r="F481" i="49"/>
  <c r="F474" i="49"/>
  <c r="F473" i="49"/>
  <c r="F470" i="49"/>
  <c r="F469" i="49"/>
  <c r="F462" i="49"/>
  <c r="F461" i="49"/>
  <c r="F460" i="49"/>
  <c r="F459" i="49"/>
  <c r="F458" i="49"/>
  <c r="F455" i="49"/>
  <c r="F454" i="49"/>
  <c r="F447" i="49"/>
  <c r="F446" i="49"/>
  <c r="F445" i="49"/>
  <c r="F442" i="49"/>
  <c r="F441" i="49"/>
  <c r="F434" i="49"/>
  <c r="F433" i="49"/>
  <c r="F432" i="49"/>
  <c r="F429" i="49"/>
  <c r="F428" i="49"/>
  <c r="F421" i="49"/>
  <c r="F420" i="49"/>
  <c r="F419" i="49"/>
  <c r="F418" i="49"/>
  <c r="F417" i="49"/>
  <c r="F416" i="49"/>
  <c r="F413" i="49"/>
  <c r="F412" i="49"/>
  <c r="F411" i="49"/>
  <c r="F404" i="49"/>
  <c r="F405" i="49" s="1"/>
  <c r="F401" i="49"/>
  <c r="F402" i="49" s="1"/>
  <c r="F385" i="49"/>
  <c r="F386" i="49" s="1"/>
  <c r="C380" i="49"/>
  <c r="E372" i="49" s="1"/>
  <c r="F372" i="49" s="1"/>
  <c r="F373" i="49" s="1"/>
  <c r="F369" i="49"/>
  <c r="F370" i="49" s="1"/>
  <c r="C364" i="49"/>
  <c r="E355" i="49" s="1"/>
  <c r="F355" i="49" s="1"/>
  <c r="F356" i="49" s="1"/>
  <c r="F352" i="49"/>
  <c r="F353" i="49" s="1"/>
  <c r="C347" i="49"/>
  <c r="E337" i="49" s="1"/>
  <c r="F337" i="49" s="1"/>
  <c r="F339" i="49"/>
  <c r="F338" i="49"/>
  <c r="F334" i="49"/>
  <c r="F333" i="49"/>
  <c r="F326" i="49"/>
  <c r="F325" i="49"/>
  <c r="F324" i="49"/>
  <c r="F321" i="49"/>
  <c r="F320" i="49"/>
  <c r="F313" i="49"/>
  <c r="F312" i="49"/>
  <c r="F311" i="49"/>
  <c r="F308" i="49"/>
  <c r="F307" i="49"/>
  <c r="F300" i="49"/>
  <c r="F301" i="49" s="1"/>
  <c r="F297" i="49"/>
  <c r="F296" i="49"/>
  <c r="F289" i="49"/>
  <c r="F290" i="49" s="1"/>
  <c r="F286" i="49"/>
  <c r="F285" i="49"/>
  <c r="F278" i="49"/>
  <c r="F277" i="49"/>
  <c r="F276" i="49"/>
  <c r="F275" i="49"/>
  <c r="F272" i="49"/>
  <c r="F271" i="49"/>
  <c r="F264" i="49"/>
  <c r="F263" i="49"/>
  <c r="F260" i="49"/>
  <c r="F259" i="49"/>
  <c r="F252" i="49"/>
  <c r="F251" i="49"/>
  <c r="F248" i="49"/>
  <c r="F247" i="49"/>
  <c r="F239" i="49"/>
  <c r="F238" i="49"/>
  <c r="F237" i="49"/>
  <c r="F234" i="49"/>
  <c r="F233" i="49"/>
  <c r="F226" i="49"/>
  <c r="F227" i="49" s="1"/>
  <c r="F223" i="49"/>
  <c r="F224" i="49" s="1"/>
  <c r="C218" i="49"/>
  <c r="E210" i="49" s="1"/>
  <c r="F210" i="49" s="1"/>
  <c r="F211" i="49" s="1"/>
  <c r="F208" i="49"/>
  <c r="C202" i="49"/>
  <c r="E194" i="49" s="1"/>
  <c r="F194" i="49" s="1"/>
  <c r="F195" i="49" s="1"/>
  <c r="F192" i="49"/>
  <c r="C186" i="49"/>
  <c r="E177" i="49" s="1"/>
  <c r="F177" i="49" s="1"/>
  <c r="F178" i="49"/>
  <c r="F175" i="49"/>
  <c r="C169" i="49"/>
  <c r="E161" i="49" s="1"/>
  <c r="F161" i="49" s="1"/>
  <c r="F162" i="49" s="1"/>
  <c r="F159" i="49"/>
  <c r="C153" i="49"/>
  <c r="F144" i="49"/>
  <c r="F143" i="49"/>
  <c r="F145" i="49" s="1"/>
  <c r="F140" i="49"/>
  <c r="F139" i="49"/>
  <c r="C134" i="49"/>
  <c r="E125" i="49" s="1"/>
  <c r="F125" i="49" s="1"/>
  <c r="F123" i="49"/>
  <c r="C117" i="49"/>
  <c r="E108" i="49" s="1"/>
  <c r="F108" i="49" s="1"/>
  <c r="F109" i="49"/>
  <c r="F105" i="49"/>
  <c r="F104" i="49"/>
  <c r="C99" i="49"/>
  <c r="E91" i="49" s="1"/>
  <c r="F91" i="49" s="1"/>
  <c r="F92" i="49" s="1"/>
  <c r="F89" i="49"/>
  <c r="C83" i="49"/>
  <c r="E74" i="49" s="1"/>
  <c r="F74" i="49" s="1"/>
  <c r="F73" i="49"/>
  <c r="F70" i="49"/>
  <c r="F69" i="49"/>
  <c r="F62" i="49"/>
  <c r="F61" i="49"/>
  <c r="F60" i="49"/>
  <c r="F59" i="49"/>
  <c r="F58" i="49"/>
  <c r="F57" i="49"/>
  <c r="F56" i="49"/>
  <c r="F55" i="49"/>
  <c r="F54" i="49"/>
  <c r="F53" i="49"/>
  <c r="F52" i="49"/>
  <c r="F51" i="49"/>
  <c r="F50" i="49"/>
  <c r="F49" i="49"/>
  <c r="F48" i="49"/>
  <c r="F47" i="49"/>
  <c r="F46" i="49"/>
  <c r="F43" i="49"/>
  <c r="F42" i="49"/>
  <c r="F35" i="49"/>
  <c r="F34" i="49"/>
  <c r="F33" i="49"/>
  <c r="F32" i="49"/>
  <c r="F31" i="49"/>
  <c r="F28" i="49"/>
  <c r="F27" i="49"/>
  <c r="F18" i="49"/>
  <c r="F17" i="49"/>
  <c r="F16" i="49"/>
  <c r="F163" i="49" l="1"/>
  <c r="K139" i="36" s="1"/>
  <c r="E139" i="36" s="1"/>
  <c r="F249" i="49"/>
  <c r="F443" i="49"/>
  <c r="F335" i="49"/>
  <c r="F212" i="49"/>
  <c r="K141" i="36" s="1"/>
  <c r="E141" i="36" s="1"/>
  <c r="F456" i="49"/>
  <c r="F287" i="49"/>
  <c r="F291" i="49" s="1"/>
  <c r="K305" i="36" s="1"/>
  <c r="E305" i="36" s="1"/>
  <c r="F298" i="49"/>
  <c r="F302" i="49" s="1"/>
  <c r="K306" i="36" s="1"/>
  <c r="E306" i="36" s="1"/>
  <c r="F261" i="49"/>
  <c r="F309" i="49"/>
  <c r="F489" i="49"/>
  <c r="F483" i="49"/>
  <c r="F463" i="49"/>
  <c r="F44" i="49"/>
  <c r="F36" i="49"/>
  <c r="F106" i="49"/>
  <c r="F253" i="49"/>
  <c r="F322" i="49"/>
  <c r="F475" i="49"/>
  <c r="F110" i="49"/>
  <c r="F340" i="49"/>
  <c r="F341" i="49" s="1"/>
  <c r="K120" i="36" s="1"/>
  <c r="E120" i="36" s="1"/>
  <c r="F240" i="49"/>
  <c r="F265" i="49"/>
  <c r="F327" i="49"/>
  <c r="F414" i="49"/>
  <c r="F314" i="49"/>
  <c r="F315" i="49" s="1"/>
  <c r="K123" i="36" s="1"/>
  <c r="E123" i="36" s="1"/>
  <c r="F430" i="49"/>
  <c r="F29" i="49"/>
  <c r="F141" i="49"/>
  <c r="F146" i="49" s="1"/>
  <c r="K403" i="36" s="1"/>
  <c r="E403" i="36" s="1"/>
  <c r="F273" i="49"/>
  <c r="F471" i="49"/>
  <c r="F93" i="49"/>
  <c r="K130" i="36" s="1"/>
  <c r="E130" i="36" s="1"/>
  <c r="F235" i="49"/>
  <c r="F279" i="49"/>
  <c r="F448" i="49"/>
  <c r="F449" i="49" s="1"/>
  <c r="K367" i="36" s="1"/>
  <c r="E367" i="36" s="1"/>
  <c r="F63" i="49"/>
  <c r="F71" i="49"/>
  <c r="F357" i="49"/>
  <c r="K409" i="36" s="1"/>
  <c r="E409" i="36" s="1"/>
  <c r="F422" i="49"/>
  <c r="F406" i="49"/>
  <c r="K415" i="36" s="1"/>
  <c r="E415" i="36" s="1"/>
  <c r="F435" i="49"/>
  <c r="F19" i="49"/>
  <c r="F20" i="49" s="1"/>
  <c r="K17" i="36" s="1"/>
  <c r="F374" i="49"/>
  <c r="K410" i="36" s="1"/>
  <c r="E410" i="36" s="1"/>
  <c r="F228" i="49"/>
  <c r="K106" i="36" s="1"/>
  <c r="E106" i="36" s="1"/>
  <c r="F179" i="49"/>
  <c r="F180" i="49" s="1"/>
  <c r="K140" i="36" s="1"/>
  <c r="E140" i="36" s="1"/>
  <c r="F75" i="49"/>
  <c r="F390" i="49"/>
  <c r="K411" i="36" s="1"/>
  <c r="E411" i="36" s="1"/>
  <c r="F196" i="49"/>
  <c r="F254" i="49"/>
  <c r="K301" i="36" s="1"/>
  <c r="E301" i="36" s="1"/>
  <c r="J130" i="36" l="1"/>
  <c r="J139" i="36"/>
  <c r="J120" i="36"/>
  <c r="J106" i="36"/>
  <c r="J140" i="36"/>
  <c r="J141" i="36"/>
  <c r="E17" i="36"/>
  <c r="J123" i="36"/>
  <c r="F423" i="49"/>
  <c r="K370" i="36" s="1"/>
  <c r="E370" i="36" s="1"/>
  <c r="F266" i="49"/>
  <c r="K302" i="36" s="1"/>
  <c r="E302" i="36" s="1"/>
  <c r="F464" i="49"/>
  <c r="K368" i="36" s="1"/>
  <c r="E368" i="36" s="1"/>
  <c r="F328" i="49"/>
  <c r="K124" i="36" s="1"/>
  <c r="E124" i="36" s="1"/>
  <c r="F436" i="49"/>
  <c r="K365" i="36" s="1"/>
  <c r="E365" i="36" s="1"/>
  <c r="F64" i="49"/>
  <c r="K26" i="36" s="1"/>
  <c r="E26" i="36" s="1"/>
  <c r="F37" i="49"/>
  <c r="K20" i="36" s="1"/>
  <c r="E20" i="36" s="1"/>
  <c r="F111" i="49"/>
  <c r="F490" i="49"/>
  <c r="K165" i="36" s="1"/>
  <c r="E165" i="36" s="1"/>
  <c r="F476" i="49"/>
  <c r="K154" i="36" s="1"/>
  <c r="E154" i="36" s="1"/>
  <c r="F76" i="49"/>
  <c r="K134" i="36" s="1"/>
  <c r="E134" i="36" s="1"/>
  <c r="F280" i="49"/>
  <c r="K304" i="36" s="1"/>
  <c r="E304" i="36" s="1"/>
  <c r="F241" i="49"/>
  <c r="K112" i="36" s="1"/>
  <c r="E112" i="36" s="1"/>
  <c r="J26" i="36" l="1"/>
  <c r="J112" i="36"/>
  <c r="J17" i="36"/>
  <c r="J124" i="36"/>
  <c r="J134" i="36"/>
  <c r="J154" i="36"/>
  <c r="J20" i="36"/>
  <c r="J165" i="36"/>
  <c r="E126" i="49"/>
  <c r="F126" i="49" s="1"/>
  <c r="F127" i="49" s="1"/>
  <c r="F128" i="49" s="1"/>
  <c r="K128" i="36" s="1"/>
  <c r="E128" i="36" s="1"/>
  <c r="K300" i="36"/>
  <c r="E300" i="36" s="1"/>
  <c r="I1340" i="46"/>
  <c r="J1340" i="46" s="1"/>
  <c r="K1340" i="46" s="1"/>
  <c r="L1340" i="46" s="1"/>
  <c r="E1340" i="46"/>
  <c r="D1236" i="46"/>
  <c r="D1235" i="46"/>
  <c r="J128" i="36" l="1"/>
  <c r="D1237" i="46"/>
  <c r="D196" i="46"/>
  <c r="M21" i="36" l="1"/>
  <c r="M27" i="4" l="1"/>
  <c r="B1376" i="46" l="1"/>
  <c r="D1439" i="46"/>
  <c r="K23" i="36" l="1"/>
  <c r="B31" i="47"/>
  <c r="B25" i="47"/>
  <c r="B18" i="47"/>
  <c r="B19" i="47" s="1"/>
  <c r="B17" i="47"/>
  <c r="B12" i="47"/>
  <c r="B13" i="47" s="1"/>
  <c r="B11" i="47"/>
  <c r="B9" i="47"/>
  <c r="B5" i="47"/>
  <c r="B8" i="47" s="1"/>
  <c r="B4" i="47"/>
  <c r="B6" i="47" l="1"/>
  <c r="B7" i="47"/>
  <c r="B25" i="2" l="1"/>
  <c r="B27" i="4" s="1"/>
  <c r="A25" i="2"/>
  <c r="A27" i="4" s="1"/>
  <c r="B24" i="2"/>
  <c r="A24" i="2"/>
  <c r="F19" i="45"/>
  <c r="F20" i="45"/>
  <c r="F21" i="45"/>
  <c r="F25" i="45"/>
  <c r="F26" i="45"/>
  <c r="F27" i="45"/>
  <c r="L133" i="36" l="1"/>
  <c r="J48" i="46" l="1"/>
  <c r="I1056" i="46" l="1"/>
  <c r="D1440" i="46" l="1"/>
  <c r="D1441" i="46" s="1"/>
  <c r="D1433" i="46"/>
  <c r="B1415" i="46"/>
  <c r="E1415" i="46" s="1"/>
  <c r="E1416" i="46" s="1"/>
  <c r="B1408" i="46"/>
  <c r="E1408" i="46" s="1"/>
  <c r="B1407" i="46"/>
  <c r="E1407" i="46" s="1"/>
  <c r="B1400" i="46"/>
  <c r="E1400" i="46" s="1"/>
  <c r="B1399" i="46"/>
  <c r="E1399" i="46" s="1"/>
  <c r="B1392" i="46"/>
  <c r="E1392" i="46" s="1"/>
  <c r="B1391" i="46"/>
  <c r="E1391" i="46" s="1"/>
  <c r="B1384" i="46"/>
  <c r="E1384" i="46" s="1"/>
  <c r="B1383" i="46"/>
  <c r="E1383" i="46" s="1"/>
  <c r="E1376" i="46"/>
  <c r="E1377" i="46" s="1"/>
  <c r="I1370" i="46"/>
  <c r="B1370" i="46"/>
  <c r="C1369" i="46"/>
  <c r="D1369" i="46" s="1"/>
  <c r="C1368" i="46"/>
  <c r="D1368" i="46" s="1"/>
  <c r="C1361" i="46"/>
  <c r="D1361" i="46" s="1"/>
  <c r="D1362" i="46" s="1"/>
  <c r="D1354" i="46"/>
  <c r="D1355" i="46" s="1"/>
  <c r="D1348" i="46"/>
  <c r="B1340" i="46"/>
  <c r="B1333" i="46"/>
  <c r="E1333" i="46" s="1"/>
  <c r="D1332" i="46"/>
  <c r="B1332" i="46"/>
  <c r="B1325" i="46"/>
  <c r="E1325" i="46" s="1"/>
  <c r="D1324" i="46"/>
  <c r="B1324" i="46"/>
  <c r="B1317" i="46"/>
  <c r="E1317" i="46" s="1"/>
  <c r="D1316" i="46"/>
  <c r="B1316" i="46"/>
  <c r="B1309" i="46"/>
  <c r="E1309" i="46" s="1"/>
  <c r="D1308" i="46"/>
  <c r="B1308" i="46"/>
  <c r="B1301" i="46"/>
  <c r="E1301" i="46" s="1"/>
  <c r="D1300" i="46"/>
  <c r="B1300" i="46"/>
  <c r="D1293" i="46"/>
  <c r="E1293" i="46" s="1"/>
  <c r="E1294" i="46" s="1"/>
  <c r="B1293" i="46"/>
  <c r="B1286" i="46"/>
  <c r="B1279" i="46"/>
  <c r="D1271" i="46"/>
  <c r="D1272" i="46" s="1"/>
  <c r="C1264" i="46"/>
  <c r="D1264" i="46" s="1"/>
  <c r="D1265" i="46" s="1"/>
  <c r="C1257" i="46"/>
  <c r="D1257" i="46" s="1"/>
  <c r="D1258" i="46" s="1"/>
  <c r="D1250" i="46"/>
  <c r="D1251" i="46" s="1"/>
  <c r="C1243" i="46"/>
  <c r="D1243" i="46" s="1"/>
  <c r="D1244" i="46" s="1"/>
  <c r="E1237" i="46"/>
  <c r="B1216" i="46"/>
  <c r="B1208" i="46"/>
  <c r="C1204" i="46"/>
  <c r="B1198" i="46"/>
  <c r="B1185" i="46"/>
  <c r="B1171" i="46"/>
  <c r="B1158" i="46"/>
  <c r="B1150" i="46"/>
  <c r="B1142" i="46"/>
  <c r="B1133" i="46"/>
  <c r="B1126" i="46"/>
  <c r="B1118" i="46"/>
  <c r="B1110" i="46"/>
  <c r="B1102" i="46"/>
  <c r="B1092" i="46"/>
  <c r="B1084" i="46"/>
  <c r="D1073" i="46"/>
  <c r="D1072" i="46"/>
  <c r="D1071" i="46"/>
  <c r="D1070" i="46"/>
  <c r="D1063" i="46"/>
  <c r="D1064" i="46" s="1"/>
  <c r="D1056" i="46"/>
  <c r="D1057" i="46" s="1"/>
  <c r="C1056" i="46"/>
  <c r="B1040" i="46"/>
  <c r="D1040" i="46" s="1"/>
  <c r="G1040" i="46" s="1"/>
  <c r="D1039" i="46"/>
  <c r="G1039" i="46" s="1"/>
  <c r="D1038" i="46"/>
  <c r="G1038" i="46" s="1"/>
  <c r="F1037" i="46"/>
  <c r="D1037" i="46"/>
  <c r="D1036" i="46"/>
  <c r="G1036" i="46" s="1"/>
  <c r="F1035" i="46"/>
  <c r="B1035" i="46"/>
  <c r="D1035" i="46" s="1"/>
  <c r="F1034" i="46"/>
  <c r="B1034" i="46"/>
  <c r="D1034" i="46" s="1"/>
  <c r="D1031" i="46"/>
  <c r="G1031" i="46" s="1"/>
  <c r="B1030" i="46"/>
  <c r="D1030" i="46" s="1"/>
  <c r="G1030" i="46" s="1"/>
  <c r="B1029" i="46"/>
  <c r="D1029" i="46" s="1"/>
  <c r="G1029" i="46" s="1"/>
  <c r="D1028" i="46"/>
  <c r="G1028" i="46" s="1"/>
  <c r="D1027" i="46"/>
  <c r="G1027" i="46" s="1"/>
  <c r="F1026" i="46"/>
  <c r="D1026" i="46"/>
  <c r="D1025" i="46"/>
  <c r="G1025" i="46" s="1"/>
  <c r="D1024" i="46"/>
  <c r="G1024" i="46" s="1"/>
  <c r="B1021" i="46"/>
  <c r="D1021" i="46" s="1"/>
  <c r="G1021" i="46" s="1"/>
  <c r="B1020" i="46"/>
  <c r="D1020" i="46" s="1"/>
  <c r="G1020" i="46" s="1"/>
  <c r="B1019" i="46"/>
  <c r="D1019" i="46" s="1"/>
  <c r="G1019" i="46" s="1"/>
  <c r="B1018" i="46"/>
  <c r="D1018" i="46" s="1"/>
  <c r="G1018" i="46" s="1"/>
  <c r="B1017" i="46"/>
  <c r="D1017" i="46" s="1"/>
  <c r="G1017" i="46" s="1"/>
  <c r="B1016" i="46"/>
  <c r="D1016" i="46" s="1"/>
  <c r="G1016" i="46" s="1"/>
  <c r="B1000" i="46"/>
  <c r="D1000" i="46" s="1"/>
  <c r="G1000" i="46" s="1"/>
  <c r="D999" i="46"/>
  <c r="G999" i="46" s="1"/>
  <c r="D998" i="46"/>
  <c r="G998" i="46" s="1"/>
  <c r="F997" i="46"/>
  <c r="D997" i="46"/>
  <c r="D996" i="46"/>
  <c r="G996" i="46" s="1"/>
  <c r="F995" i="46"/>
  <c r="B995" i="46"/>
  <c r="D995" i="46" s="1"/>
  <c r="F994" i="46"/>
  <c r="B994" i="46"/>
  <c r="D994" i="46" s="1"/>
  <c r="D991" i="46"/>
  <c r="G991" i="46" s="1"/>
  <c r="B990" i="46"/>
  <c r="D990" i="46" s="1"/>
  <c r="G990" i="46" s="1"/>
  <c r="B989" i="46"/>
  <c r="D989" i="46" s="1"/>
  <c r="G989" i="46" s="1"/>
  <c r="D988" i="46"/>
  <c r="G988" i="46" s="1"/>
  <c r="D987" i="46"/>
  <c r="G987" i="46" s="1"/>
  <c r="F986" i="46"/>
  <c r="D986" i="46"/>
  <c r="D985" i="46"/>
  <c r="G985" i="46" s="1"/>
  <c r="D984" i="46"/>
  <c r="G984" i="46" s="1"/>
  <c r="B981" i="46"/>
  <c r="D981" i="46" s="1"/>
  <c r="G981" i="46" s="1"/>
  <c r="B980" i="46"/>
  <c r="D980" i="46" s="1"/>
  <c r="G980" i="46" s="1"/>
  <c r="B979" i="46"/>
  <c r="D979" i="46" s="1"/>
  <c r="G979" i="46" s="1"/>
  <c r="B978" i="46"/>
  <c r="D978" i="46" s="1"/>
  <c r="G978" i="46" s="1"/>
  <c r="B977" i="46"/>
  <c r="D977" i="46" s="1"/>
  <c r="G977" i="46" s="1"/>
  <c r="B976" i="46"/>
  <c r="D976" i="46" s="1"/>
  <c r="G976" i="46" s="1"/>
  <c r="D969" i="46"/>
  <c r="D950" i="46"/>
  <c r="D930" i="46"/>
  <c r="D931" i="46" s="1"/>
  <c r="I950" i="46" s="1"/>
  <c r="C930" i="46"/>
  <c r="F901" i="46"/>
  <c r="D901" i="46"/>
  <c r="D900" i="46"/>
  <c r="G900" i="46" s="1"/>
  <c r="D899" i="46"/>
  <c r="G899" i="46" s="1"/>
  <c r="D898" i="46"/>
  <c r="G898" i="46" s="1"/>
  <c r="F897" i="46"/>
  <c r="D897" i="46"/>
  <c r="B896" i="46"/>
  <c r="D896" i="46" s="1"/>
  <c r="G896" i="46" s="1"/>
  <c r="F895" i="46"/>
  <c r="B895" i="46"/>
  <c r="D895" i="46" s="1"/>
  <c r="B894" i="46"/>
  <c r="D894" i="46" s="1"/>
  <c r="G894" i="46" s="1"/>
  <c r="F893" i="46"/>
  <c r="B893" i="46"/>
  <c r="D893" i="46" s="1"/>
  <c r="D890" i="46"/>
  <c r="G890" i="46" s="1"/>
  <c r="F889" i="46"/>
  <c r="B889" i="46"/>
  <c r="D889" i="46" s="1"/>
  <c r="D888" i="46"/>
  <c r="G888" i="46" s="1"/>
  <c r="F887" i="46"/>
  <c r="B887" i="46"/>
  <c r="D887" i="46" s="1"/>
  <c r="F886" i="46"/>
  <c r="D886" i="46"/>
  <c r="B885" i="46"/>
  <c r="D885" i="46" s="1"/>
  <c r="G885" i="46" s="1"/>
  <c r="F884" i="46"/>
  <c r="D884" i="46"/>
  <c r="D883" i="46"/>
  <c r="G883" i="46" s="1"/>
  <c r="F882" i="46"/>
  <c r="D882" i="46"/>
  <c r="B881" i="46"/>
  <c r="D881" i="46" s="1"/>
  <c r="G881" i="46" s="1"/>
  <c r="F880" i="46"/>
  <c r="B880" i="46"/>
  <c r="D880" i="46" s="1"/>
  <c r="F879" i="46"/>
  <c r="D879" i="46"/>
  <c r="B876" i="46"/>
  <c r="D876" i="46" s="1"/>
  <c r="G876" i="46" s="1"/>
  <c r="B875" i="46"/>
  <c r="D875" i="46" s="1"/>
  <c r="G875" i="46" s="1"/>
  <c r="B874" i="46"/>
  <c r="D874" i="46" s="1"/>
  <c r="G874" i="46" s="1"/>
  <c r="B873" i="46"/>
  <c r="D873" i="46" s="1"/>
  <c r="G873" i="46" s="1"/>
  <c r="B872" i="46"/>
  <c r="D872" i="46" s="1"/>
  <c r="G872" i="46" s="1"/>
  <c r="B871" i="46"/>
  <c r="D871" i="46" s="1"/>
  <c r="G871" i="46" s="1"/>
  <c r="F870" i="46"/>
  <c r="D870" i="46"/>
  <c r="D869" i="46"/>
  <c r="G869" i="46" s="1"/>
  <c r="F853" i="46"/>
  <c r="D853" i="46"/>
  <c r="D852" i="46"/>
  <c r="G852" i="46" s="1"/>
  <c r="D851" i="46"/>
  <c r="G851" i="46" s="1"/>
  <c r="D850" i="46"/>
  <c r="G850" i="46" s="1"/>
  <c r="F849" i="46"/>
  <c r="D849" i="46"/>
  <c r="B848" i="46"/>
  <c r="D848" i="46" s="1"/>
  <c r="G848" i="46" s="1"/>
  <c r="F847" i="46"/>
  <c r="B847" i="46"/>
  <c r="D847" i="46" s="1"/>
  <c r="B846" i="46"/>
  <c r="D846" i="46" s="1"/>
  <c r="G846" i="46" s="1"/>
  <c r="F845" i="46"/>
  <c r="B845" i="46"/>
  <c r="D845" i="46" s="1"/>
  <c r="D842" i="46"/>
  <c r="G842" i="46" s="1"/>
  <c r="F841" i="46"/>
  <c r="B841" i="46"/>
  <c r="D841" i="46" s="1"/>
  <c r="D840" i="46"/>
  <c r="G840" i="46" s="1"/>
  <c r="F839" i="46"/>
  <c r="B839" i="46"/>
  <c r="D839" i="46" s="1"/>
  <c r="F838" i="46"/>
  <c r="D838" i="46"/>
  <c r="B837" i="46"/>
  <c r="D837" i="46" s="1"/>
  <c r="G837" i="46" s="1"/>
  <c r="F836" i="46"/>
  <c r="D836" i="46"/>
  <c r="D835" i="46"/>
  <c r="G835" i="46" s="1"/>
  <c r="F834" i="46"/>
  <c r="D834" i="46"/>
  <c r="B833" i="46"/>
  <c r="D833" i="46" s="1"/>
  <c r="G833" i="46" s="1"/>
  <c r="F832" i="46"/>
  <c r="B832" i="46"/>
  <c r="D832" i="46" s="1"/>
  <c r="F831" i="46"/>
  <c r="D831" i="46"/>
  <c r="B828" i="46"/>
  <c r="D828" i="46" s="1"/>
  <c r="G828" i="46" s="1"/>
  <c r="B827" i="46"/>
  <c r="D827" i="46" s="1"/>
  <c r="G827" i="46" s="1"/>
  <c r="B826" i="46"/>
  <c r="D826" i="46" s="1"/>
  <c r="G826" i="46" s="1"/>
  <c r="B825" i="46"/>
  <c r="D825" i="46" s="1"/>
  <c r="G825" i="46" s="1"/>
  <c r="B824" i="46"/>
  <c r="D824" i="46" s="1"/>
  <c r="G824" i="46" s="1"/>
  <c r="B823" i="46"/>
  <c r="D823" i="46" s="1"/>
  <c r="G823" i="46" s="1"/>
  <c r="F822" i="46"/>
  <c r="D822" i="46"/>
  <c r="D821" i="46"/>
  <c r="G821" i="46" s="1"/>
  <c r="F805" i="46"/>
  <c r="D805" i="46"/>
  <c r="D804" i="46"/>
  <c r="G804" i="46" s="1"/>
  <c r="D803" i="46"/>
  <c r="G803" i="46" s="1"/>
  <c r="D802" i="46"/>
  <c r="G802" i="46" s="1"/>
  <c r="F801" i="46"/>
  <c r="D801" i="46"/>
  <c r="B800" i="46"/>
  <c r="D800" i="46" s="1"/>
  <c r="G800" i="46" s="1"/>
  <c r="F799" i="46"/>
  <c r="B799" i="46"/>
  <c r="D799" i="46" s="1"/>
  <c r="B798" i="46"/>
  <c r="D798" i="46" s="1"/>
  <c r="G798" i="46" s="1"/>
  <c r="F797" i="46"/>
  <c r="B797" i="46"/>
  <c r="D797" i="46" s="1"/>
  <c r="D794" i="46"/>
  <c r="G794" i="46" s="1"/>
  <c r="F793" i="46"/>
  <c r="B793" i="46"/>
  <c r="D793" i="46" s="1"/>
  <c r="D792" i="46"/>
  <c r="G792" i="46" s="1"/>
  <c r="F791" i="46"/>
  <c r="B791" i="46"/>
  <c r="D791" i="46" s="1"/>
  <c r="F790" i="46"/>
  <c r="D790" i="46"/>
  <c r="B789" i="46"/>
  <c r="D789" i="46" s="1"/>
  <c r="G789" i="46" s="1"/>
  <c r="F788" i="46"/>
  <c r="D788" i="46"/>
  <c r="D787" i="46"/>
  <c r="G787" i="46" s="1"/>
  <c r="F786" i="46"/>
  <c r="D786" i="46"/>
  <c r="B785" i="46"/>
  <c r="D785" i="46" s="1"/>
  <c r="G785" i="46" s="1"/>
  <c r="F784" i="46"/>
  <c r="B784" i="46"/>
  <c r="D784" i="46" s="1"/>
  <c r="F783" i="46"/>
  <c r="D783" i="46"/>
  <c r="B780" i="46"/>
  <c r="D780" i="46" s="1"/>
  <c r="G780" i="46" s="1"/>
  <c r="B779" i="46"/>
  <c r="D779" i="46" s="1"/>
  <c r="G779" i="46" s="1"/>
  <c r="B778" i="46"/>
  <c r="D778" i="46" s="1"/>
  <c r="G778" i="46" s="1"/>
  <c r="B777" i="46"/>
  <c r="D777" i="46" s="1"/>
  <c r="G777" i="46" s="1"/>
  <c r="B776" i="46"/>
  <c r="D776" i="46" s="1"/>
  <c r="G776" i="46" s="1"/>
  <c r="B775" i="46"/>
  <c r="D775" i="46" s="1"/>
  <c r="G775" i="46" s="1"/>
  <c r="F774" i="46"/>
  <c r="D774" i="46"/>
  <c r="D773" i="46"/>
  <c r="G773" i="46" s="1"/>
  <c r="D764" i="46"/>
  <c r="E764" i="46" s="1"/>
  <c r="E765" i="46" s="1"/>
  <c r="D761" i="46"/>
  <c r="E761" i="46" s="1"/>
  <c r="E762" i="46" s="1"/>
  <c r="E754" i="46"/>
  <c r="D754" i="46"/>
  <c r="E747" i="46"/>
  <c r="D747" i="46"/>
  <c r="F739" i="46"/>
  <c r="D739" i="46"/>
  <c r="F738" i="46"/>
  <c r="D738" i="46"/>
  <c r="J728" i="46"/>
  <c r="I728" i="46"/>
  <c r="E728" i="46"/>
  <c r="D731" i="46" s="1"/>
  <c r="D721" i="46"/>
  <c r="D720" i="46"/>
  <c r="D719" i="46"/>
  <c r="D712" i="46"/>
  <c r="D711" i="46"/>
  <c r="D710" i="46"/>
  <c r="D703" i="46"/>
  <c r="D704" i="46" s="1"/>
  <c r="D696" i="46"/>
  <c r="I695" i="46"/>
  <c r="D695" i="46"/>
  <c r="D694" i="46"/>
  <c r="D693" i="46"/>
  <c r="D685" i="46"/>
  <c r="I684" i="46"/>
  <c r="D684" i="46"/>
  <c r="D683" i="46"/>
  <c r="D682" i="46"/>
  <c r="D675" i="46"/>
  <c r="D657" i="46"/>
  <c r="D630" i="46"/>
  <c r="G630" i="46" s="1"/>
  <c r="F629" i="46"/>
  <c r="B629" i="46"/>
  <c r="D629" i="46" s="1"/>
  <c r="F628" i="46"/>
  <c r="B628" i="46"/>
  <c r="D628" i="46" s="1"/>
  <c r="D625" i="46"/>
  <c r="G625" i="46" s="1"/>
  <c r="D624" i="46"/>
  <c r="G624" i="46" s="1"/>
  <c r="D621" i="46"/>
  <c r="G621" i="46" s="1"/>
  <c r="D620" i="46"/>
  <c r="G620" i="46" s="1"/>
  <c r="B604" i="46"/>
  <c r="D604" i="46" s="1"/>
  <c r="G604" i="46" s="1"/>
  <c r="D603" i="46"/>
  <c r="G603" i="46" s="1"/>
  <c r="D602" i="46"/>
  <c r="G602" i="46" s="1"/>
  <c r="F601" i="46"/>
  <c r="D601" i="46"/>
  <c r="D600" i="46"/>
  <c r="G600" i="46" s="1"/>
  <c r="F599" i="46"/>
  <c r="B599" i="46"/>
  <c r="D599" i="46" s="1"/>
  <c r="F598" i="46"/>
  <c r="B598" i="46"/>
  <c r="D598" i="46" s="1"/>
  <c r="D595" i="46"/>
  <c r="G595" i="46" s="1"/>
  <c r="B594" i="46"/>
  <c r="D594" i="46" s="1"/>
  <c r="G594" i="46" s="1"/>
  <c r="B593" i="46"/>
  <c r="D593" i="46" s="1"/>
  <c r="G593" i="46" s="1"/>
  <c r="D592" i="46"/>
  <c r="G592" i="46" s="1"/>
  <c r="D591" i="46"/>
  <c r="G591" i="46" s="1"/>
  <c r="F590" i="46"/>
  <c r="D590" i="46"/>
  <c r="D589" i="46"/>
  <c r="G589" i="46" s="1"/>
  <c r="D588" i="46"/>
  <c r="G588" i="46" s="1"/>
  <c r="B585" i="46"/>
  <c r="D585" i="46" s="1"/>
  <c r="G585" i="46" s="1"/>
  <c r="B584" i="46"/>
  <c r="D584" i="46" s="1"/>
  <c r="G584" i="46" s="1"/>
  <c r="B583" i="46"/>
  <c r="D583" i="46" s="1"/>
  <c r="G583" i="46" s="1"/>
  <c r="B582" i="46"/>
  <c r="D582" i="46" s="1"/>
  <c r="G582" i="46" s="1"/>
  <c r="B581" i="46"/>
  <c r="D581" i="46" s="1"/>
  <c r="G581" i="46" s="1"/>
  <c r="B580" i="46"/>
  <c r="D580" i="46" s="1"/>
  <c r="G580" i="46" s="1"/>
  <c r="D564" i="46"/>
  <c r="G564" i="46" s="1"/>
  <c r="F563" i="46"/>
  <c r="B563" i="46"/>
  <c r="D563" i="46" s="1"/>
  <c r="F562" i="46"/>
  <c r="B562" i="46"/>
  <c r="D562" i="46" s="1"/>
  <c r="D559" i="46"/>
  <c r="G559" i="46" s="1"/>
  <c r="D558" i="46"/>
  <c r="G558" i="46" s="1"/>
  <c r="D555" i="46"/>
  <c r="G555" i="46" s="1"/>
  <c r="D554" i="46"/>
  <c r="G554" i="46" s="1"/>
  <c r="B538" i="46"/>
  <c r="D538" i="46" s="1"/>
  <c r="G538" i="46" s="1"/>
  <c r="D537" i="46"/>
  <c r="G537" i="46" s="1"/>
  <c r="D536" i="46"/>
  <c r="G536" i="46" s="1"/>
  <c r="F535" i="46"/>
  <c r="D535" i="46"/>
  <c r="D534" i="46"/>
  <c r="G534" i="46" s="1"/>
  <c r="F533" i="46"/>
  <c r="B533" i="46"/>
  <c r="D533" i="46" s="1"/>
  <c r="D532" i="46"/>
  <c r="G532" i="46" s="1"/>
  <c r="F531" i="46"/>
  <c r="B531" i="46"/>
  <c r="D531" i="46" s="1"/>
  <c r="F530" i="46"/>
  <c r="B530" i="46"/>
  <c r="D530" i="46" s="1"/>
  <c r="D527" i="46"/>
  <c r="G527" i="46" s="1"/>
  <c r="B526" i="46"/>
  <c r="D526" i="46" s="1"/>
  <c r="G526" i="46" s="1"/>
  <c r="D525" i="46"/>
  <c r="G525" i="46" s="1"/>
  <c r="B524" i="46"/>
  <c r="D524" i="46" s="1"/>
  <c r="G524" i="46" s="1"/>
  <c r="D523" i="46"/>
  <c r="G523" i="46" s="1"/>
  <c r="D522" i="46"/>
  <c r="G522" i="46" s="1"/>
  <c r="F521" i="46"/>
  <c r="D521" i="46"/>
  <c r="D520" i="46"/>
  <c r="G520" i="46" s="1"/>
  <c r="D519" i="46"/>
  <c r="G519" i="46" s="1"/>
  <c r="D518" i="46"/>
  <c r="G518" i="46" s="1"/>
  <c r="B515" i="46"/>
  <c r="D515" i="46" s="1"/>
  <c r="G515" i="46" s="1"/>
  <c r="B514" i="46"/>
  <c r="D514" i="46" s="1"/>
  <c r="G514" i="46" s="1"/>
  <c r="B513" i="46"/>
  <c r="D513" i="46" s="1"/>
  <c r="G513" i="46" s="1"/>
  <c r="B512" i="46"/>
  <c r="D512" i="46" s="1"/>
  <c r="G512" i="46" s="1"/>
  <c r="B511" i="46"/>
  <c r="D511" i="46" s="1"/>
  <c r="G511" i="46" s="1"/>
  <c r="B510" i="46"/>
  <c r="D510" i="46" s="1"/>
  <c r="G510" i="46" s="1"/>
  <c r="D509" i="46"/>
  <c r="G509" i="46" s="1"/>
  <c r="D508" i="46"/>
  <c r="G508" i="46" s="1"/>
  <c r="D494" i="46"/>
  <c r="G494" i="46" s="1"/>
  <c r="F493" i="46"/>
  <c r="D493" i="46"/>
  <c r="D492" i="46"/>
  <c r="G492" i="46" s="1"/>
  <c r="D491" i="46"/>
  <c r="G491" i="46" s="1"/>
  <c r="F488" i="46"/>
  <c r="D488" i="46"/>
  <c r="B488" i="46"/>
  <c r="F487" i="46"/>
  <c r="D487" i="46"/>
  <c r="B487" i="46"/>
  <c r="F486" i="46"/>
  <c r="D486" i="46"/>
  <c r="B485" i="46"/>
  <c r="D485" i="46" s="1"/>
  <c r="G485" i="46" s="1"/>
  <c r="F484" i="46"/>
  <c r="B484" i="46"/>
  <c r="D484" i="46" s="1"/>
  <c r="B483" i="46"/>
  <c r="D483" i="46" s="1"/>
  <c r="G483" i="46" s="1"/>
  <c r="F482" i="46"/>
  <c r="B482" i="46"/>
  <c r="D482" i="46" s="1"/>
  <c r="B481" i="46"/>
  <c r="D481" i="46" s="1"/>
  <c r="G481" i="46" s="1"/>
  <c r="F480" i="46"/>
  <c r="B480" i="46"/>
  <c r="D480" i="46" s="1"/>
  <c r="D466" i="46"/>
  <c r="G466" i="46" s="1"/>
  <c r="F465" i="46"/>
  <c r="D465" i="46"/>
  <c r="D464" i="46"/>
  <c r="G464" i="46" s="1"/>
  <c r="D463" i="46"/>
  <c r="G463" i="46" s="1"/>
  <c r="F460" i="46"/>
  <c r="D460" i="46"/>
  <c r="B460" i="46"/>
  <c r="F459" i="46"/>
  <c r="D459" i="46"/>
  <c r="B459" i="46"/>
  <c r="F458" i="46"/>
  <c r="D458" i="46"/>
  <c r="B457" i="46"/>
  <c r="D457" i="46" s="1"/>
  <c r="G457" i="46" s="1"/>
  <c r="F456" i="46"/>
  <c r="B456" i="46"/>
  <c r="D456" i="46" s="1"/>
  <c r="B455" i="46"/>
  <c r="D455" i="46" s="1"/>
  <c r="G455" i="46" s="1"/>
  <c r="F454" i="46"/>
  <c r="B454" i="46"/>
  <c r="D454" i="46" s="1"/>
  <c r="B453" i="46"/>
  <c r="D453" i="46" s="1"/>
  <c r="G453" i="46" s="1"/>
  <c r="F452" i="46"/>
  <c r="B452" i="46"/>
  <c r="D452" i="46" s="1"/>
  <c r="F436" i="46"/>
  <c r="D436" i="46"/>
  <c r="D435" i="46"/>
  <c r="G435" i="46" s="1"/>
  <c r="D434" i="46"/>
  <c r="G434" i="46" s="1"/>
  <c r="D433" i="46"/>
  <c r="G433" i="46" s="1"/>
  <c r="F432" i="46"/>
  <c r="D432" i="46"/>
  <c r="B431" i="46"/>
  <c r="D431" i="46" s="1"/>
  <c r="G431" i="46" s="1"/>
  <c r="F430" i="46"/>
  <c r="B430" i="46"/>
  <c r="D430" i="46" s="1"/>
  <c r="B429" i="46"/>
  <c r="D429" i="46" s="1"/>
  <c r="G429" i="46" s="1"/>
  <c r="F428" i="46"/>
  <c r="B428" i="46"/>
  <c r="D428" i="46" s="1"/>
  <c r="D425" i="46"/>
  <c r="G425" i="46" s="1"/>
  <c r="F424" i="46"/>
  <c r="B424" i="46"/>
  <c r="D424" i="46" s="1"/>
  <c r="D423" i="46"/>
  <c r="G423" i="46" s="1"/>
  <c r="F422" i="46"/>
  <c r="B422" i="46"/>
  <c r="D422" i="46" s="1"/>
  <c r="F421" i="46"/>
  <c r="D421" i="46"/>
  <c r="B420" i="46"/>
  <c r="D420" i="46" s="1"/>
  <c r="G420" i="46" s="1"/>
  <c r="F419" i="46"/>
  <c r="D419" i="46"/>
  <c r="D418" i="46"/>
  <c r="G418" i="46" s="1"/>
  <c r="F417" i="46"/>
  <c r="D417" i="46"/>
  <c r="B416" i="46"/>
  <c r="D416" i="46" s="1"/>
  <c r="G416" i="46" s="1"/>
  <c r="F415" i="46"/>
  <c r="B415" i="46"/>
  <c r="D415" i="46" s="1"/>
  <c r="F414" i="46"/>
  <c r="D414" i="46"/>
  <c r="B411" i="46"/>
  <c r="D411" i="46" s="1"/>
  <c r="G411" i="46" s="1"/>
  <c r="B410" i="46"/>
  <c r="D410" i="46" s="1"/>
  <c r="G410" i="46" s="1"/>
  <c r="F409" i="46"/>
  <c r="B409" i="46"/>
  <c r="D409" i="46" s="1"/>
  <c r="F408" i="46"/>
  <c r="B408" i="46"/>
  <c r="D408" i="46" s="1"/>
  <c r="B407" i="46"/>
  <c r="D407" i="46" s="1"/>
  <c r="G407" i="46" s="1"/>
  <c r="B406" i="46"/>
  <c r="D406" i="46" s="1"/>
  <c r="G406" i="46" s="1"/>
  <c r="F405" i="46"/>
  <c r="D405" i="46"/>
  <c r="D404" i="46"/>
  <c r="G404" i="46" s="1"/>
  <c r="F388" i="46"/>
  <c r="D388" i="46"/>
  <c r="D387" i="46"/>
  <c r="G387" i="46" s="1"/>
  <c r="D386" i="46"/>
  <c r="G386" i="46" s="1"/>
  <c r="D385" i="46"/>
  <c r="G385" i="46" s="1"/>
  <c r="F384" i="46"/>
  <c r="D384" i="46"/>
  <c r="B383" i="46"/>
  <c r="D383" i="46" s="1"/>
  <c r="G383" i="46" s="1"/>
  <c r="F382" i="46"/>
  <c r="B382" i="46"/>
  <c r="D382" i="46" s="1"/>
  <c r="B381" i="46"/>
  <c r="D381" i="46" s="1"/>
  <c r="G381" i="46" s="1"/>
  <c r="F380" i="46"/>
  <c r="B380" i="46"/>
  <c r="D380" i="46" s="1"/>
  <c r="D377" i="46"/>
  <c r="G377" i="46" s="1"/>
  <c r="F376" i="46"/>
  <c r="B376" i="46"/>
  <c r="D376" i="46" s="1"/>
  <c r="D375" i="46"/>
  <c r="G375" i="46" s="1"/>
  <c r="F374" i="46"/>
  <c r="B374" i="46"/>
  <c r="D374" i="46" s="1"/>
  <c r="F373" i="46"/>
  <c r="D373" i="46"/>
  <c r="B372" i="46"/>
  <c r="D372" i="46" s="1"/>
  <c r="G372" i="46" s="1"/>
  <c r="F371" i="46"/>
  <c r="D371" i="46"/>
  <c r="D370" i="46"/>
  <c r="G370" i="46" s="1"/>
  <c r="F369" i="46"/>
  <c r="D369" i="46"/>
  <c r="B368" i="46"/>
  <c r="D368" i="46" s="1"/>
  <c r="G368" i="46" s="1"/>
  <c r="F367" i="46"/>
  <c r="B367" i="46"/>
  <c r="D367" i="46" s="1"/>
  <c r="F366" i="46"/>
  <c r="D366" i="46"/>
  <c r="B363" i="46"/>
  <c r="D363" i="46" s="1"/>
  <c r="G363" i="46" s="1"/>
  <c r="B362" i="46"/>
  <c r="D362" i="46" s="1"/>
  <c r="G362" i="46" s="1"/>
  <c r="F361" i="46"/>
  <c r="B361" i="46"/>
  <c r="D361" i="46" s="1"/>
  <c r="F360" i="46"/>
  <c r="B360" i="46"/>
  <c r="D360" i="46" s="1"/>
  <c r="B359" i="46"/>
  <c r="D359" i="46" s="1"/>
  <c r="G359" i="46" s="1"/>
  <c r="B358" i="46"/>
  <c r="D358" i="46" s="1"/>
  <c r="G358" i="46" s="1"/>
  <c r="F357" i="46"/>
  <c r="D357" i="46"/>
  <c r="D356" i="46"/>
  <c r="G356" i="46" s="1"/>
  <c r="E335" i="46"/>
  <c r="E334" i="46"/>
  <c r="E333" i="46"/>
  <c r="B327" i="46"/>
  <c r="D327" i="46" s="1"/>
  <c r="E320" i="46"/>
  <c r="E319" i="46"/>
  <c r="E318" i="46"/>
  <c r="E317" i="46"/>
  <c r="D310" i="46"/>
  <c r="F310" i="46" s="1"/>
  <c r="G311" i="46" s="1"/>
  <c r="D303" i="46"/>
  <c r="F303" i="46" s="1"/>
  <c r="G304" i="46" s="1"/>
  <c r="D296" i="46"/>
  <c r="F296" i="46" s="1"/>
  <c r="G297" i="46" s="1"/>
  <c r="D289" i="46"/>
  <c r="F289" i="46" s="1"/>
  <c r="G290" i="46" s="1"/>
  <c r="D282" i="46"/>
  <c r="F282" i="46" s="1"/>
  <c r="G283" i="46" s="1"/>
  <c r="D275" i="46"/>
  <c r="F275" i="46" s="1"/>
  <c r="G276" i="46" s="1"/>
  <c r="D268" i="46"/>
  <c r="F268" i="46" s="1"/>
  <c r="G269" i="46" s="1"/>
  <c r="D261" i="46"/>
  <c r="F261" i="46" s="1"/>
  <c r="G262" i="46" s="1"/>
  <c r="D254" i="46"/>
  <c r="F254" i="46" s="1"/>
  <c r="G255" i="46" s="1"/>
  <c r="D247" i="46"/>
  <c r="F247" i="46" s="1"/>
  <c r="G248" i="46" s="1"/>
  <c r="D240" i="46"/>
  <c r="F240" i="46" s="1"/>
  <c r="G241" i="46" s="1"/>
  <c r="D233" i="46"/>
  <c r="F233" i="46" s="1"/>
  <c r="G234" i="46" s="1"/>
  <c r="D226" i="46"/>
  <c r="F226" i="46" s="1"/>
  <c r="G227" i="46" s="1"/>
  <c r="D219" i="46"/>
  <c r="F219" i="46" s="1"/>
  <c r="G220" i="46" s="1"/>
  <c r="C188" i="46"/>
  <c r="D174" i="46"/>
  <c r="D173" i="46"/>
  <c r="D172" i="46"/>
  <c r="D171" i="46"/>
  <c r="D164" i="46"/>
  <c r="D163" i="46"/>
  <c r="D162" i="46"/>
  <c r="D161" i="46"/>
  <c r="D160" i="46"/>
  <c r="D159" i="46"/>
  <c r="D158" i="46"/>
  <c r="D151" i="46"/>
  <c r="D150" i="46"/>
  <c r="D149" i="46"/>
  <c r="D148" i="46"/>
  <c r="D138" i="46"/>
  <c r="D142" i="46" s="1"/>
  <c r="F122" i="46"/>
  <c r="D122" i="46"/>
  <c r="F121" i="46"/>
  <c r="D121" i="46"/>
  <c r="F120" i="46"/>
  <c r="D120" i="46"/>
  <c r="F119" i="46"/>
  <c r="D119" i="46"/>
  <c r="B117" i="46"/>
  <c r="D117" i="46" s="1"/>
  <c r="G117" i="46" s="1"/>
  <c r="B116" i="46"/>
  <c r="D116" i="46" s="1"/>
  <c r="G116" i="46" s="1"/>
  <c r="B115" i="46"/>
  <c r="D115" i="46" s="1"/>
  <c r="G115" i="46" s="1"/>
  <c r="D114" i="46"/>
  <c r="G114" i="46" s="1"/>
  <c r="B113" i="46"/>
  <c r="D113" i="46" s="1"/>
  <c r="G113" i="46" s="1"/>
  <c r="D111" i="46"/>
  <c r="G111" i="46" s="1"/>
  <c r="B110" i="46"/>
  <c r="D110" i="46" s="1"/>
  <c r="G110" i="46" s="1"/>
  <c r="B109" i="46"/>
  <c r="D109" i="46" s="1"/>
  <c r="G109" i="46" s="1"/>
  <c r="F107" i="46"/>
  <c r="D107" i="46"/>
  <c r="F106" i="46"/>
  <c r="D106" i="46"/>
  <c r="F105" i="46"/>
  <c r="D105" i="46"/>
  <c r="F104" i="46"/>
  <c r="D104" i="46"/>
  <c r="F103" i="46"/>
  <c r="D103" i="46"/>
  <c r="F102" i="46"/>
  <c r="D102" i="46"/>
  <c r="F101" i="46"/>
  <c r="D101" i="46"/>
  <c r="F100" i="46"/>
  <c r="D100" i="46"/>
  <c r="F99" i="46"/>
  <c r="B99" i="46"/>
  <c r="D99" i="46" s="1"/>
  <c r="F98" i="46"/>
  <c r="D98" i="46"/>
  <c r="D70" i="46"/>
  <c r="D71" i="46" s="1"/>
  <c r="B50" i="46"/>
  <c r="D35" i="46"/>
  <c r="D34" i="46"/>
  <c r="D33" i="46"/>
  <c r="D32" i="46"/>
  <c r="B25" i="46"/>
  <c r="D25" i="46" s="1"/>
  <c r="D26" i="46" s="1"/>
  <c r="C18" i="46"/>
  <c r="C19" i="46" s="1"/>
  <c r="E1341" i="46" l="1"/>
  <c r="G832" i="46"/>
  <c r="G801" i="46"/>
  <c r="G774" i="46"/>
  <c r="G788" i="46"/>
  <c r="G839" i="46"/>
  <c r="G369" i="46"/>
  <c r="G374" i="46"/>
  <c r="G384" i="46"/>
  <c r="G415" i="46"/>
  <c r="G484" i="46"/>
  <c r="G409" i="46"/>
  <c r="G122" i="46"/>
  <c r="G357" i="46"/>
  <c r="G870" i="46"/>
  <c r="G905" i="46" s="1"/>
  <c r="G1034" i="46"/>
  <c r="G428" i="46"/>
  <c r="G628" i="46"/>
  <c r="G790" i="46"/>
  <c r="G521" i="46"/>
  <c r="G879" i="46"/>
  <c r="G99" i="46"/>
  <c r="G101" i="46"/>
  <c r="G103" i="46"/>
  <c r="G107" i="46"/>
  <c r="G460" i="46"/>
  <c r="G486" i="46"/>
  <c r="G598" i="46"/>
  <c r="G493" i="46"/>
  <c r="G500" i="46" s="1"/>
  <c r="G599" i="46"/>
  <c r="G901" i="46"/>
  <c r="D152" i="46"/>
  <c r="I152" i="46" s="1"/>
  <c r="D165" i="46"/>
  <c r="I165" i="46" s="1"/>
  <c r="G422" i="46"/>
  <c r="G424" i="46"/>
  <c r="G531" i="46"/>
  <c r="G568" i="46"/>
  <c r="G562" i="46"/>
  <c r="G601" i="46"/>
  <c r="G739" i="46"/>
  <c r="G786" i="46"/>
  <c r="G799" i="46"/>
  <c r="G886" i="46"/>
  <c r="G102" i="46"/>
  <c r="G436" i="46"/>
  <c r="G487" i="46"/>
  <c r="G590" i="46"/>
  <c r="G610" i="46" s="1"/>
  <c r="G738" i="46"/>
  <c r="G740" i="46" s="1"/>
  <c r="G880" i="46"/>
  <c r="G1026" i="46"/>
  <c r="G1046" i="46" s="1"/>
  <c r="G371" i="46"/>
  <c r="F754" i="46"/>
  <c r="F755" i="46" s="1"/>
  <c r="G797" i="46"/>
  <c r="G822" i="46"/>
  <c r="G857" i="46" s="1"/>
  <c r="G838" i="46"/>
  <c r="G847" i="46"/>
  <c r="G849" i="46"/>
  <c r="G853" i="46"/>
  <c r="G986" i="46"/>
  <c r="G1006" i="46" s="1"/>
  <c r="G997" i="46"/>
  <c r="E1300" i="46"/>
  <c r="G419" i="46"/>
  <c r="G421" i="46"/>
  <c r="G459" i="46"/>
  <c r="G482" i="46"/>
  <c r="G530" i="46"/>
  <c r="G535" i="46"/>
  <c r="G783" i="46"/>
  <c r="G836" i="46"/>
  <c r="G845" i="46"/>
  <c r="G884" i="46"/>
  <c r="G889" i="46"/>
  <c r="G1035" i="46"/>
  <c r="G1037" i="46"/>
  <c r="G98" i="46"/>
  <c r="G100" i="46"/>
  <c r="G366" i="46"/>
  <c r="G405" i="46"/>
  <c r="G408" i="46"/>
  <c r="G417" i="46"/>
  <c r="G454" i="46"/>
  <c r="G456" i="46"/>
  <c r="G458" i="46"/>
  <c r="G488" i="46"/>
  <c r="G533" i="46"/>
  <c r="G791" i="46"/>
  <c r="G841" i="46"/>
  <c r="G882" i="46"/>
  <c r="G897" i="46"/>
  <c r="I117" i="46"/>
  <c r="G414" i="46"/>
  <c r="E336" i="46"/>
  <c r="G367" i="46"/>
  <c r="G388" i="46"/>
  <c r="G465" i="46"/>
  <c r="G472" i="46" s="1"/>
  <c r="G480" i="46"/>
  <c r="G634" i="46"/>
  <c r="G636" i="46"/>
  <c r="D687" i="46"/>
  <c r="D697" i="46"/>
  <c r="G784" i="46"/>
  <c r="G104" i="46"/>
  <c r="G106" i="46"/>
  <c r="G129" i="46"/>
  <c r="G119" i="46"/>
  <c r="I262" i="46"/>
  <c r="G382" i="46"/>
  <c r="G452" i="46"/>
  <c r="G629" i="46"/>
  <c r="G638" i="46" s="1"/>
  <c r="E1302" i="46"/>
  <c r="E1401" i="46"/>
  <c r="G834" i="46"/>
  <c r="D1370" i="46"/>
  <c r="D36" i="46"/>
  <c r="I149" i="46"/>
  <c r="E321" i="46"/>
  <c r="D722" i="46"/>
  <c r="F747" i="46"/>
  <c r="F748" i="46" s="1"/>
  <c r="G809" i="46"/>
  <c r="G805" i="46"/>
  <c r="G995" i="46"/>
  <c r="G120" i="46"/>
  <c r="G361" i="46"/>
  <c r="G373" i="46"/>
  <c r="G380" i="46"/>
  <c r="G432" i="46"/>
  <c r="G570" i="46"/>
  <c r="G563" i="46"/>
  <c r="D713" i="46"/>
  <c r="G793" i="46"/>
  <c r="G831" i="46"/>
  <c r="G887" i="46"/>
  <c r="G893" i="46"/>
  <c r="G895" i="46"/>
  <c r="G994" i="46"/>
  <c r="D1074" i="46"/>
  <c r="E1308" i="46"/>
  <c r="E1310" i="46" s="1"/>
  <c r="E1316" i="46"/>
  <c r="E1318" i="46" s="1"/>
  <c r="E1324" i="46"/>
  <c r="E1326" i="46" s="1"/>
  <c r="E1332" i="46"/>
  <c r="E1334" i="46" s="1"/>
  <c r="E1409" i="46"/>
  <c r="I311" i="46"/>
  <c r="G105" i="46"/>
  <c r="G376" i="46"/>
  <c r="G544" i="46"/>
  <c r="G127" i="46"/>
  <c r="I111" i="46"/>
  <c r="G121" i="46"/>
  <c r="D175" i="46"/>
  <c r="I175" i="46" s="1"/>
  <c r="G360" i="46"/>
  <c r="G430" i="46"/>
  <c r="G542" i="46"/>
  <c r="G608" i="46"/>
  <c r="G1004" i="46"/>
  <c r="G1044" i="46"/>
  <c r="E1385" i="46"/>
  <c r="E1393" i="46"/>
  <c r="G572" i="46" l="1"/>
  <c r="G573" i="46" s="1"/>
  <c r="G440" i="46"/>
  <c r="G612" i="46"/>
  <c r="G613" i="46" s="1"/>
  <c r="G470" i="46"/>
  <c r="G473" i="46" s="1"/>
  <c r="G1048" i="46"/>
  <c r="G1049" i="46" s="1"/>
  <c r="G546" i="46"/>
  <c r="G547" i="46" s="1"/>
  <c r="G811" i="46"/>
  <c r="G909" i="46"/>
  <c r="G442" i="46"/>
  <c r="G907" i="46"/>
  <c r="G498" i="46"/>
  <c r="G501" i="46" s="1"/>
  <c r="G394" i="46"/>
  <c r="G392" i="46"/>
  <c r="G813" i="46"/>
  <c r="G131" i="46"/>
  <c r="G859" i="46"/>
  <c r="G861" i="46"/>
  <c r="G444" i="46"/>
  <c r="I107" i="46"/>
  <c r="G396" i="46"/>
  <c r="G639" i="46"/>
  <c r="G1008" i="46"/>
  <c r="G1009" i="46" s="1"/>
  <c r="I122" i="46"/>
  <c r="G125" i="46"/>
  <c r="G814" i="46" l="1"/>
  <c r="G910" i="46"/>
  <c r="G445" i="46"/>
  <c r="G397" i="46"/>
  <c r="G132" i="46"/>
  <c r="G862" i="46"/>
  <c r="F223" i="29" l="1"/>
  <c r="F209" i="29"/>
  <c r="F210" i="29"/>
  <c r="F211" i="29"/>
  <c r="F208" i="29"/>
  <c r="F205" i="29"/>
  <c r="F204" i="29"/>
  <c r="F197" i="29"/>
  <c r="F196" i="29"/>
  <c r="F193" i="29"/>
  <c r="F192" i="29"/>
  <c r="F185" i="29"/>
  <c r="F184" i="29"/>
  <c r="F183" i="29"/>
  <c r="F182" i="29"/>
  <c r="F181" i="29"/>
  <c r="F180" i="29"/>
  <c r="F177" i="29"/>
  <c r="F176" i="29"/>
  <c r="F212" i="29" l="1"/>
  <c r="F206" i="29"/>
  <c r="F194" i="29"/>
  <c r="F198" i="29"/>
  <c r="F178" i="29"/>
  <c r="F186" i="29"/>
  <c r="F199" i="29" l="1"/>
  <c r="K318" i="36" s="1"/>
  <c r="E318" i="36" s="1"/>
  <c r="F213" i="29"/>
  <c r="K319" i="36" s="1"/>
  <c r="E319" i="36" s="1"/>
  <c r="F187" i="29"/>
  <c r="K311" i="36" s="1"/>
  <c r="E311" i="36" s="1"/>
  <c r="K353" i="36" l="1"/>
  <c r="F24" i="45" l="1"/>
  <c r="F28" i="45" s="1"/>
  <c r="F18" i="45"/>
  <c r="B12" i="45"/>
  <c r="B11" i="45"/>
  <c r="B10" i="45"/>
  <c r="B9" i="45"/>
  <c r="F8" i="45"/>
  <c r="B8" i="45"/>
  <c r="G35" i="44"/>
  <c r="G34" i="44"/>
  <c r="B29" i="44"/>
  <c r="B33" i="44" s="1"/>
  <c r="B27" i="44"/>
  <c r="G39" i="44" s="1"/>
  <c r="G22" i="44"/>
  <c r="B21" i="44"/>
  <c r="G16" i="44"/>
  <c r="B10" i="44"/>
  <c r="B9" i="44"/>
  <c r="B7" i="44"/>
  <c r="G28" i="44" l="1"/>
  <c r="B11" i="44"/>
  <c r="B18" i="44" s="1"/>
  <c r="G31" i="44"/>
  <c r="G38" i="44" s="1"/>
  <c r="F22" i="45"/>
  <c r="G15" i="44"/>
  <c r="B8" i="44"/>
  <c r="G27" i="44"/>
  <c r="G29" i="44"/>
  <c r="G23" i="44"/>
  <c r="B28" i="44"/>
  <c r="G30" i="44"/>
  <c r="G33" i="44"/>
  <c r="G14" i="44" l="1"/>
  <c r="B15" i="44"/>
  <c r="G37" i="44"/>
  <c r="G32" i="44"/>
  <c r="F29" i="45"/>
  <c r="K361" i="36" s="1"/>
  <c r="E361" i="36" s="1"/>
  <c r="G13" i="44"/>
  <c r="B17" i="44"/>
  <c r="G12" i="44"/>
  <c r="B14" i="44"/>
  <c r="G18" i="44" l="1"/>
  <c r="G10" i="44"/>
  <c r="G8" i="44"/>
  <c r="G11" i="44"/>
  <c r="G7" i="44"/>
  <c r="G21" i="44"/>
  <c r="G9" i="44"/>
  <c r="G20" i="44" l="1"/>
  <c r="F142" i="29"/>
  <c r="F143" i="29"/>
  <c r="F133" i="29" l="1"/>
  <c r="F132" i="29"/>
  <c r="F131" i="29"/>
  <c r="F130" i="29"/>
  <c r="F127" i="29"/>
  <c r="F126" i="29"/>
  <c r="F8" i="29"/>
  <c r="B12" i="29"/>
  <c r="B11" i="29"/>
  <c r="B10" i="29"/>
  <c r="B9" i="29"/>
  <c r="B8" i="29"/>
  <c r="F134" i="29" l="1"/>
  <c r="F128" i="29"/>
  <c r="F135" i="29" l="1"/>
  <c r="K282" i="36" s="1"/>
  <c r="E282" i="36" s="1"/>
  <c r="J282" i="36" l="1"/>
  <c r="L93" i="36"/>
  <c r="M18" i="4"/>
  <c r="M19" i="4"/>
  <c r="M20" i="4"/>
  <c r="M21" i="4"/>
  <c r="M22" i="4"/>
  <c r="M23" i="4"/>
  <c r="M24" i="4"/>
  <c r="M25" i="4"/>
  <c r="M26" i="4"/>
  <c r="M28" i="4"/>
  <c r="M29" i="4"/>
  <c r="M30" i="4"/>
  <c r="M31" i="4"/>
  <c r="M32" i="4"/>
  <c r="M33" i="4"/>
  <c r="M34" i="4"/>
  <c r="M35" i="4"/>
  <c r="M36" i="4"/>
  <c r="M37" i="4"/>
  <c r="M38" i="4"/>
  <c r="M39" i="4"/>
  <c r="M17" i="4"/>
  <c r="B37" i="2"/>
  <c r="A37" i="2"/>
  <c r="B36" i="2"/>
  <c r="A36" i="2"/>
  <c r="B35" i="2"/>
  <c r="A35" i="2"/>
  <c r="B30" i="2"/>
  <c r="B32" i="4" s="1"/>
  <c r="A30" i="2"/>
  <c r="A32" i="4" s="1"/>
  <c r="B28" i="2"/>
  <c r="B30" i="4" s="1"/>
  <c r="A28" i="2"/>
  <c r="A30" i="4" s="1"/>
  <c r="B27" i="2"/>
  <c r="A27" i="2"/>
  <c r="B26" i="4"/>
  <c r="A26" i="4"/>
  <c r="B20" i="2"/>
  <c r="B22" i="4" s="1"/>
  <c r="A20" i="2"/>
  <c r="A22" i="4" s="1"/>
  <c r="I2509" i="52"/>
  <c r="J258" i="36" l="1"/>
  <c r="D28" i="2" l="1"/>
  <c r="J138" i="36" l="1"/>
  <c r="I138" i="36"/>
  <c r="B81" i="42" l="1"/>
  <c r="B79" i="42"/>
  <c r="B66" i="42"/>
  <c r="B61" i="42"/>
  <c r="B59" i="42"/>
  <c r="B58" i="42"/>
  <c r="B57" i="42"/>
  <c r="B56" i="42"/>
  <c r="B54" i="42"/>
  <c r="B55" i="42" s="1"/>
  <c r="B53" i="42"/>
  <c r="B51" i="42"/>
  <c r="B50" i="42"/>
  <c r="B49" i="42"/>
  <c r="B48" i="42"/>
  <c r="B46" i="42"/>
  <c r="B47" i="42" s="1"/>
  <c r="B45" i="42"/>
  <c r="B43" i="42"/>
  <c r="B38" i="42"/>
  <c r="B30" i="42"/>
  <c r="B26" i="42"/>
  <c r="B25" i="42"/>
  <c r="B24" i="42"/>
  <c r="B23" i="42"/>
  <c r="B22" i="42"/>
  <c r="B21" i="42"/>
  <c r="B5" i="42" s="1"/>
  <c r="B20" i="42"/>
  <c r="B18" i="42"/>
  <c r="B17" i="42"/>
  <c r="B16" i="42"/>
  <c r="B15" i="42"/>
  <c r="B13" i="42"/>
  <c r="B14" i="42" s="1"/>
  <c r="B12" i="42"/>
  <c r="B10" i="42"/>
  <c r="B8" i="42"/>
  <c r="B4" i="42"/>
  <c r="B9" i="42" l="1"/>
  <c r="B6" i="42"/>
  <c r="B7" i="42"/>
  <c r="J63" i="36" l="1"/>
  <c r="I63" i="36"/>
  <c r="J291" i="36" l="1"/>
  <c r="I291" i="36"/>
  <c r="J250" i="36"/>
  <c r="I250" i="36"/>
  <c r="J220" i="36"/>
  <c r="I220" i="36"/>
  <c r="J168" i="36"/>
  <c r="I168" i="36"/>
  <c r="J150" i="36"/>
  <c r="I150" i="36"/>
  <c r="J144" i="36"/>
  <c r="I144" i="36"/>
  <c r="J131" i="36"/>
  <c r="I131" i="36"/>
  <c r="J127" i="36"/>
  <c r="I127" i="36"/>
  <c r="J164" i="36"/>
  <c r="I164" i="36"/>
  <c r="I158" i="36"/>
  <c r="J156" i="36" l="1"/>
  <c r="J249" i="36"/>
  <c r="C30" i="4"/>
  <c r="K30" i="4" s="1"/>
  <c r="J88" i="36"/>
  <c r="I88" i="36"/>
  <c r="D27" i="2" l="1"/>
  <c r="I30" i="4"/>
  <c r="G30" i="4"/>
  <c r="E30" i="4"/>
  <c r="J166" i="36"/>
  <c r="D36" i="2" l="1"/>
  <c r="D25" i="2"/>
  <c r="C27" i="4" s="1"/>
  <c r="K27" i="4" s="1"/>
  <c r="I27" i="4" l="1"/>
  <c r="B11" i="2" l="1"/>
  <c r="B10" i="2"/>
  <c r="E10" i="2"/>
  <c r="M9" i="4" s="1"/>
  <c r="D10" i="2"/>
  <c r="L9" i="4" s="1"/>
  <c r="E9" i="2"/>
  <c r="D9" i="2"/>
  <c r="L10" i="4" s="1"/>
  <c r="E8" i="2"/>
  <c r="D8" i="2"/>
  <c r="B39" i="4"/>
  <c r="A39" i="4"/>
  <c r="B38" i="4"/>
  <c r="A38" i="4"/>
  <c r="B34" i="2"/>
  <c r="A34" i="2"/>
  <c r="B33" i="2"/>
  <c r="B35" i="4" s="1"/>
  <c r="A33" i="2"/>
  <c r="A35" i="4" s="1"/>
  <c r="B32" i="2"/>
  <c r="B34" i="4" s="1"/>
  <c r="A32" i="2"/>
  <c r="A34" i="4" s="1"/>
  <c r="B31" i="2"/>
  <c r="B33" i="4" s="1"/>
  <c r="A31" i="2"/>
  <c r="A33" i="4" s="1"/>
  <c r="B29" i="2"/>
  <c r="A29" i="2"/>
  <c r="B26" i="2"/>
  <c r="A26" i="2"/>
  <c r="B23" i="2"/>
  <c r="A23" i="2"/>
  <c r="B22" i="2"/>
  <c r="A22" i="2"/>
  <c r="B21" i="2"/>
  <c r="A21" i="2"/>
  <c r="B19" i="2"/>
  <c r="B21" i="4" s="1"/>
  <c r="A19" i="2"/>
  <c r="A21" i="4" s="1"/>
  <c r="B18" i="2"/>
  <c r="A18" i="2"/>
  <c r="B17" i="2"/>
  <c r="A17" i="2"/>
  <c r="B16" i="2"/>
  <c r="A16" i="2"/>
  <c r="B15" i="2"/>
  <c r="A15" i="2"/>
  <c r="B9" i="2"/>
  <c r="B8" i="2"/>
  <c r="B7" i="2"/>
  <c r="A11" i="2"/>
  <c r="A11" i="4" s="1"/>
  <c r="A10" i="2"/>
  <c r="A10" i="4" s="1"/>
  <c r="A9" i="2"/>
  <c r="A9" i="4" s="1"/>
  <c r="A8" i="2"/>
  <c r="A8" i="4" s="1"/>
  <c r="J259" i="36" l="1"/>
  <c r="I259" i="36"/>
  <c r="J167" i="36"/>
  <c r="I167" i="36"/>
  <c r="J126" i="36"/>
  <c r="I126" i="36"/>
  <c r="J114" i="36"/>
  <c r="I114" i="36"/>
  <c r="J77" i="36"/>
  <c r="I77" i="36"/>
  <c r="J69" i="36"/>
  <c r="I69" i="36"/>
  <c r="J54" i="36"/>
  <c r="I54" i="36"/>
  <c r="J49" i="36"/>
  <c r="I49" i="36"/>
  <c r="J41" i="36"/>
  <c r="I41" i="36"/>
  <c r="F284" i="29" l="1"/>
  <c r="F281" i="29"/>
  <c r="F280" i="29"/>
  <c r="F273" i="29"/>
  <c r="F272" i="29"/>
  <c r="F271" i="29"/>
  <c r="F268" i="29"/>
  <c r="F267" i="29"/>
  <c r="F260" i="29"/>
  <c r="F259" i="29"/>
  <c r="F258" i="29"/>
  <c r="F255" i="29"/>
  <c r="F254" i="29"/>
  <c r="F247" i="29"/>
  <c r="F244" i="29"/>
  <c r="F243" i="29"/>
  <c r="F236" i="29"/>
  <c r="F235" i="29"/>
  <c r="F232" i="29"/>
  <c r="F231" i="29"/>
  <c r="F224" i="29"/>
  <c r="F222" i="29"/>
  <c r="F219" i="29"/>
  <c r="F218" i="29"/>
  <c r="F169" i="29"/>
  <c r="F168" i="29"/>
  <c r="F165" i="29"/>
  <c r="F164" i="29"/>
  <c r="F157" i="29"/>
  <c r="F154" i="29"/>
  <c r="F153" i="29"/>
  <c r="F146" i="29"/>
  <c r="F141" i="29"/>
  <c r="F140" i="29"/>
  <c r="F119" i="29"/>
  <c r="F118" i="29"/>
  <c r="F117" i="29"/>
  <c r="F116" i="29"/>
  <c r="F113" i="29"/>
  <c r="F112" i="29"/>
  <c r="F105" i="29"/>
  <c r="F104" i="29"/>
  <c r="F103" i="29"/>
  <c r="F100" i="29"/>
  <c r="F99" i="29"/>
  <c r="F92" i="29"/>
  <c r="F91" i="29"/>
  <c r="F90" i="29"/>
  <c r="F89" i="29"/>
  <c r="F86" i="29"/>
  <c r="F85" i="29"/>
  <c r="F78" i="29"/>
  <c r="F77" i="29"/>
  <c r="F74" i="29"/>
  <c r="F73" i="29"/>
  <c r="F66" i="29"/>
  <c r="F65" i="29"/>
  <c r="F64" i="29"/>
  <c r="F61" i="29"/>
  <c r="F60" i="29"/>
  <c r="F53" i="29"/>
  <c r="F52" i="29"/>
  <c r="F51" i="29"/>
  <c r="F50" i="29"/>
  <c r="F47" i="29"/>
  <c r="F46" i="29"/>
  <c r="F39" i="29"/>
  <c r="F38" i="29"/>
  <c r="F37" i="29"/>
  <c r="F36" i="29"/>
  <c r="F33" i="29"/>
  <c r="F32" i="29"/>
  <c r="F25" i="29"/>
  <c r="F24" i="29"/>
  <c r="F23" i="29"/>
  <c r="F22" i="29"/>
  <c r="F19" i="29"/>
  <c r="F18" i="29"/>
  <c r="L76" i="36" l="1"/>
  <c r="L62" i="36"/>
  <c r="J39" i="36"/>
  <c r="L87" i="36"/>
  <c r="F144" i="29"/>
  <c r="F67" i="29"/>
  <c r="F158" i="29"/>
  <c r="F245" i="29"/>
  <c r="F256" i="29"/>
  <c r="F147" i="29"/>
  <c r="F101" i="29"/>
  <c r="F155" i="29"/>
  <c r="F166" i="29"/>
  <c r="F220" i="29"/>
  <c r="F248" i="29"/>
  <c r="F269" i="29"/>
  <c r="F282" i="29"/>
  <c r="F114" i="29"/>
  <c r="F20" i="29"/>
  <c r="F48" i="29"/>
  <c r="F75" i="29"/>
  <c r="F93" i="29"/>
  <c r="F233" i="29"/>
  <c r="F120" i="29"/>
  <c r="F261" i="29"/>
  <c r="F274" i="29"/>
  <c r="F285" i="29"/>
  <c r="F26" i="29"/>
  <c r="F34" i="29"/>
  <c r="F62" i="29"/>
  <c r="F79" i="29"/>
  <c r="F87" i="29"/>
  <c r="F106" i="29"/>
  <c r="F225" i="29"/>
  <c r="F237" i="29"/>
  <c r="F54" i="29"/>
  <c r="F40" i="29"/>
  <c r="J104" i="36"/>
  <c r="F170" i="29"/>
  <c r="J125" i="36"/>
  <c r="D23" i="2"/>
  <c r="C38" i="4"/>
  <c r="I38" i="4" s="1"/>
  <c r="J428" i="36"/>
  <c r="J34" i="36"/>
  <c r="L48" i="36" l="1"/>
  <c r="D17" i="2"/>
  <c r="D33" i="2"/>
  <c r="C35" i="4" s="1"/>
  <c r="I35" i="4" s="1"/>
  <c r="D21" i="2"/>
  <c r="C23" i="4" s="1"/>
  <c r="I23" i="4" s="1"/>
  <c r="D34" i="2"/>
  <c r="D16" i="2"/>
  <c r="D32" i="2"/>
  <c r="C34" i="4" s="1"/>
  <c r="I34" i="4" s="1"/>
  <c r="D19" i="2"/>
  <c r="C21" i="4" s="1"/>
  <c r="K21" i="4" s="1"/>
  <c r="D37" i="2"/>
  <c r="C39" i="4" s="1"/>
  <c r="I39" i="4" s="1"/>
  <c r="F41" i="29"/>
  <c r="K262" i="36" s="1"/>
  <c r="E262" i="36" s="1"/>
  <c r="F148" i="29"/>
  <c r="K286" i="36" s="1"/>
  <c r="E286" i="36" s="1"/>
  <c r="F159" i="29"/>
  <c r="K287" i="36" s="1"/>
  <c r="E287" i="36" s="1"/>
  <c r="F262" i="29"/>
  <c r="K328" i="36" s="1"/>
  <c r="E328" i="36" s="1"/>
  <c r="F249" i="29"/>
  <c r="K334" i="36" s="1"/>
  <c r="E334" i="36" s="1"/>
  <c r="F171" i="29"/>
  <c r="F27" i="29"/>
  <c r="K261" i="36" s="1"/>
  <c r="E261" i="36" s="1"/>
  <c r="F226" i="29"/>
  <c r="K327" i="36" s="1"/>
  <c r="E327" i="36" s="1"/>
  <c r="F286" i="29"/>
  <c r="K330" i="36" s="1"/>
  <c r="E330" i="36" s="1"/>
  <c r="F121" i="29"/>
  <c r="K281" i="36" s="1"/>
  <c r="E281" i="36" s="1"/>
  <c r="F275" i="29"/>
  <c r="K329" i="36" s="1"/>
  <c r="E329" i="36" s="1"/>
  <c r="F94" i="29"/>
  <c r="K278" i="36" s="1"/>
  <c r="E278" i="36" s="1"/>
  <c r="F55" i="29"/>
  <c r="K263" i="36" s="1"/>
  <c r="E263" i="36" s="1"/>
  <c r="F68" i="29"/>
  <c r="K264" i="36" s="1"/>
  <c r="E264" i="36" s="1"/>
  <c r="F107" i="29"/>
  <c r="K279" i="36" s="1"/>
  <c r="E279" i="36" s="1"/>
  <c r="F238" i="29"/>
  <c r="K332" i="36" s="1"/>
  <c r="E332" i="36" s="1"/>
  <c r="F80" i="29"/>
  <c r="K268" i="36" s="1"/>
  <c r="E268" i="36" s="1"/>
  <c r="K38" i="4"/>
  <c r="G38" i="4"/>
  <c r="E38" i="4"/>
  <c r="J261" i="36" l="1"/>
  <c r="J264" i="36"/>
  <c r="J263" i="36"/>
  <c r="J278" i="36"/>
  <c r="J287" i="36"/>
  <c r="J286" i="36"/>
  <c r="J268" i="36"/>
  <c r="J262" i="36"/>
  <c r="J279" i="36"/>
  <c r="J281" i="36"/>
  <c r="I21" i="4"/>
  <c r="L386" i="36"/>
  <c r="L53" i="36"/>
  <c r="K23" i="4"/>
  <c r="K35" i="4"/>
  <c r="G35" i="4"/>
  <c r="E35" i="4"/>
  <c r="K34" i="4"/>
  <c r="E34" i="4"/>
  <c r="G34" i="4"/>
  <c r="K39" i="4"/>
  <c r="G39" i="4"/>
  <c r="E39" i="4"/>
  <c r="K292" i="36"/>
  <c r="E292" i="36" s="1"/>
  <c r="D35" i="2" l="1"/>
  <c r="J18" i="36"/>
  <c r="D25" i="26"/>
  <c r="C23" i="26"/>
  <c r="D26" i="26" s="1"/>
  <c r="C26" i="26" s="1"/>
  <c r="C17" i="26"/>
  <c r="C14" i="26"/>
  <c r="J142" i="36" l="1"/>
  <c r="D15" i="2"/>
  <c r="J94" i="36"/>
  <c r="L68" i="36"/>
  <c r="L94" i="36" s="1"/>
  <c r="J290" i="36"/>
  <c r="B18" i="4"/>
  <c r="A18" i="4"/>
  <c r="M2620" i="52" l="1"/>
  <c r="D22" i="2"/>
  <c r="D31" i="2"/>
  <c r="C33" i="4" s="1"/>
  <c r="E33" i="4" s="1"/>
  <c r="D29" i="2"/>
  <c r="D30" i="2"/>
  <c r="C32" i="4" s="1"/>
  <c r="D18" i="2"/>
  <c r="B31" i="4"/>
  <c r="A31" i="4"/>
  <c r="B29" i="4"/>
  <c r="A29" i="4"/>
  <c r="J113" i="36" l="1"/>
  <c r="G33" i="4"/>
  <c r="K33" i="4"/>
  <c r="I33" i="4"/>
  <c r="K32" i="4"/>
  <c r="E32" i="4"/>
  <c r="I32" i="4"/>
  <c r="G32" i="4"/>
  <c r="C31" i="4"/>
  <c r="I31" i="4" s="1"/>
  <c r="D20" i="2" l="1"/>
  <c r="C22" i="4" s="1"/>
  <c r="K31" i="4"/>
  <c r="G31" i="4"/>
  <c r="E31" i="4"/>
  <c r="J163" i="36" l="1"/>
  <c r="K22" i="4"/>
  <c r="I22" i="4"/>
  <c r="C18" i="4"/>
  <c r="I18" i="4" s="1"/>
  <c r="D24" i="2" l="1"/>
  <c r="C26" i="4" s="1"/>
  <c r="K18" i="4"/>
  <c r="G18" i="4"/>
  <c r="E18" i="4"/>
  <c r="G26" i="4" l="1"/>
  <c r="K26" i="4"/>
  <c r="E26" i="4"/>
  <c r="I26" i="4"/>
  <c r="J219" i="36"/>
  <c r="C29" i="4"/>
  <c r="I29" i="4" s="1"/>
  <c r="L429" i="36" l="1"/>
  <c r="D26" i="2"/>
  <c r="J429" i="36"/>
  <c r="K29" i="4"/>
  <c r="E29" i="4"/>
  <c r="G29" i="4"/>
  <c r="E430" i="36" l="1"/>
  <c r="M5" i="52"/>
  <c r="M429" i="36"/>
  <c r="O5" i="52"/>
  <c r="N5" i="52" s="1"/>
  <c r="B25" i="4"/>
  <c r="A25" i="4"/>
  <c r="B37" i="4" l="1"/>
  <c r="B36" i="4"/>
  <c r="B28" i="4"/>
  <c r="B24" i="4"/>
  <c r="B23" i="4"/>
  <c r="B20" i="4"/>
  <c r="B19" i="4"/>
  <c r="B17" i="4"/>
  <c r="A37" i="4"/>
  <c r="A36" i="4"/>
  <c r="A28" i="4"/>
  <c r="A24" i="4"/>
  <c r="A23" i="4"/>
  <c r="A20" i="4"/>
  <c r="A17" i="4"/>
  <c r="C25" i="4" l="1"/>
  <c r="I25" i="4" s="1"/>
  <c r="C28" i="4"/>
  <c r="I28" i="4" s="1"/>
  <c r="G22" i="4"/>
  <c r="K28" i="4" l="1"/>
  <c r="E28" i="4"/>
  <c r="G28" i="4"/>
  <c r="G25" i="4"/>
  <c r="K25" i="4"/>
  <c r="E25" i="4"/>
  <c r="E22" i="4"/>
  <c r="C36" i="4"/>
  <c r="I36" i="4" s="1"/>
  <c r="K36" i="4" l="1"/>
  <c r="E36" i="4"/>
  <c r="G36" i="4"/>
  <c r="B7" i="4" l="1"/>
  <c r="A19" i="4" l="1"/>
  <c r="C37" i="4" l="1"/>
  <c r="I37" i="4" s="1"/>
  <c r="B8" i="4"/>
  <c r="B9" i="4"/>
  <c r="G37" i="4" l="1"/>
  <c r="E37" i="4"/>
  <c r="K37" i="4"/>
  <c r="M10" i="4"/>
  <c r="B11" i="4"/>
  <c r="B10" i="4"/>
  <c r="C24" i="4" l="1"/>
  <c r="I24" i="4" s="1"/>
  <c r="K24" i="4" l="1"/>
  <c r="G24" i="4"/>
  <c r="E24" i="4"/>
  <c r="C19" i="4"/>
  <c r="I19" i="4" s="1"/>
  <c r="G21" i="4"/>
  <c r="K19" i="4" l="1"/>
  <c r="E19" i="4"/>
  <c r="G19" i="4"/>
  <c r="E21" i="4"/>
  <c r="C20" i="4"/>
  <c r="I20" i="4" s="1"/>
  <c r="G20" i="4" l="1"/>
  <c r="K20" i="4"/>
  <c r="E20" i="4"/>
  <c r="C17" i="4" l="1"/>
  <c r="I17" i="4" s="1"/>
  <c r="E17" i="4" l="1"/>
  <c r="G17" i="4"/>
  <c r="K17" i="4"/>
  <c r="K40" i="4" s="1"/>
  <c r="G23" i="4" l="1"/>
  <c r="G40" i="4" s="1"/>
  <c r="E23" i="4"/>
  <c r="E40" i="4" l="1"/>
  <c r="I40" i="4"/>
  <c r="D38" i="2"/>
  <c r="E25" i="2" s="1"/>
  <c r="C40" i="4"/>
  <c r="H40" i="4" l="1"/>
  <c r="D27" i="4"/>
  <c r="L40" i="4"/>
  <c r="J40" i="4"/>
  <c r="F40" i="4"/>
  <c r="E32" i="2"/>
  <c r="E33" i="2"/>
  <c r="E31" i="2"/>
  <c r="E30" i="2"/>
  <c r="D23" i="4"/>
  <c r="D22" i="4"/>
  <c r="D21" i="4"/>
  <c r="D26" i="4"/>
  <c r="D32" i="4"/>
  <c r="D30" i="4"/>
  <c r="D33" i="4"/>
  <c r="D34" i="4"/>
  <c r="D35" i="4"/>
  <c r="D39" i="4"/>
  <c r="D38" i="4"/>
  <c r="D31" i="4"/>
  <c r="D18" i="4"/>
  <c r="D29" i="4"/>
  <c r="D28" i="4"/>
  <c r="D25" i="4"/>
  <c r="D36" i="4"/>
  <c r="D37" i="4"/>
  <c r="D24" i="4"/>
  <c r="D19" i="4"/>
  <c r="D20" i="4"/>
  <c r="E28" i="2"/>
  <c r="E16" i="2"/>
  <c r="E17" i="2"/>
  <c r="E24" i="2"/>
  <c r="E20" i="2"/>
  <c r="E22" i="2"/>
  <c r="E18" i="2"/>
  <c r="E21" i="2"/>
  <c r="E27" i="2"/>
  <c r="E29" i="2"/>
  <c r="E23" i="2"/>
  <c r="E19" i="2"/>
  <c r="E26" i="2"/>
  <c r="E37" i="2"/>
  <c r="E36" i="2"/>
  <c r="E34" i="2"/>
  <c r="E35" i="2"/>
  <c r="D39" i="2"/>
  <c r="E38" i="2"/>
  <c r="E15" i="2"/>
  <c r="E41" i="4" l="1"/>
  <c r="F41" i="4" s="1"/>
  <c r="D17" i="4"/>
  <c r="D40" i="4" l="1"/>
  <c r="G41" i="4"/>
  <c r="H41" i="4" l="1"/>
  <c r="I41" i="4"/>
  <c r="J41" i="4" l="1"/>
  <c r="L41" i="4" s="1"/>
  <c r="K41" i="4"/>
</calcChain>
</file>

<file path=xl/sharedStrings.xml><?xml version="1.0" encoding="utf-8"?>
<sst xmlns="http://schemas.openxmlformats.org/spreadsheetml/2006/main" count="15922" uniqueCount="2905">
  <si>
    <t>PROCESSO Nº:</t>
  </si>
  <si>
    <t>OBRA:</t>
  </si>
  <si>
    <t>ENDEREÇO:</t>
  </si>
  <si>
    <t>BDI:</t>
  </si>
  <si>
    <t>MUNICÍPIO:</t>
  </si>
  <si>
    <t>ASSUNTO:</t>
  </si>
  <si>
    <t>Item</t>
  </si>
  <si>
    <t>Composição</t>
  </si>
  <si>
    <t>Descrição</t>
  </si>
  <si>
    <t>Unid</t>
  </si>
  <si>
    <t>Vlr Unit</t>
  </si>
  <si>
    <t>Quant</t>
  </si>
  <si>
    <t>Vlr Total</t>
  </si>
  <si>
    <t>SERVIÇO PRELIMINARES</t>
  </si>
  <si>
    <t>1.1</t>
  </si>
  <si>
    <t>SUBTOTAL</t>
  </si>
  <si>
    <t>2.1</t>
  </si>
  <si>
    <t>2.2</t>
  </si>
  <si>
    <t>3.1</t>
  </si>
  <si>
    <t>4.1</t>
  </si>
  <si>
    <t>4.2</t>
  </si>
  <si>
    <t>4.3</t>
  </si>
  <si>
    <t>4.4</t>
  </si>
  <si>
    <t>5.1</t>
  </si>
  <si>
    <t>LIMPEZA GERAL</t>
  </si>
  <si>
    <t>TOTAL GERAL DO ORÇAMENTO</t>
  </si>
  <si>
    <t>Importa o presente orçamento em: R$</t>
  </si>
  <si>
    <t>RESUMO DA PLANILHA ORÇAMENTÁRIA</t>
  </si>
  <si>
    <t>ITEM</t>
  </si>
  <si>
    <t>E T A P A S</t>
  </si>
  <si>
    <t>VALOR</t>
  </si>
  <si>
    <t>%</t>
  </si>
  <si>
    <t>Importa o presente orçamento em R$</t>
  </si>
  <si>
    <t>CRONOGRAMA FISICO FINANCEIRO</t>
  </si>
  <si>
    <t>DESCRIÇÃO / ETAPA</t>
  </si>
  <si>
    <t>30 DIAS</t>
  </si>
  <si>
    <t>60 DIAS</t>
  </si>
  <si>
    <t>Total</t>
  </si>
  <si>
    <t>Valor(R$)</t>
  </si>
  <si>
    <t>VALOR TOTAL</t>
  </si>
  <si>
    <t>VALOR ACUMULADO</t>
  </si>
  <si>
    <t>8.1</t>
  </si>
  <si>
    <t xml:space="preserve"> </t>
  </si>
  <si>
    <t>Prazo:</t>
  </si>
  <si>
    <t>7.1</t>
  </si>
  <si>
    <t>PLACA DE OBRA EM CHAPA DE ACO GALVANIZADO</t>
  </si>
  <si>
    <t>m²</t>
  </si>
  <si>
    <t>m³</t>
  </si>
  <si>
    <t>MÃO DE OBRA</t>
  </si>
  <si>
    <t xml:space="preserve">Unid           </t>
  </si>
  <si>
    <t xml:space="preserve">Qtde           </t>
  </si>
  <si>
    <t xml:space="preserve">Custo Unitário </t>
  </si>
  <si>
    <t xml:space="preserve">Custo Total    </t>
  </si>
  <si>
    <t>PREÇO DE CUSTO</t>
  </si>
  <si>
    <t>m</t>
  </si>
  <si>
    <t xml:space="preserve">un </t>
  </si>
  <si>
    <t xml:space="preserve">Mão de Obra                   </t>
  </si>
  <si>
    <t>h</t>
  </si>
  <si>
    <t>Subtotal:</t>
  </si>
  <si>
    <t>DATA DA COTAÇÃO</t>
  </si>
  <si>
    <t>CNPJ</t>
  </si>
  <si>
    <t>MEDIANA</t>
  </si>
  <si>
    <t>Custo Unitário</t>
  </si>
  <si>
    <t>A Executar</t>
  </si>
  <si>
    <t>PERÍODO</t>
  </si>
  <si>
    <t>COTAÇÃO</t>
  </si>
  <si>
    <t>SERVENTE COM ENCARGOS COMPLEMENTARES</t>
  </si>
  <si>
    <t>6.1</t>
  </si>
  <si>
    <t>2.3</t>
  </si>
  <si>
    <t>3.3</t>
  </si>
  <si>
    <t>kg</t>
  </si>
  <si>
    <t>ESQUADRIAS</t>
  </si>
  <si>
    <t>7.2</t>
  </si>
  <si>
    <t>7.3</t>
  </si>
  <si>
    <t>9.1</t>
  </si>
  <si>
    <t>INSTALAÇÕES ELÉTRICAS</t>
  </si>
  <si>
    <t>10.1</t>
  </si>
  <si>
    <t>10.2</t>
  </si>
  <si>
    <t>10.3</t>
  </si>
  <si>
    <t>10.4</t>
  </si>
  <si>
    <t>INSTALAÇÕES HIDRÁULICAS</t>
  </si>
  <si>
    <t>11.1</t>
  </si>
  <si>
    <t>11.2</t>
  </si>
  <si>
    <t>12.1</t>
  </si>
  <si>
    <t>12.2</t>
  </si>
  <si>
    <t>12.3</t>
  </si>
  <si>
    <t>12.5</t>
  </si>
  <si>
    <t>13.1</t>
  </si>
  <si>
    <t>13.2</t>
  </si>
  <si>
    <t>13.3</t>
  </si>
  <si>
    <t>14.1</t>
  </si>
  <si>
    <t>14.2</t>
  </si>
  <si>
    <t>PINTURA</t>
  </si>
  <si>
    <t>AUXILIAR DE ELETRICISTA COM ENCARGOS COMPLEMENTARES</t>
  </si>
  <si>
    <t>ELETRICISTA COM ENCARGOS COMPLEMENTARES</t>
  </si>
  <si>
    <t>Materiais</t>
  </si>
  <si>
    <t>QUADRO DE COTAÇÕES ( un  )</t>
  </si>
  <si>
    <t>Empresa</t>
  </si>
  <si>
    <t>valor</t>
  </si>
  <si>
    <t>CONTATO</t>
  </si>
  <si>
    <t>Kg</t>
  </si>
  <si>
    <t>AUXILIAR DE ENCANADOR OU BOMBEIRO HIDRÁULICO COM ENCARGOS COMPLEMENTARES</t>
  </si>
  <si>
    <t>ENCANADOR OU BOMBEIRO HIDRÁULICO COM ENCARGOS COMPLEMENTARES</t>
  </si>
  <si>
    <t>PEDREIRO COM ENCARGOS COMPLEMENTARES</t>
  </si>
  <si>
    <t>COMP 10</t>
  </si>
  <si>
    <t>COMP 11</t>
  </si>
  <si>
    <t>COMP 12</t>
  </si>
  <si>
    <t>COMP 14</t>
  </si>
  <si>
    <t>COMP 15</t>
  </si>
  <si>
    <t>COMP 16</t>
  </si>
  <si>
    <t>9.2</t>
  </si>
  <si>
    <t>9.3</t>
  </si>
  <si>
    <t>9.4</t>
  </si>
  <si>
    <t>9.5</t>
  </si>
  <si>
    <t>9.6</t>
  </si>
  <si>
    <t>9.7</t>
  </si>
  <si>
    <t>7.6</t>
  </si>
  <si>
    <t>APLICAÇÃO MANUAL DE PINTURA COM TINTA LÁTEX ACRÍLICA EM PAREDES, DUAS DEMÃOS. AF_06/2014</t>
  </si>
  <si>
    <t>(COMPOSIÇÃO REPRESENTATIVA) DO SERVIÇO DE EMBOÇO/MASSA ÚNICA, APLICADO MANUALMENTE, TRAÇO 1:2:8, EM BETONEIRA DE 400L, PAREDES INTERNAS, COM EXECUÇÃO DE TALISCAS, EDIFICAÇÃO HABITACIONAL UNIFAMILIAR (CASAS) E EDIFICAÇÃO PÚBLICA PADRÃO. AF_12/2014</t>
  </si>
  <si>
    <t>ENCARREGADO GERAL COM ENCARGOS COMPLEMENTARES</t>
  </si>
  <si>
    <t>ADMINISTRAÇÃO LOCAL DA OBRA</t>
  </si>
  <si>
    <t>CABO DE COBRE FLEXÍVEL ISOLADO, 16 MM², ANTI-CHAMA 0,6/1,0 KV, PARA CIRCUITOS TERMINAIS - FORNECIMENTO E INSTALAÇÃO. AF_12/2015</t>
  </si>
  <si>
    <t>INTERRUPTOR SIMPLES (1 MÓDULO), 10A/250V, INCLUINDO SUPORTE E PLACA - FORNECIMENTO E INSTALAÇÃO. AF_12/2015</t>
  </si>
  <si>
    <t>CAIXA RETANGULAR 4" X 2" MÉDIA (1,30 M DO PISO), METÁLICA, INSTALADA EM PAREDE - FORNECIMENTO E INSTALAÇÃO. AF_12/2015</t>
  </si>
  <si>
    <t>2.4</t>
  </si>
  <si>
    <t>ADESIVO PLASTICO PARA PVC, FRASCO COM 850 GR</t>
  </si>
  <si>
    <t>SOLUCAO LIMPADORA PARA PVC, FRASCO COM 1000 CM3</t>
  </si>
  <si>
    <t>PINTOR COM ENCARGOS COMPLEMENTARES</t>
  </si>
  <si>
    <t>COMP 01</t>
  </si>
  <si>
    <t>90 DIAS</t>
  </si>
  <si>
    <t>GOVERNO DO ESTADO DE MATO GROSSO</t>
  </si>
  <si>
    <t>ENGENHEIRO CIVIL DE OBRA JUNIOR COM ENCARGOS COMPLEMENTARES</t>
  </si>
  <si>
    <t>COMP 02</t>
  </si>
  <si>
    <t>DATA:</t>
  </si>
  <si>
    <t xml:space="preserve">MEMÓRIA DE CÁLCULO </t>
  </si>
  <si>
    <t>COMP 03</t>
  </si>
  <si>
    <t>8.2</t>
  </si>
  <si>
    <t>8.3</t>
  </si>
  <si>
    <t>8.4</t>
  </si>
  <si>
    <t xml:space="preserve">         Data:  ____ / ____ / _____.</t>
  </si>
  <si>
    <t>Itens relativos à Administração da Obra</t>
  </si>
  <si>
    <t>AC - Administração Central</t>
  </si>
  <si>
    <t>DF - Custos Financeiros</t>
  </si>
  <si>
    <t>C - Riscos</t>
  </si>
  <si>
    <t>S - Seguros e Garantias</t>
  </si>
  <si>
    <t>Sub-total</t>
  </si>
  <si>
    <t>Lucro</t>
  </si>
  <si>
    <t>L - Lucro/Remuneração</t>
  </si>
  <si>
    <t>I - Taxas e Impostos</t>
  </si>
  <si>
    <t>PIS</t>
  </si>
  <si>
    <t>COFINS</t>
  </si>
  <si>
    <t>ISSQN</t>
  </si>
  <si>
    <t>BDI=</t>
  </si>
  <si>
    <t>15.2</t>
  </si>
  <si>
    <t>16.1</t>
  </si>
  <si>
    <t>COMP 07</t>
  </si>
  <si>
    <t>TELHA ISOLANTE COM NUCLEO EM POLIESTIRENO (EPS), E = 30 MM,REVESTIDA EM ACO ZINCADO *0,5* MM COM PRE-PINTURA NAS DUAS FACES, FACE SUPERIOR EM TELHA TRAPEZOIDAL E FACE INFERIOR EM CHAPA PLANA (NAO INCLUI ACESSORIOS DE FIXACAO)</t>
  </si>
  <si>
    <t>TELHAMENTO COM TELHA ISOLANTE COM NUCLEO EM POLIESTIRENO (EPS), E = 30 MM,REVESTIDA EM ACO ZINCADO *0,5* MM COM PRE-PINTURA NAS DUAS FACES, FACE SUPERIOR EM TELHA TRAPEZOIDAL E FACE INFERIOR EM CHAPA PLANA</t>
  </si>
  <si>
    <t>M</t>
  </si>
  <si>
    <t>8.5</t>
  </si>
  <si>
    <t>8.6</t>
  </si>
  <si>
    <t>8.7</t>
  </si>
  <si>
    <t>LIXA D'AGUA EM FOLHA, GRAO 100</t>
  </si>
  <si>
    <t>CIMENTO PORTLAND COMPOSTO CP II-32</t>
  </si>
  <si>
    <t>TIJOLO CERAMICO MACICO *5 X 10 X 20* CM</t>
  </si>
  <si>
    <t>INTERRUPTOR SIMPLES (2 MÓDULOS), 10A/250V, INCLUINDO SUPORTE E PLACA - FORNECIMENTO E INSTALAÇÃO. AF_12/2015</t>
  </si>
  <si>
    <t>CAIXA RETANGULAR 4" X 2" ALTA (2,00 M DO PISO), PVC, INSTALADA EM PAREDE - FORNECIMENTO E INSTALAÇÃO. AF_12/2015</t>
  </si>
  <si>
    <t>LIXA EM FOLHA PARA PAREDE OU MADEIRA, NUMERO 120 (COR VERMELHA)</t>
  </si>
  <si>
    <t>ADMINISTRAÇÃO LOCAL</t>
  </si>
  <si>
    <t>12.6</t>
  </si>
  <si>
    <t>12.7</t>
  </si>
  <si>
    <t>13.4</t>
  </si>
  <si>
    <t>16.3</t>
  </si>
  <si>
    <t>17.1</t>
  </si>
  <si>
    <t>Composição da Parcela de BDI (Bonificações e Despesas Indiretas) SEM DESONERAÇÃO - Obras e Serviços</t>
  </si>
  <si>
    <t>1.2</t>
  </si>
  <si>
    <t>1.3</t>
  </si>
  <si>
    <t>1.4</t>
  </si>
  <si>
    <t>1.5</t>
  </si>
  <si>
    <t>1.6</t>
  </si>
  <si>
    <t>1.7</t>
  </si>
  <si>
    <t>1.8</t>
  </si>
  <si>
    <t>1.9</t>
  </si>
  <si>
    <t>2.5</t>
  </si>
  <si>
    <t>2.6</t>
  </si>
  <si>
    <t>2.7</t>
  </si>
  <si>
    <t>2.8</t>
  </si>
  <si>
    <t>2.9</t>
  </si>
  <si>
    <t>2.10</t>
  </si>
  <si>
    <t>2.11</t>
  </si>
  <si>
    <t>2.12</t>
  </si>
  <si>
    <t>2.13</t>
  </si>
  <si>
    <t>2.14</t>
  </si>
  <si>
    <t>UND</t>
  </si>
  <si>
    <t>ENTRADA PROVISORIA DE ENERGIA ELETRICA AEREA TRIFASICA 40A EM POSTE MADEIRA</t>
  </si>
  <si>
    <t>MOVIMENTO DE TERRA</t>
  </si>
  <si>
    <t>REVESTIMENTO DE PISO</t>
  </si>
  <si>
    <t>REVESTIMENTO DE PAREDE</t>
  </si>
  <si>
    <t>LIMPEZA DO TERRENO</t>
  </si>
  <si>
    <t>4.5</t>
  </si>
  <si>
    <t>4.1.2</t>
  </si>
  <si>
    <t>4.1.1</t>
  </si>
  <si>
    <t>4.1.3</t>
  </si>
  <si>
    <t>4.1.4</t>
  </si>
  <si>
    <t>4.1.6</t>
  </si>
  <si>
    <t>4.1.7</t>
  </si>
  <si>
    <t>VIGAS BALDRAMES</t>
  </si>
  <si>
    <t>4.2.2</t>
  </si>
  <si>
    <t>4.2.3</t>
  </si>
  <si>
    <t>4.3.1</t>
  </si>
  <si>
    <t>4.3.2</t>
  </si>
  <si>
    <t>4.3.3</t>
  </si>
  <si>
    <t>4.3.4</t>
  </si>
  <si>
    <t>4.3.5</t>
  </si>
  <si>
    <t>4.3.6</t>
  </si>
  <si>
    <t>4.3.7</t>
  </si>
  <si>
    <t>4.3.8</t>
  </si>
  <si>
    <t>PILARES</t>
  </si>
  <si>
    <t>4.4.1</t>
  </si>
  <si>
    <t>4.4.2</t>
  </si>
  <si>
    <t>4.4.3</t>
  </si>
  <si>
    <t>4.4.4</t>
  </si>
  <si>
    <t>4.4.5</t>
  </si>
  <si>
    <t>4.5.1</t>
  </si>
  <si>
    <t>4.5.2</t>
  </si>
  <si>
    <t>4.5.3</t>
  </si>
  <si>
    <t>4.5.4</t>
  </si>
  <si>
    <t>4.5.5</t>
  </si>
  <si>
    <t>4.5.6</t>
  </si>
  <si>
    <t>4.5.7</t>
  </si>
  <si>
    <t>PVC - 0,6/1 KV</t>
  </si>
  <si>
    <t>PVC - 450/750 V</t>
  </si>
  <si>
    <t xml:space="preserve">CABO DE COBRE FLEXÍVEL ISOLADO, 4 MM², ANTI-CHAMA 450/750 V, PARA CIRCUITOS TERMINAIS - FORNECIMENTO E INSTALAÇÃO. AF_12/2015 </t>
  </si>
  <si>
    <t>DISPOSITIVO DE PROTEÇÃO CONTRA SURTO (DPS) 175V - 10 KA</t>
  </si>
  <si>
    <t>TOMADA BAIXA DE EMBUTIR (1 MÓDULO), 2P+T - 10A, INCLUINDO SUPORTE E PLACA - FORNECIMENTO E INSTALAÇÃO. AF_12/2015</t>
  </si>
  <si>
    <t xml:space="preserve">TOMADA BAIXA DE EMBUTIR (2 MÓDULOS), 2P+T - 10A, INCLUINDO SUPORTE E PLACA - FORNECIMENTO E INSTALAÇÃO. </t>
  </si>
  <si>
    <t>10.5</t>
  </si>
  <si>
    <t>10.6</t>
  </si>
  <si>
    <t>Patch panel 24 posições</t>
  </si>
  <si>
    <t>Caixa PVC 4x2"</t>
  </si>
  <si>
    <t>Interruptor tetrapolar DR (3 fases/neutro - In 30mA) - DIN 100 A</t>
  </si>
  <si>
    <t xml:space="preserve">JOELHO 90 GRAUS, PVC, SOLDÁVEL - ÁGUA FRIA, DN 50MM,FORNECIMENTO E INSTALAÇÃO. </t>
  </si>
  <si>
    <t xml:space="preserve">TUBO, PVC, SOLDÁVEL, DN 50MM, FORNECIMENTO E INSTALAÇÃO. </t>
  </si>
  <si>
    <t>ADAPTADOR COM FLANGE E ANEL DE VEDAÇÃO, PVC, SOLDÁVEL, DN 50 MM X 1 1/2 , INSTALADO EM RESERVAÇÃO DE ÁGUA DE EDIFICAÇÃO QUE POSSUA RESERVATÓRIO DE FIBRA/FIBROCIMENTO   FORNECIMENTO E INSTALAÇÃO. AF_06/2016</t>
  </si>
  <si>
    <t>ADAPTADOR CURTO COM BOLSA E ROSCA PARA REGISTRO, PVC, SOLDÁVEL, DN 50MM X 1.1/2,FORNECIMENTO E INSTALAÇÃO.</t>
  </si>
  <si>
    <t xml:space="preserve">BUCHA DE REDUCAO DE PVC, SOLDAVEL, LONGA, COM 50 X 25 MM, PARA AGUA FRIA PREDIAL, FORNECIMENTO E INSTALAÇÃO. </t>
  </si>
  <si>
    <t xml:space="preserve">TÊ, PVC, SOLDÁVEL, DN 50MM, FORNECIMENTO E INSTALAÇÃO. </t>
  </si>
  <si>
    <t>TÊ DE REDUÇÃO, PVC, SOLDÁVEL, DN 50MM X 25MM, FORNECIMENTO E INSTALAÇÃO.</t>
  </si>
  <si>
    <t>SERVIÇOS DE INSTALAÇÕES DE ESGOTO PREDIAL</t>
  </si>
  <si>
    <t>CAIXA SIFONADA, PVC, DN 150 X 150 X 50 MM, FORNECIDA E INSTALADA EM RAMAL DE DESCARGA OU EM RAMAL DE ESGOTO SANITÁRIO. AF_12/2014</t>
  </si>
  <si>
    <t>ESCAVAÇÃO MANUAL PARA BLOCO DE COROAMENTO OU SAPATA, SEM PREVISÃO DE FÔRMA. AF_06/2017</t>
  </si>
  <si>
    <t xml:space="preserve">SUMIDOURO CIRCULAR, EM ALVENARIA COM TIJOLOS CERÂMICOS MACIÇOS, DIMENSÕES INTERNAS: DIAMETRO 2,84 M, ALTURA 3,00 M, ÁREA DE INFILTRAÇÃO: 132,40 M² </t>
  </si>
  <si>
    <t>QUANTIDADE</t>
  </si>
  <si>
    <t>1.0</t>
  </si>
  <si>
    <t>2.0</t>
  </si>
  <si>
    <t>SECRETARIA ADJUNTA DE CIDADES</t>
  </si>
  <si>
    <t xml:space="preserve">INSTALAÇÕES ELÉTRICAS </t>
  </si>
  <si>
    <t>Caixa PVC 4x2" Alta</t>
  </si>
  <si>
    <t>9 pç</t>
  </si>
  <si>
    <t>Caixa PVC 4x2" Baixa</t>
  </si>
  <si>
    <t>15 pç</t>
  </si>
  <si>
    <t>Caixa PVC 4x2" Média</t>
  </si>
  <si>
    <t>2 pç</t>
  </si>
  <si>
    <t>1 pç</t>
  </si>
  <si>
    <t>4 pç</t>
  </si>
  <si>
    <t>7 pç</t>
  </si>
  <si>
    <t>Dispositivo de proteção contra surto 175 V - 8 KA</t>
  </si>
  <si>
    <t>22 pç</t>
  </si>
  <si>
    <t>8 pç</t>
  </si>
  <si>
    <t>6 pç</t>
  </si>
  <si>
    <t>SECRETARIA DE ESTADO DE INFRAESTRUTURA E LOGÍSTICA</t>
  </si>
  <si>
    <t>OBRA</t>
  </si>
  <si>
    <t>ENDEREÇO</t>
  </si>
  <si>
    <t>BDI</t>
  </si>
  <si>
    <t>MUNICÍPIO</t>
  </si>
  <si>
    <t>DATA</t>
  </si>
  <si>
    <t>ASSUNTO</t>
  </si>
  <si>
    <t>SERVIÇOS PRELIMINARES</t>
  </si>
  <si>
    <t>PLACA DE OBRA EM CHAPA DE AÇO GALVANIZADO</t>
  </si>
  <si>
    <t>Critérios para quantificação dos serviços:</t>
  </si>
  <si>
    <t>Área efetiva da placa</t>
  </si>
  <si>
    <t>ÁREA (M²)</t>
  </si>
  <si>
    <t>CONSIDERAÇÕES</t>
  </si>
  <si>
    <t>TOTAL</t>
  </si>
  <si>
    <t>DESCRIÇÃO</t>
  </si>
  <si>
    <t>DIMENSÕES (M)</t>
  </si>
  <si>
    <t>ÁREA(M²)</t>
  </si>
  <si>
    <t>As dimensões dos abrigos podem sofrer variação na obra, mas deve-se manter a área final.</t>
  </si>
  <si>
    <t>(4,25X5,50)</t>
  </si>
  <si>
    <t>LIGAÇÃO PROVISÓRIA DE ÁGUA E ESGOTO</t>
  </si>
  <si>
    <t>O pedido de ligação fica à cargo da Contratada</t>
  </si>
  <si>
    <t>LIGAÇÃO PROVISÓRIA DE LUZ E FORÇA</t>
  </si>
  <si>
    <t>Área total do terreno</t>
  </si>
  <si>
    <t>CARGA MANUAL DE ENTULHO EM CAÇAMBA BOTA FORA DE 6,00M³</t>
  </si>
  <si>
    <t>Volume gerado pela limpeza do terreno</t>
  </si>
  <si>
    <t>LOCAÇÃO CONVENCIONAL DE OBRA , UTILIZANDO GABARITO DE TÁBUAS CORRIDAS</t>
  </si>
  <si>
    <t>Utilizar o comprimento do gabarito com tábuas corridas</t>
  </si>
  <si>
    <t>PLANTA BAIXA - ESQUEMÁTICA</t>
  </si>
  <si>
    <t>PERÍMETRO (M)</t>
  </si>
  <si>
    <t>PERÍMETRO TOTAL(M)</t>
  </si>
  <si>
    <t>3.0</t>
  </si>
  <si>
    <t>ESTRUTURA DE CONCRETO</t>
  </si>
  <si>
    <t>4.0</t>
  </si>
  <si>
    <t>ESTRUTURA METÁLICA</t>
  </si>
  <si>
    <t>5.0</t>
  </si>
  <si>
    <t>IMPERMEABILIZAÇÃO</t>
  </si>
  <si>
    <t>6.0</t>
  </si>
  <si>
    <t>ALVENARIA</t>
  </si>
  <si>
    <t>ALTURA (m)</t>
  </si>
  <si>
    <t>Área (m²)</t>
  </si>
  <si>
    <t>A X L vão</t>
  </si>
  <si>
    <t>Área vão (m²)</t>
  </si>
  <si>
    <t>Área Final (m²)</t>
  </si>
  <si>
    <t>PAREDES COM ÁREA LÍQUIDA MAIOR QUE 6M² - SEM VÃO</t>
  </si>
  <si>
    <t>PAREDES COM ÁREA LÍQUIDA MENOR QUE 6M² - COM VÃO</t>
  </si>
  <si>
    <t>PAREDES COM ÁREA LÍQUIDA MENOR QUE 6M² - SEM VÃO</t>
  </si>
  <si>
    <t>TOTAL GERAL</t>
  </si>
  <si>
    <t>6.2.1</t>
  </si>
  <si>
    <t>VERGAS PARA JANELAS</t>
  </si>
  <si>
    <t xml:space="preserve">Dimensão da esquadria com transpasse de 30cm para cada lado. </t>
  </si>
  <si>
    <t>CÓDIGO/QUANTIDADE</t>
  </si>
  <si>
    <t>LARGURA</t>
  </si>
  <si>
    <t>TRANSPASSE</t>
  </si>
  <si>
    <t>COMPRIMENTO FINAL (M)</t>
  </si>
  <si>
    <t>0,30+0,30</t>
  </si>
  <si>
    <t>6.2.2</t>
  </si>
  <si>
    <t>VERGAS PARA PORTAS</t>
  </si>
  <si>
    <t>6.2.3</t>
  </si>
  <si>
    <t>CONTRA-VERGAS</t>
  </si>
  <si>
    <t>7.0</t>
  </si>
  <si>
    <t>COBERTURA</t>
  </si>
  <si>
    <t>COMPRIMENTO</t>
  </si>
  <si>
    <t xml:space="preserve">Valor retirado através do Projeto Arquitetônico pelo Projetista. </t>
  </si>
  <si>
    <t>Utilizar área de Projeção do Telhado</t>
  </si>
  <si>
    <t>ÁREA TOTAL</t>
  </si>
  <si>
    <t>8.0</t>
  </si>
  <si>
    <t>Área total da esquadria em metro quadrado</t>
  </si>
  <si>
    <t xml:space="preserve">LARGURA </t>
  </si>
  <si>
    <t>ALTURA</t>
  </si>
  <si>
    <t>TOTAL (M²)</t>
  </si>
  <si>
    <t>P1</t>
  </si>
  <si>
    <t>P2</t>
  </si>
  <si>
    <t>P3</t>
  </si>
  <si>
    <t>P4</t>
  </si>
  <si>
    <t>P5</t>
  </si>
  <si>
    <t>J1</t>
  </si>
  <si>
    <t>J2</t>
  </si>
  <si>
    <t>8.8</t>
  </si>
  <si>
    <t>J3</t>
  </si>
  <si>
    <t>8.9</t>
  </si>
  <si>
    <t>J4</t>
  </si>
  <si>
    <t>8.10</t>
  </si>
  <si>
    <t>Utilizar as dimensões estipuladas em Projeto Arquitetônico</t>
  </si>
  <si>
    <t>AMBIENTE</t>
  </si>
  <si>
    <t>TOTAL (M)</t>
  </si>
  <si>
    <t>Ver detalhe do peitoril no Caderno de Detalhes</t>
  </si>
  <si>
    <t>8.11</t>
  </si>
  <si>
    <t>8.12</t>
  </si>
  <si>
    <t>ÁREA TOTAL (M²)</t>
  </si>
  <si>
    <t>9.0</t>
  </si>
  <si>
    <t>REVESTIMENTOS</t>
  </si>
  <si>
    <t>Utilizar área de revestimento efetivamente executada. Todos os vãos deverão ser descontados.</t>
  </si>
  <si>
    <t>Recepção</t>
  </si>
  <si>
    <t xml:space="preserve">ÁREA TOTAL </t>
  </si>
  <si>
    <t>PISOS</t>
  </si>
  <si>
    <t>Critérios para quantificação dos serviços: Menores de 5m², entre 5 e 10m² e maior que 10m²</t>
  </si>
  <si>
    <t>Utilizar área de revestimento efetivamente executada. A área de projeção das paredes deve ser descontada.</t>
  </si>
  <si>
    <t>AMBIENTES</t>
  </si>
  <si>
    <t>LASTRO DE CONCRETO ESPESSURA 6CM (CONTRAPISO)</t>
  </si>
  <si>
    <t xml:space="preserve">ÁREA </t>
  </si>
  <si>
    <t xml:space="preserve">PINTURA </t>
  </si>
  <si>
    <t>BLOCO 01</t>
  </si>
  <si>
    <t>LIMPEZA FINAL DA OBRA</t>
  </si>
  <si>
    <t>Área total de piso.</t>
  </si>
  <si>
    <t>ambientes com área menor que 5m²</t>
  </si>
  <si>
    <t>ambientes com área entre 5m² e 10m²</t>
  </si>
  <si>
    <t>ambientes com área maior que 10m²</t>
  </si>
  <si>
    <t>18.1</t>
  </si>
  <si>
    <t>17.2</t>
  </si>
  <si>
    <t>Composição de referência para os coeficientes de consumo: 74209/001 - SINAPI - JAN/20</t>
  </si>
  <si>
    <t>LIMPEZA MECANIZADA DE CAMADA VEGETAL, VEGETAÇÃO E PEQUENAS ÁRVORES (DIÂMETRO DE TRONCO MENOR QUE 0,20 M), COM TRATOR DE ESTEIRAS.AF_05/2018</t>
  </si>
  <si>
    <t>TAPUME COM TELHA METÁLICA. AF_05/2018</t>
  </si>
  <si>
    <t>EXECUÇÃO DE RESERVATÓRIO ELEVADO DE ÁGUA (1000 LITROS) EM CANTEIRO DE OBRA, APOIADO EM ESTRUTURA DE MADEIRA. AF_02/2016</t>
  </si>
  <si>
    <t>EXECUÇÃO DE ALMOXARIFADO EM CANTEIRO DE OBRA EM CHAPA DE MADEIRA COMPENSADA, INCLUSO PRATELEIRAS. AF_02/2016</t>
  </si>
  <si>
    <t>EXECUÇÃO DE SANITÁRIO E VESTIÁRIO EM CANTEIRO DE OBRA EM CHAPA DE MADEIRA COMPENSADA, NÃO INCLUSO MOBILIÁRIO. AF_02/2016</t>
  </si>
  <si>
    <t>HIDRÔMETRO DN 25 (¾ ), 5,0 M³/H FORNECIMENTO E INSTALAÇÃO. AF_11/2016</t>
  </si>
  <si>
    <t>KIT CAVALETE PARA MEDIÇÃO DE ÁGUA - ENTRADA PRINCIPAL, EM PVC SOLDÁVEL DN 25 (¾")  FORNECIMENTO E INSTALAÇÃO (EXCLUSIVE HIDRÔMETRO). AF_11/2016</t>
  </si>
  <si>
    <t>H</t>
  </si>
  <si>
    <t>AREIA MEDIA - POSTO JAZIDA/FORNECEDOR (RETIRADO NA JAZIDA, SEM TRANSPORTE)</t>
  </si>
  <si>
    <t>PEDRA BRITADA N. 2 (19 A 38 MM) POSTO PEDREIRA/FORNECEDOR, SEM FRETE</t>
  </si>
  <si>
    <t>REATERRO MANUAL APILOADO COM SOQUETE. AF_10/2017</t>
  </si>
  <si>
    <t>VERGA MOLDADA IN LOCO COM UTILIZAÇÃO DE BLOCOS CANALETA PARA JANELAS COM ATÉ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</si>
  <si>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</si>
  <si>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</si>
  <si>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COM UTILIZAÇÃO DE BLOCOS CANALETA PARA VÃOS DE MAIS DE 1,5 M DE COMPRIMENTO. AF_03/2016</t>
  </si>
  <si>
    <t>CONCRETO FCK = 25MPA, TRAÇO 1:2,3:2,7 (CIMENTO/ AREIA MÉDIA/ BRITA 1)- PREPARO MECÂNICO COM BETONEIRA 400 L. AF_07/2016</t>
  </si>
  <si>
    <t>ARMAÇÃO DE BLOCO, VIGA BALDRAME E SAPATA UTILIZANDO AÇO CA-60 DE 5 MM- MONTAGEM. AF_06/2017</t>
  </si>
  <si>
    <t>FABRICAÇÃO, MONTAGEM E DESMONTAGEM DE FÔRMA PARA VIGA BALDRAME, EM MADEIRA SERRADA, E=25 MM, 4 UTILIZAÇÕES. AF_06/2017</t>
  </si>
  <si>
    <t>PATCH PANEL 24 PORTAS, CATEGORIA 6 - FORNECIMENTO E INSTALAÇÃO. AF_11/2019</t>
  </si>
  <si>
    <t>CAIXA RETANGULAR 4" X 2" BAIXA (0,30 M DO PISO), PVC, INSTALADA EM PAREDE - FORNECIMENTO E INSTALAÇÃO. AF_12/2015</t>
  </si>
  <si>
    <t>ELETRODUTO FLEXÍVEL CORRUGADO, PVC, DN 32 MM (1"), PARA CIRCUITOS TERMINAIS, INSTALADO EM LAJE - FORNECIMENTO E INSTALAÇÃO. AF_12/2015</t>
  </si>
  <si>
    <t>ELETRODUTO FLEXÍVEL CORRUGADO, PVC, DN 25 MM (3/4"), PARA CIRCUITOS TERMINAIS, INSTALADO EM LAJE - FORNECIMENTO E INSTALAÇÃO. AF_12/2015</t>
  </si>
  <si>
    <t xml:space="preserve">COBERTURA </t>
  </si>
  <si>
    <t>BARRA DE APOIO RETA, EM ALUMINIO, COMPRIMENTO 80 CM, DIAMETRO MINIMO 3 CM</t>
  </si>
  <si>
    <t>Composição de referência para os coeficientes de consumo:100868/SINAPI - JUN/20</t>
  </si>
  <si>
    <t>FORNECIMENTO E INSTALAÇÃO DE BARRA DE APOIO RETA,EM ALUMÍNIO,80 CM-FIXADA NA PAREDE</t>
  </si>
  <si>
    <t>FORNECIMENTO E INSTALAÇÃO DE BARRA DE APOIO RETA,EM ALUMÍNIO,70 CM-FIXADA NA PAREDE</t>
  </si>
  <si>
    <t>Composição de referência para os coeficientes de consumo:100867/SINAPI - JUN/20</t>
  </si>
  <si>
    <t>PARAFUSO NIQUELADO 3 1/2" COM ACABAMENTO CROMADO PARA FIXAR PECA SANITARIA, INCLUI PORCA CEGA, ARRUELA E BUCHA DE NYLON TAMANHO S-8</t>
  </si>
  <si>
    <t>BARRA DE APOIO RETA, EM ALUMINIO, COMPRIMENTO 40 CM, DIAMETRO MINIMO 3 CM</t>
  </si>
  <si>
    <t>Composição de referência para os coeficientes de consumo:100874/SINAPI - JUN/20</t>
  </si>
  <si>
    <t>CARPINTEIRO DE FORMAS COM ENCARGOS COMPLEMENTARES</t>
  </si>
  <si>
    <t>CONCRETO MAGRO PARA LASTRO, TRAÇO 1:4,5:4,5 (CIMENTO/ AREIA MÉDIA/ BRITA 1) - PREPARO MECÂNICO COM BETONEIRA 400 L. AF_07/2016</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</si>
  <si>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</si>
  <si>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</si>
  <si>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</si>
  <si>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PREGO DE ACO POLIDO COM CABECA 18 X 30 (2 3/4 X 10)</t>
  </si>
  <si>
    <t>ALVENARIA DE VEDAÇÃO DE BLOCOS CERÂMICOS MACIÇOS DE 5X10X20CM (ESPESSURA 10CM) E ARGAMASSA DE ASSENTAMENTO COM PREPARO EM BETONEIRA. AF_05/2020</t>
  </si>
  <si>
    <t>17.3</t>
  </si>
  <si>
    <t>MASSA ÚNICA, PARA RECEBIMENTO DE PINTURA, EM ARGAMASSA TRAÇO 1:2:8, PREPARO MECÂNICO COM BETONEIRA 400L, APLICADA MANUALMENTE EM TETO, ESPESSURA DE 20MM, COM EXECUÇÃO DE TALISCAS. AF_03/2015</t>
  </si>
  <si>
    <t>COMP ESTR 01</t>
  </si>
  <si>
    <t>COMP ESTR 02</t>
  </si>
  <si>
    <t>Composição de referência para os coeficientes de consumo: 74202/001-SINAPI-JAN/2020</t>
  </si>
  <si>
    <t>AJUDANTE DE CARPINTEIRO COM ENCARGOS COMPLEMENTARES</t>
  </si>
  <si>
    <t>L</t>
  </si>
  <si>
    <t>CHP</t>
  </si>
  <si>
    <t>OK</t>
  </si>
  <si>
    <t>COMPOSIÇÕES UNITÁRIAS DE PREÇO DE HIDROSSANITÁRIA</t>
  </si>
  <si>
    <t>COMP HIDR 01</t>
  </si>
  <si>
    <t xml:space="preserve">JOELHO 90 GRAUS, PVC SOLDÁVEL - ÁGUA FRIA, DN 50MM,FORNECIMENTO E INSTALAÇÃO. </t>
  </si>
  <si>
    <t>88248</t>
  </si>
  <si>
    <t>88267</t>
  </si>
  <si>
    <t>122</t>
  </si>
  <si>
    <t>3540</t>
  </si>
  <si>
    <t>JOELHO PVC, SOLDAVEL, 90 GRAUS, 50 MM, PARA AGUA FRIA PREDIAL</t>
  </si>
  <si>
    <t>20083</t>
  </si>
  <si>
    <t>38383</t>
  </si>
  <si>
    <t>COMP HIDR 02</t>
  </si>
  <si>
    <t>JOELHO PVC, SOLDAVEL, 90 GRAUS, 75 MM, PARA AGUA FRIA PREDIAL</t>
  </si>
  <si>
    <t>COMP HIDR 03</t>
  </si>
  <si>
    <t>COMP HIDR 04</t>
  </si>
  <si>
    <t>Composição de referência para os coeficientes de consumo: 89630/ SINAPI - SET/19</t>
  </si>
  <si>
    <t>COMP HIDR 05</t>
  </si>
  <si>
    <t>COMP HIDR 06</t>
  </si>
  <si>
    <t>Composição de referência para os coeficientes de consumo: 89449 / SINAPI - SET/19</t>
  </si>
  <si>
    <t>COMP HIDR 07</t>
  </si>
  <si>
    <t>FITA VEDA ROSCA EM ROLOS DE 18 MM X 50 M (L X C)</t>
  </si>
  <si>
    <t>COMP HIDR 08</t>
  </si>
  <si>
    <t>COMP HIDR 09</t>
  </si>
  <si>
    <t>Composição de referência para os coeficientes de consumo: 89596/ SINAPI - SET/19</t>
  </si>
  <si>
    <t>ADAPTADOR PVC SOLDAVEL CURTO COM BOLSA E ROSCA, 50 MM X1 1/2", PARA AGUA FRIA</t>
  </si>
  <si>
    <t>COMP HIDR 10</t>
  </si>
  <si>
    <t>COMP HIDR 11</t>
  </si>
  <si>
    <t>COMP HIDR 12</t>
  </si>
  <si>
    <t>TE DE REDUCAO, PVC, SOLDAVEL, 90 GRAUS, 50 MM X 25 MM, PARA AGUA FRIA PREDIAL</t>
  </si>
  <si>
    <t>COMP HIDR 14</t>
  </si>
  <si>
    <t>ANEL BORRACHA PARA TUBO ESGOTO PREDIAL DN 50 MM (NBR 5688)</t>
  </si>
  <si>
    <t>COMP HIDR 17</t>
  </si>
  <si>
    <t>COMP HIDR 18</t>
  </si>
  <si>
    <t>COMP HIDR 19</t>
  </si>
  <si>
    <t>COMP HIDR 20</t>
  </si>
  <si>
    <t>COMP HIDR 21</t>
  </si>
  <si>
    <t>COMP HIDR 22</t>
  </si>
  <si>
    <t>Composição de referência para os coeficientes de consumo: 89451/ SINAPI - SET/19</t>
  </si>
  <si>
    <t xml:space="preserve">TE, PVC, SOLDÁVEL, DN 50MM, FORNECIMENTO E INSTALAÇÃO. </t>
  </si>
  <si>
    <t>TE SOLDAVEL, PVC, 90 GRAUS,50 MM, PARA AGUA FRIA PREDIAL (NBR 5648)</t>
  </si>
  <si>
    <t>Pedreiro</t>
  </si>
  <si>
    <t>COMPOSIÇÕES UNITÁRIAS DE PREÇO DE ELÉTRICA</t>
  </si>
  <si>
    <t>COMP ELE 01</t>
  </si>
  <si>
    <t>CONECTOR FEMEA RJ - 45, CATEGORIA 6</t>
  </si>
  <si>
    <t>Composição de referência para os coeficientes de consumo: 69.03.340/CPOS-JUN/20</t>
  </si>
  <si>
    <t>COMP ELE 02</t>
  </si>
  <si>
    <t>COMP ELE 03</t>
  </si>
  <si>
    <t>Composição de referência para os coeficientes de consumo: 8362/ORSE- MAI/20</t>
  </si>
  <si>
    <t>GUIA DE CABOS VERTICAL FECHADO P/ RACK 19"</t>
  </si>
  <si>
    <t>COMP ELE 04</t>
  </si>
  <si>
    <t>Composição de referência para os coeficientes de consumo: CAB-RACK-010/SETOP- JUN/20</t>
  </si>
  <si>
    <t>COMP ELE 05</t>
  </si>
  <si>
    <t>PLACA 2x4" - BRANCA 1 MÓDULO - RJ45</t>
  </si>
  <si>
    <t>Composição de referência para os coeficientes de consumo: 40.20.330/CPOS- JUN/20</t>
  </si>
  <si>
    <t>COMP ELE 06</t>
  </si>
  <si>
    <t>PLACA 2x4" - BRANCA 2 MÓDULOS - RJ45</t>
  </si>
  <si>
    <t>COMP ELE 07</t>
  </si>
  <si>
    <t>Composição de referência para os coeficientes de consumo: 09.13.030/FDE-JUN/20</t>
  </si>
  <si>
    <t>COMP ELE 08</t>
  </si>
  <si>
    <t>CAIXA PARA MEDIÇÃO DIRETA PADRÃO ENERGISA (1.00 x 0.60 x 0.20 m) EM CHAPA DE ALUMÍNIO 2mm</t>
  </si>
  <si>
    <r>
      <t>Composição de referência para os coeficientes de consumo:</t>
    </r>
    <r>
      <rPr>
        <sz val="10"/>
        <rFont val="Arial"/>
        <family val="2"/>
      </rPr>
      <t xml:space="preserve"> 3840/ORSE- JUN/20</t>
    </r>
  </si>
  <si>
    <t>COMP ELE 09</t>
  </si>
  <si>
    <t>PLACA  PARA CAIXA 2X4", COM FURO CENTRAL</t>
  </si>
  <si>
    <t>Composição de referência para os coeficientes de consumo: ELE-PLA-065/SETOP-JUN/20</t>
  </si>
  <si>
    <t>COMP ELE 10</t>
  </si>
  <si>
    <t>INTERRUPTOR DR TETRAPOLAR 100A</t>
  </si>
  <si>
    <t>Composição de referência para os coeficientes de consumo: 9969/ORSE-MAI/20</t>
  </si>
  <si>
    <t>COMP ELE 11</t>
  </si>
  <si>
    <t>Composição de referência para os coeficientes de consumo: 74130/005-Sinapi JUN/20</t>
  </si>
  <si>
    <t>COMP ELE 12</t>
  </si>
  <si>
    <t>COMP ELE 13</t>
  </si>
  <si>
    <t>Composição de referência para os coeficientes de consumo: 83447/SINAPI-JUN/16</t>
  </si>
  <si>
    <t xml:space="preserve">ACO CA-60, 4,2 MM, OU 5,0 MM, OU 6,0 MM, OU 7,0 MM, VERGALHAO </t>
  </si>
  <si>
    <t>AREIA GROSSA - POSTO JAZIDA/FORNECEDOR (RETIRADO NA JAZIDA, SEM TRANSPORTE)</t>
  </si>
  <si>
    <t>CAL HIDRATADA CH-I PARA ARGAMASSAS</t>
  </si>
  <si>
    <t>CHAPA DE MADEIRA COMPENSADA RESINADA PARA FORMA DE CONCRETO, DE *2,2 X 1,1* M. E = 17 MM</t>
  </si>
  <si>
    <t>PEDRA BRITADA N. 3 (38 A 50 MM) POSTO PEDREIRA/FORNECEDOR, SEM FRETE</t>
  </si>
  <si>
    <t>COMP ELE 14</t>
  </si>
  <si>
    <t>Composição de referência para os coeficientes de consumo: 8894/ORSE-MAI/20</t>
  </si>
  <si>
    <t>COMP ELE 15</t>
  </si>
  <si>
    <t>Composição de referência para os coeficientes de consumo: 90951/SIURB-JUN/20</t>
  </si>
  <si>
    <t>LAMPADA LED TUBULAR BIVOLT 18/20 W, BASE G13</t>
  </si>
  <si>
    <t xml:space="preserve">SOQUETE DE PVC / TERMOPLASTICO BASE E27, COM CHAVE, PARA LAMPADAS </t>
  </si>
  <si>
    <t>COMPOSIÇÕES UNITÁRIAS DE PREÇO DE ARQUITETURA</t>
  </si>
  <si>
    <t xml:space="preserve">FITA ACO INOX PARA CINTAR POSTE, L = 19 MM, E = 0,5 MM (ROLO DE 30M) </t>
  </si>
  <si>
    <t>CINTA CIRCULAR EM ACO GALVANIZADO DE 150 MM DE DIAMETRO PARA FIXACAO DE CAIXA MEDICAO, INCLUI PARAFUSOS E PORCAS</t>
  </si>
  <si>
    <t>CABO DE COBRE NU 16 MM2 MEIO-DURO</t>
  </si>
  <si>
    <t>FIO DE COBRE, SOLIDO, CLASSE 1, ISOLACAO EM PVC/A, ANTICHAMA BWF-B, 450/750V,SECAO NOMINAL 10 MM2</t>
  </si>
  <si>
    <t>CAIXA INTERNA/EXTERNA DE MEDICAO PARA 1 MEDIDOR TRIFASICO, COM VISOR, EM CHAPA DE ACO 18 USG (PADRAO DA CONCESSIONARIA LOCAL)</t>
  </si>
  <si>
    <t>ARMACAO VERTICAL COM HASTE E CONTRA-PINO, EM CHAPA DE ACO GALVANIZADO 3/16",COM 4 ESTRIBOS E 4 ISOLADORES</t>
  </si>
  <si>
    <t xml:space="preserve">CONECTOR METALICO TIPO PARAFUSO FENDIDO (SPLIT BOLT), PARA CABOS ATE 16 MM2 </t>
  </si>
  <si>
    <t>LUVA EM PVC RIGIDO ROSCAVEL, DE 1", PARA ELETRODUTO</t>
  </si>
  <si>
    <t>DISJUNTOR TIPO NEMA, TRIPOLAR 10 ATE 50A, TENSAO MAXIMA DE 415 V</t>
  </si>
  <si>
    <t>ELETRODUTO DE PVC RIGIDO ROSCAVEL DE 1 ", SEM LUVA</t>
  </si>
  <si>
    <t>MADEIRA ROLICA TRATADA,(PARA POSTE) EUCALIPTO OU EQUIVALENTE DA REGIAO, H = 12 M, D = 20 A 24 CM</t>
  </si>
  <si>
    <t>PARAFUSO DE FERRO POLIDO, SEXTAVADO, COM ROSCA PARCIAL, DIAMETRO 5/8",COMPRIMENTO 6", COM PORCA E ARRUELA DE PRESSAO MEDIA</t>
  </si>
  <si>
    <t>ARRUELA REDONDA DE LATAO, DIAMETRO EXTERNO = 34 MM, ESPESSURA = 2,5 MM,DIAMETRO DO FURO = 17 MM</t>
  </si>
  <si>
    <t xml:space="preserve">CURVA 180 GRAUS, DE PVC RIGIDO ROSCAVEL, DE 3/4", PARA ELETRODUTO </t>
  </si>
  <si>
    <t>BUCHA EM ALUMINIO, COM ROSCA, DE 1", PARA ELETRODUTO</t>
  </si>
  <si>
    <t>ARRUELA EM ALUMINIO, COM ROSCA, DE 1", PARA ELETRODUTO</t>
  </si>
  <si>
    <t>COMP 04</t>
  </si>
  <si>
    <t>COMP 06</t>
  </si>
  <si>
    <t>BARRA DE APOIO RETA,EM ALUMÍNIO,40 CM-FIXADA COMO SUPORTE EM PORTA DE MADEIRA PARA PCD</t>
  </si>
  <si>
    <t>COMP 08</t>
  </si>
  <si>
    <t>Composição de referência para os coeficientes de consumo: serviços de terceiros</t>
  </si>
  <si>
    <t>GRADIL METÁLICO COM PORTÕES DE ENTADA E DE GARAGEM INSTALADO</t>
  </si>
  <si>
    <t>COMP 09</t>
  </si>
  <si>
    <t>GRANITO PARA BANCADA, POLIDO, TIPO ANDORINHA/ QUARTZ/ CASTELO/ CORUMBA OU OUTROS EQUIVALENTES DA REGIAO, E=  *2,5* CM</t>
  </si>
  <si>
    <t>REJUNTE EPOXI BRANCO</t>
  </si>
  <si>
    <r>
      <t>Composição de referência para os coeficientes de consumo:</t>
    </r>
    <r>
      <rPr>
        <sz val="10"/>
        <rFont val="Arial"/>
        <family val="2"/>
      </rPr>
      <t xml:space="preserve"> BAN-ROD-010/SETOP - JUN/20</t>
    </r>
  </si>
  <si>
    <t>ARGAMASSA COLANTE TIPO AC III</t>
  </si>
  <si>
    <t>RODAPE OU RODABANCADA EM GRANITO, POLIDO, TIPO ANDORINHA/ QUARTZ/ CASTELO/CORUMBA OU OUTROS EQUIVALENTES DA REGIAO, H= 10 CM, E= *2,0* CM</t>
  </si>
  <si>
    <t>COMP 17</t>
  </si>
  <si>
    <t>Composição de referência para os coeficientes de consumo: 94216 /SINAPI - MAR/19</t>
  </si>
  <si>
    <t>TELHADISTA COM ENCARGOS COMPLEMENTARES</t>
  </si>
  <si>
    <t>HASTE RETA PARA GANCHO DE FERRO GALVANIZADO, COM ROSCA 1/4 " X 30 CM PARA FIXACAO DE TELHA METALICA, INCLUI PORCA E ARRUELAS DE VEDACAO</t>
  </si>
  <si>
    <t>cj</t>
  </si>
  <si>
    <t>GUINCHO ELÉTRICO DE COLUNA, CAPACIDADE 400 KG, COM MOTO FREIO, MOTOR TRIFÁSICO DE 1,25 CV - CHP DIURNO. AF_03/2016</t>
  </si>
  <si>
    <t>GUINCHO ELÉTRICO DE COLUNA, CAPACIDADE 400 KG, COM MOTO FREIO, MOTOR TRIFÁSICO DE 1,25 CV - CHI DIURNO. AF_03/2016</t>
  </si>
  <si>
    <t>CHI</t>
  </si>
  <si>
    <t>COMP 18</t>
  </si>
  <si>
    <t>9.8</t>
  </si>
  <si>
    <t>9.9</t>
  </si>
  <si>
    <t>9.10</t>
  </si>
  <si>
    <t>APLICAÇÃO DE FUNDO SELADOR ACRÍLICO EM PAREDES, UMA DEMÃO. AF_06/2014</t>
  </si>
  <si>
    <t>APLICAÇÃO MANUAL DE FUNDO SELADOR ACRÍLICO EM PAREDES EXTERNAS DE CASAS. AF_06/2014</t>
  </si>
  <si>
    <t>APLICAÇÃO MANUAL DE PINTURA COM TINTA TEXTURIZADA ACRÍLICA EM PAREDES EXTERNAS DE CASAS, DUAS CORES. AF_06/2014</t>
  </si>
  <si>
    <t>FORNECIMENTO E MONTAGEM DE ESTRUTURA METÁLICA PARA COBERTURA, EXECUTADA EM PERFIS LAMINADOS/SOLDADOS/DOBRADOS DE CHAPAS DE AÇO, CONFORME PROJETOS ESTRUTURAIS</t>
  </si>
  <si>
    <t>APLICAÇÃO MANUAL DE TINTA LÁTEX ACRÍLICA EM PAREDE EXTERNAS DE CASAS,DUAS DEMÃOS. AF_11/2016</t>
  </si>
  <si>
    <t>13.5</t>
  </si>
  <si>
    <t>13.6</t>
  </si>
  <si>
    <t>13.7</t>
  </si>
  <si>
    <t>13.8</t>
  </si>
  <si>
    <t>13.9</t>
  </si>
  <si>
    <t>13.10</t>
  </si>
  <si>
    <t>13.11</t>
  </si>
  <si>
    <t>13.12</t>
  </si>
  <si>
    <t>13.13</t>
  </si>
  <si>
    <t>13.14</t>
  </si>
  <si>
    <t>13.15</t>
  </si>
  <si>
    <t>13.16</t>
  </si>
  <si>
    <t>13.17</t>
  </si>
  <si>
    <t>13.18</t>
  </si>
  <si>
    <t>13.19</t>
  </si>
  <si>
    <t>13.20</t>
  </si>
  <si>
    <t>13.21</t>
  </si>
  <si>
    <t>13.22</t>
  </si>
  <si>
    <t>13.23</t>
  </si>
  <si>
    <t>14.1.1</t>
  </si>
  <si>
    <t>ESGOTAMENTO SANITÁRIO</t>
  </si>
  <si>
    <t>15.1</t>
  </si>
  <si>
    <t>PLANTIO DE GRAMA EM PLACAS. AF_05/2018</t>
  </si>
  <si>
    <t>17.4</t>
  </si>
  <si>
    <t>19.1</t>
  </si>
  <si>
    <t>VIGAS BALDRAME</t>
  </si>
  <si>
    <t>ESCAVAÇÃO MANUAL DE VALA PARA VIGA BALDRAME, COM PREVISÃO DE FÔRMA. AF_06/2017</t>
  </si>
  <si>
    <t>19.2</t>
  </si>
  <si>
    <t>FABRICAÇÃO, MONTAGEM E DESMONTAGEM DE FÔRMA PARA BLOCO DE COROAMENTO,EM MADEIRA SERRADA, E=25 MM, 4 UTILIZAÇÕES. AF_06/2017</t>
  </si>
  <si>
    <t>ARMAÇÃO DE BLOCO, VIGA BALDRAME E SAPATA UTILIZANDO AÇO CA-60 DE 5 MM - MONTAGEM. AF_06/2017</t>
  </si>
  <si>
    <t>ESTACA BROCA DE CONCRETO, DIÂMETRO DE 20CM, ESCAVAÇÃO MANUAL COM TRADO CONCHA, COM ARMADURA DE ARRANQUE. AF_05/2020</t>
  </si>
  <si>
    <t>VIGAS DE RESPALDO</t>
  </si>
  <si>
    <t>COMP 19</t>
  </si>
  <si>
    <t>LIMPEZA DE SUPERFÍCIE COM JATO DE ALTA PRESSÃO. AF_04/2019</t>
  </si>
  <si>
    <t xml:space="preserve">CONSTRUÇÃO </t>
  </si>
  <si>
    <t>PLACA DE OBRA EM CHAPA GALVANIZADA</t>
  </si>
  <si>
    <t>ESTACIONAMENTO</t>
  </si>
  <si>
    <t>PERÍMETRO</t>
  </si>
  <si>
    <t>ÁREA</t>
  </si>
  <si>
    <t>CHAPISCO APLICADO EM ALVENARIAS E ESTRUTURAS DE CONCRETO INTERNAS, COM COLHER DE PEDREIRO. ARGAMASSA TRAÇO 1:3 COM PREPARO EM BETONEIRA 400L. AF_06/2014</t>
  </si>
  <si>
    <t>Composição de referência para os coeficientes de consumo: 83878/SINAPI - JAN/20</t>
  </si>
  <si>
    <t>TANGARÁ DA SERRA - MT</t>
  </si>
  <si>
    <t>CONSTRUÇÃO DAS SEDES DAS DIRETORIAS DE UNIDADE DESCONCENTRADA DA SEMA</t>
  </si>
  <si>
    <t xml:space="preserve">RUA 24A </t>
  </si>
  <si>
    <t>TANGARÁ DA SERRA</t>
  </si>
  <si>
    <t>OUT/2020</t>
  </si>
  <si>
    <t>MEMORIAL DE CÁLCULO - QUANTITATIVOS DOS SERVIÇOS DE ARQUITETURA</t>
  </si>
  <si>
    <t>Para obra com valor até quatrocentos e cinquenta mil reais o tamanho é de 2,5m x 1,25m; para obra com valor acima de quatrocentos e cinquenta mil reais o tamanho é 5,0 x 2,5m</t>
  </si>
  <si>
    <t>TAPUME DE TELHA METÁLICA ALTURA 2,00M</t>
  </si>
  <si>
    <t>De acordo com Projeto de Implantação de cada unidade</t>
  </si>
  <si>
    <t>PERÍMETRO TOTAL (M)</t>
  </si>
  <si>
    <t>25,29+44,80+73,76+38,45</t>
  </si>
  <si>
    <t>Limites do terreno</t>
  </si>
  <si>
    <t>EXECUÇÃO DE DEPÓSITO EM CANTEIRO DE OBRA (ESCRITÓRIO, REFEITÓRIO E SANITÁRIO) EM CHAPA DE MADEIRA COMPENSADA, NÃO INCLUSO MOBILIÁRIO</t>
  </si>
  <si>
    <t>ESCRITÓRIO</t>
  </si>
  <si>
    <t>(4,25X3,20)</t>
  </si>
  <si>
    <t>SANITÁRIOS</t>
  </si>
  <si>
    <t>(3,00X3,00)</t>
  </si>
  <si>
    <t>ALMOXARIFADO</t>
  </si>
  <si>
    <t>(5,00X5,50)</t>
  </si>
  <si>
    <t>REFEITÓRIO</t>
  </si>
  <si>
    <t>LOCAÇÃO</t>
  </si>
  <si>
    <t>17,25+7,80+7,50+8,75+9,65+1,35+4,15+5,00+3,35+2,35+3,65+1,45+4,65+1,35</t>
  </si>
  <si>
    <t>Todo o perímetro da edificação</t>
  </si>
  <si>
    <t>EXECUÇÃO DE ALVENARIA DE ELEVAÇÃO  - BLOCO CERÂMICO</t>
  </si>
  <si>
    <t>PAREDES COM ÁREA LÍQUIDA MAIOR QUE 6M²- COM VÃO</t>
  </si>
  <si>
    <t>P1'(1,60x2,10)</t>
  </si>
  <si>
    <t xml:space="preserve"> P3(0,80X2,10)</t>
  </si>
  <si>
    <t>J2(2,30X1,10X3)+J1(1,10x1,00x2)</t>
  </si>
  <si>
    <t>J1(1,00x0,60x3)+J2(2,30x1,10x2)+P3(0,80x2,10)+P2(1,30x2,10)</t>
  </si>
  <si>
    <t>J3(2,20X1,10)</t>
  </si>
  <si>
    <t>P3(0,80X2,10)-J2(2,30X1,10)</t>
  </si>
  <si>
    <t>J2(2,30X1,10)</t>
  </si>
  <si>
    <t>J1(1,10X0,60X6)</t>
  </si>
  <si>
    <t>P7(0,80X2,10X4)</t>
  </si>
  <si>
    <t>1,35+1,35+(1,85*4)+1,95</t>
  </si>
  <si>
    <t>4,15+1,50+4,80+3,65+1,65+4,30+4,00 (platibanda 01)</t>
  </si>
  <si>
    <t>3,55 (platibanda 02)</t>
  </si>
  <si>
    <t>7,50+4,00+3,35+4,00+4,50+5,0+(3,85X4)+3,75</t>
  </si>
  <si>
    <t>5,3 (platibanda 01)</t>
  </si>
  <si>
    <t>17,25+7,50+7,65 (platibanda 02)</t>
  </si>
  <si>
    <t>(4,60x2)+9,80 (platibanda 03)</t>
  </si>
  <si>
    <t>(4,00x2)+9,80 (platibanda 04)</t>
  </si>
  <si>
    <t>PAREDES  COM ÁREA LÍQUIDA MENOR QUE 6M² - COM VÃO</t>
  </si>
  <si>
    <t>1,20X1,10</t>
  </si>
  <si>
    <t>P4(0,80x2,10)</t>
  </si>
  <si>
    <t>P7(0,80X2,10)</t>
  </si>
  <si>
    <t>P4(1,00x2,10)</t>
  </si>
  <si>
    <t xml:space="preserve">ÁREA TOTAL DE ALVENARIA </t>
  </si>
  <si>
    <t>PAREDES  COM ÁREA LÍQUIDA MAIOR QUE 6M²- SEM VÃO</t>
  </si>
  <si>
    <t>6.1.2</t>
  </si>
  <si>
    <t>ELEMENTO VAZADO DE CONCRETO QUADRADO 16 FUROS</t>
  </si>
  <si>
    <t>ALTURA (M)</t>
  </si>
  <si>
    <t>DESC. DE VÃO</t>
  </si>
  <si>
    <t>0,90X2,10</t>
  </si>
  <si>
    <t>J1X11</t>
  </si>
  <si>
    <t>J2X06</t>
  </si>
  <si>
    <t>J3X2</t>
  </si>
  <si>
    <t>J4X1</t>
  </si>
  <si>
    <t>P1X1</t>
  </si>
  <si>
    <t>P2X1</t>
  </si>
  <si>
    <t>P3X3</t>
  </si>
  <si>
    <t>P4X1</t>
  </si>
  <si>
    <t>P5X1</t>
  </si>
  <si>
    <t>P6X1</t>
  </si>
  <si>
    <t>P7X5</t>
  </si>
  <si>
    <t>COBERTURA  COM TELHA METÁLICA ISOTÉRMICA E=43MM, COM ATÉ DUAS ÁGUAS, INCLUSO IÇAMENTO</t>
  </si>
  <si>
    <t>Área de cobertura do prédio</t>
  </si>
  <si>
    <t>ESTRUTURA METÁLICA DA COBERTURA</t>
  </si>
  <si>
    <t>REGULARIZAÇÃO DE LAJE - CAIMENTO PARA ESCOAMENTO DA ÁGUA INCL. 2%</t>
  </si>
  <si>
    <t xml:space="preserve">Beiral Externo </t>
  </si>
  <si>
    <t xml:space="preserve">PORTA DE ABRIR DE FERRO EM CHAPA CORRUGADA </t>
  </si>
  <si>
    <t xml:space="preserve">PORTA DE ABRIR DE MADEIRA </t>
  </si>
  <si>
    <t>PORTA DE MADEIRA</t>
  </si>
  <si>
    <t>PORTA DE CORRER DE MADEIRA</t>
  </si>
  <si>
    <t>P6</t>
  </si>
  <si>
    <t>PORTA DE ABRIR EM ALUMÍNIO</t>
  </si>
  <si>
    <t>P7</t>
  </si>
  <si>
    <t>P8</t>
  </si>
  <si>
    <t>PORTÃO DE CORRER DE UMA FOLHA - ELÉTRICO</t>
  </si>
  <si>
    <t>P9</t>
  </si>
  <si>
    <t>PORTÃO DE CORRER DUAS FOLHAS - ELÉTRICO</t>
  </si>
  <si>
    <t>P10</t>
  </si>
  <si>
    <t>JANELA MAXIM AR DE ALUMÍNIO COM VIDRO LISO 6MM</t>
  </si>
  <si>
    <t>8.13</t>
  </si>
  <si>
    <t>JANELA CORRER DE  ALUMÍNIO COM VIDRO LISO 6MM</t>
  </si>
  <si>
    <t>8.14</t>
  </si>
  <si>
    <t>8.15</t>
  </si>
  <si>
    <t>J5</t>
  </si>
  <si>
    <t xml:space="preserve">PEITORIL EM GRANITO BRANCO SIENA </t>
  </si>
  <si>
    <t xml:space="preserve">Ver detalhe do peitoril </t>
  </si>
  <si>
    <t>8.16</t>
  </si>
  <si>
    <t xml:space="preserve">REQUADRO DE GRANITO BRANCO SIENA PARA A ÁREA DO JARDIM </t>
  </si>
  <si>
    <t>5,40+2,90</t>
  </si>
  <si>
    <t>8.17</t>
  </si>
  <si>
    <t xml:space="preserve">SOLEIRA EM GRANITO BRANCO SIENA POLIDO </t>
  </si>
  <si>
    <t>CHAPISCO PARA PAREDES INTERNAS</t>
  </si>
  <si>
    <t>ÁREA LÍQUIDA MENOR QUE 5M²</t>
  </si>
  <si>
    <t>Administrativo (1,50)</t>
  </si>
  <si>
    <t>Reunião (1,95)</t>
  </si>
  <si>
    <t>P3(0,80x2,10)</t>
  </si>
  <si>
    <t>Banheiro Feminino (1,05+2,85+3,85+1,85+1,08+2,0)</t>
  </si>
  <si>
    <t>Banheiro Masculino (1,05+2,85+3,85+1,85+1,08+2,0)</t>
  </si>
  <si>
    <t>Banheiro PNE Masc. 91,85+1,85+1,65+1,65)</t>
  </si>
  <si>
    <t>Banheiro PNE Fem. 91,85+1,85+1,65+1,65)</t>
  </si>
  <si>
    <t>DML (1,35+1,35+2,35+2,35)</t>
  </si>
  <si>
    <t>Copa (3,85+3,85+2,0+2,00)</t>
  </si>
  <si>
    <t>ÁREA LÍQUIDA ENTRE 5M² E 10M²</t>
  </si>
  <si>
    <t>Administrativo (3,50)</t>
  </si>
  <si>
    <t>Depósito 02 (3,35+3,15)</t>
  </si>
  <si>
    <t>P3(0,80x2,10)+J1(1,10x0,60x2)</t>
  </si>
  <si>
    <t>Depósito (3,35+3,15)</t>
  </si>
  <si>
    <t>Sala do Diretor (4,00+4,00)</t>
  </si>
  <si>
    <t>J3(2,20x1,10)+P3(0,80x2,10)</t>
  </si>
  <si>
    <t>Reunião (3,50)</t>
  </si>
  <si>
    <t>J3(2,20x1,10)</t>
  </si>
  <si>
    <t>Reunião (2,55+2,00)</t>
  </si>
  <si>
    <t>Recepção (4,00)</t>
  </si>
  <si>
    <t>P5(1,30x2,10)+J2(2,30x1,10)</t>
  </si>
  <si>
    <t>Hall interno (2,15+1,35+1,50)</t>
  </si>
  <si>
    <t>(1,20x1,10)+P7(0,80*2,10)+P6(0,90x2,10)</t>
  </si>
  <si>
    <t>Hall interno (2,15)</t>
  </si>
  <si>
    <t>Hall interno (4,60+9,65)</t>
  </si>
  <si>
    <t>J2(2,30*1,10*2)+P3(0,80*2,10)+P4(1,00*2,10)</t>
  </si>
  <si>
    <t>Hall interno (4,60)</t>
  </si>
  <si>
    <t>ÁREA LÍQUIDA MAIOR QUE 10M²</t>
  </si>
  <si>
    <t>Depósito 01 (7,50+4,65)</t>
  </si>
  <si>
    <t>P1(1,60X2,10)+J1(3X1,10X0,60)</t>
  </si>
  <si>
    <t>Administrativo (8,85+10,35)</t>
  </si>
  <si>
    <t>J2(2,30x1,10x3)+J2(2,30x1,10x2)</t>
  </si>
  <si>
    <t>Administrativo (4,65+4,0)</t>
  </si>
  <si>
    <t>Reunião (5,50)</t>
  </si>
  <si>
    <t>J2(2,30x1,10)</t>
  </si>
  <si>
    <t>Reunião(4,50)</t>
  </si>
  <si>
    <t>Recepção (5,00)</t>
  </si>
  <si>
    <t>Recepção (4,00+5,00)</t>
  </si>
  <si>
    <t>Hall interno(6,15)</t>
  </si>
  <si>
    <t>P7(0,80*2,10*4)+ J5(0,40X0,60X2)</t>
  </si>
  <si>
    <t>ÁREA TOTAL DO EMBOÇO PARA REVESTIMENTO CERÂMICO</t>
  </si>
  <si>
    <t>J5 (0,40X0,60)</t>
  </si>
  <si>
    <t>EMBOÇO PARA RECEBIMENTO DE REVESTIMENTO CERÂMICO - PAREDES INTERNAS</t>
  </si>
  <si>
    <t>Banheiro Feminino (1,05+2,85)</t>
  </si>
  <si>
    <t>P7(0,80x2,10)+J1(1,10x0,60)</t>
  </si>
  <si>
    <t>Banheiro Feminino (1,85+1,08+2,00)</t>
  </si>
  <si>
    <t>Banheiro Masculino (1,05+2,85)</t>
  </si>
  <si>
    <t>Banheiro Masculino (1,85+1,08+2,00)</t>
  </si>
  <si>
    <t>DML (1,35+1,35)</t>
  </si>
  <si>
    <t>DML (2,35+2,35)</t>
  </si>
  <si>
    <t>Copa (2,0+2,0)</t>
  </si>
  <si>
    <t>J1(1,10*0,60)+(1,20*1,10)</t>
  </si>
  <si>
    <t>Banheiro PNE Fem.(1,85+1,85+1,65+1,65)</t>
  </si>
  <si>
    <t>P7(0,80x2,10)+J5(0,40X0,60)</t>
  </si>
  <si>
    <t>Banheiro PNE Masc.(1,85+1,85+1,65+1,65)</t>
  </si>
  <si>
    <t>Banheiro Feminino (3,85)</t>
  </si>
  <si>
    <t>Banheiro Masculino (3,85)</t>
  </si>
  <si>
    <t>Copa (3,85)</t>
  </si>
  <si>
    <t>P6(0,80*2,10)</t>
  </si>
  <si>
    <t>REVESTIMENTO CERÂMICO PAREDES INTERNAS 30X60CM</t>
  </si>
  <si>
    <t>CHAPISCO PARA PAREDES EXTERNAS</t>
  </si>
  <si>
    <t>Platibanda (4,75+9,50+4,75)</t>
  </si>
  <si>
    <t>Platibanda (4,15+4+1,60+3,80+4,50+1,65+5,15+4)</t>
  </si>
  <si>
    <t>Platibanda (3,85+3,85+9,80+9,80)</t>
  </si>
  <si>
    <t>Platibanda (7,80+7,50+17,10+3,35)</t>
  </si>
  <si>
    <t>Platibanda Int. (3,35+1,80)</t>
  </si>
  <si>
    <t>Platibanda Int. (7,80+7,50)</t>
  </si>
  <si>
    <t>Platibanda Int. (4,15)</t>
  </si>
  <si>
    <t>Platibanda Int. (4,45+4,60+4,60)</t>
  </si>
  <si>
    <t>Platibanda Int. (2,50)</t>
  </si>
  <si>
    <t>Platibanda Int. (3,85+3,85)</t>
  </si>
  <si>
    <t>Hall interno Platibanda (4,60)</t>
  </si>
  <si>
    <t>3,65+4,80</t>
  </si>
  <si>
    <t>J3 (2,20x1,10)+J2(2,30x1,10)</t>
  </si>
  <si>
    <t>9,80+4,15</t>
  </si>
  <si>
    <t>J1(1,10x0,60)x6</t>
  </si>
  <si>
    <t>7,80+7,80+17,25</t>
  </si>
  <si>
    <t>J2 (2,30x1,10)x3+J1(1,10x0,60)x2+P1(1,60x2,10)</t>
  </si>
  <si>
    <t>P5(1,30x2,10)+(2,30x1,10)</t>
  </si>
  <si>
    <t>Platibanda Int. (7,50)</t>
  </si>
  <si>
    <t>Platibanda Int. (16,95)</t>
  </si>
  <si>
    <t>Platibanda Int. (9,50+9,50+9,50)</t>
  </si>
  <si>
    <t>EMBOÇO PARA RECEBIMENTO DE REVESTIMENTO CERÂMICO - PAREDES EXTERNAS</t>
  </si>
  <si>
    <t>REVESTIMENTO CERÂMICO - PAREDES EXTERNAS</t>
  </si>
  <si>
    <t>CHAPISCO PARA LAJE</t>
  </si>
  <si>
    <t>Critérios para quantificação dos serviços</t>
  </si>
  <si>
    <t>Depósito 01</t>
  </si>
  <si>
    <t>O beiral náo receberá chapisco, receberá somente textura.</t>
  </si>
  <si>
    <t>Administrativo</t>
  </si>
  <si>
    <t>Depósito 02</t>
  </si>
  <si>
    <t>Diretor</t>
  </si>
  <si>
    <t>Sala de Reunião</t>
  </si>
  <si>
    <t>Copa</t>
  </si>
  <si>
    <t>DML</t>
  </si>
  <si>
    <t>Banheiro Masculino</t>
  </si>
  <si>
    <t>Banheiro PNE Masc.</t>
  </si>
  <si>
    <t>Banheiro Feminino</t>
  </si>
  <si>
    <t>Banheiro PNE Fem.</t>
  </si>
  <si>
    <t>NIVELAMENTO E APILOAMENTO DE BASE PARA RECEBIMENTO DO CONTAPISO</t>
  </si>
  <si>
    <t>ÁREA TOTAL(M²)</t>
  </si>
  <si>
    <t>DML, Banheiro PNE Masculino, Banheiro PNE Feminino.</t>
  </si>
  <si>
    <t>3,18+2,78+2,78</t>
  </si>
  <si>
    <t>Copa, Banheiro Masculino, Banheiro Feminino</t>
  </si>
  <si>
    <t>7,70+7,68+7,68</t>
  </si>
  <si>
    <t>Depósito 01, Administrativo, Depósito 02, Diretor, Reunião, Recepção, Hall Interno/Circulação, Hall Externo</t>
  </si>
  <si>
    <t>34,87+72,37+10,55+16,00+19,64+20+30,21+10,61</t>
  </si>
  <si>
    <t xml:space="preserve">Calçada Externa interior do terreno, Área Técnica, Calçada Ruas </t>
  </si>
  <si>
    <t>66,73+13,70+31,95+4,46+68,14+108,42</t>
  </si>
  <si>
    <t>Calçada de concreto</t>
  </si>
  <si>
    <t>Calçada Externa interior do terreno, Área Técnica</t>
  </si>
  <si>
    <t>66,73+13,70+31,95+4,46</t>
  </si>
  <si>
    <t>CALÇADA RUA 24-A E RUA 09</t>
  </si>
  <si>
    <t>RUAS 24-A E RUA 09</t>
  </si>
  <si>
    <t>68,14+108,42</t>
  </si>
  <si>
    <t>REGULARIZAÇÃO DESEMPENADA DE BASE PARA REVESTIMENTO DE PISO (6CM)</t>
  </si>
  <si>
    <t>REVESTIMENTO PORCELANATO RETIFICADO, COR CINZA CLARO, PIV, DIMENSÕES DE 60CMX60CM. REJUNTE CINZA</t>
  </si>
  <si>
    <t>RODAPÉ EMBUTIDO EM PORCELANATO RETIFICADO, COR CINZA CLARO, PIV, DIMENSÕES DE 60CMX60CM. REJUNTE CINZA</t>
  </si>
  <si>
    <t>Critérios para quantificação dos serviços: perímetro do ambiente</t>
  </si>
  <si>
    <t xml:space="preserve">Utilizar área de revestimento efetivamente executada. </t>
  </si>
  <si>
    <t>PERÍMETRO DESCONTADO OS VÃO</t>
  </si>
  <si>
    <t>ALTURA 15CM</t>
  </si>
  <si>
    <t>recepção, situação, diretor depósito, administração, depósito, hall interno</t>
  </si>
  <si>
    <t>(15,70+19,2+15,2+12,20+33,60+22,70+13,30)*0,15</t>
  </si>
  <si>
    <t>DIVISÓRIA EM GRANITO</t>
  </si>
  <si>
    <t>DIVISÓRIA EM GRANITO PARA BOX DE VASOS SANITÁRIOS</t>
  </si>
  <si>
    <t>Utilizar a área da parede descontando os vãos</t>
  </si>
  <si>
    <t>Banh. Masculino</t>
  </si>
  <si>
    <t>1,85+1,51</t>
  </si>
  <si>
    <t>(0,80X1,60X2)+(0,16M²X2)</t>
  </si>
  <si>
    <t>Banh. Feminino</t>
  </si>
  <si>
    <t>1,85+1,52</t>
  </si>
  <si>
    <t xml:space="preserve">BANCADAS </t>
  </si>
  <si>
    <t>BANCADA DE GRANITO CINZA POLIDO, COM BORDA ARREDONDADA - COPA</t>
  </si>
  <si>
    <t>Área total em metro quadrado</t>
  </si>
  <si>
    <t>PIA</t>
  </si>
  <si>
    <t>FRONTÃO</t>
  </si>
  <si>
    <t>ÁREA FRONTÃO (M²)</t>
  </si>
  <si>
    <t>ÁREA PIA</t>
  </si>
  <si>
    <t>0,60X2,00</t>
  </si>
  <si>
    <t>0,10X(0,60+0,60+2)</t>
  </si>
  <si>
    <t>BANCADA EM GRANITO CINZA POLIDO - BANHEIROS</t>
  </si>
  <si>
    <t>Banheiro Masc. e Fem.</t>
  </si>
  <si>
    <t>0,60x1,30</t>
  </si>
  <si>
    <t>(0,10*(1,30+0,60))</t>
  </si>
  <si>
    <t>BANCADA EM GRANITO CINZA POLIDO PARA  ATENDIMENTO - COPA</t>
  </si>
  <si>
    <t>Área (M²)</t>
  </si>
  <si>
    <t>Copa - Atendimento</t>
  </si>
  <si>
    <t>CONCRETO</t>
  </si>
  <si>
    <t>ÁREA SESSÃO</t>
  </si>
  <si>
    <t>SELADOR PARA PAREDES INTERNAS, UMA DEMÃO.</t>
  </si>
  <si>
    <t>Critérios para quantificação dos serviços: equivalente à área de reboco</t>
  </si>
  <si>
    <t>Utilizar a área de aplicação da pintura em alvenaria. Descontando os vãos.</t>
  </si>
  <si>
    <t>P7(0,80*2,10*4)</t>
  </si>
  <si>
    <t>EMASSAMENTO DE PAREDES INTERNAS</t>
  </si>
  <si>
    <t>PINTURA ACRÍLICA EM PAREDES INTERNAS DUAS DEMÃOS</t>
  </si>
  <si>
    <t xml:space="preserve">SELADOR PARA LAJE </t>
  </si>
  <si>
    <t>hall de entrada</t>
  </si>
  <si>
    <t>Beiral Externo - espessura 20cm</t>
  </si>
  <si>
    <t>EMASSAMENTO DE TETO</t>
  </si>
  <si>
    <t>PINTURA EM LAJE COM TINTA ACRÍLICA 02 DEMÃOS</t>
  </si>
  <si>
    <t>SELADOR PARA PAREDES EXTERNAS, UMA DEMÃO</t>
  </si>
  <si>
    <t>TEXTURA PARA PAREDES EXTERNAS, DUAS DEMÃO</t>
  </si>
  <si>
    <t>PINTURA DE ESQUADRIAS METÁLICAS</t>
  </si>
  <si>
    <t>L X H</t>
  </si>
  <si>
    <t>1,60X2,10</t>
  </si>
  <si>
    <t>Área da esquadria vezes 4</t>
  </si>
  <si>
    <t>PINTURA DE ESQUADRIAS DE MADEIRA - SELADOR E VERNIZ</t>
  </si>
  <si>
    <t>1,30X2,10</t>
  </si>
  <si>
    <t>Área da esquadria vezes 2</t>
  </si>
  <si>
    <t>0,80X2,10X3</t>
  </si>
  <si>
    <t>1,00X2,10</t>
  </si>
  <si>
    <t>0,80X2,10</t>
  </si>
  <si>
    <t>APARELHOS SANITÁRIOS E METAIS</t>
  </si>
  <si>
    <t>FORNECIMENTO E INSTALAÇÃO DE BACIA SANITÁRIA</t>
  </si>
  <si>
    <t>FORNECIMENTO E INSTALAÇÃO DE BACIA SANITÁRIA COM CAIXA ACOPLADA</t>
  </si>
  <si>
    <t>Quantidade de peças que constam no Projeto Arquitetônico</t>
  </si>
  <si>
    <t xml:space="preserve">AMBIENTE </t>
  </si>
  <si>
    <t xml:space="preserve">QUANTIDADE </t>
  </si>
  <si>
    <t>FORNECIMENTO E INSTALAÇÃO DE LAVATÓRIO SEM COLUNA</t>
  </si>
  <si>
    <t>Banh. PNE Masc.</t>
  </si>
  <si>
    <t>Banh. PNE Fem.</t>
  </si>
  <si>
    <t>14.3</t>
  </si>
  <si>
    <t>FORNECIMENTO E INSTALAÇÃO DE LAVATÓRIO COM COLUNA SUSPENSA PARA PcD</t>
  </si>
  <si>
    <t>PcD Masculino</t>
  </si>
  <si>
    <t>Pcd Feminino</t>
  </si>
  <si>
    <t>Banh. Masc na sala dos Prof.</t>
  </si>
  <si>
    <t>Banh. Fem na sala dos Prof.</t>
  </si>
  <si>
    <t>14.4</t>
  </si>
  <si>
    <t>FORNECIMENTO E INSTALAÇÃO DE CUBA OVAL</t>
  </si>
  <si>
    <t>14.5</t>
  </si>
  <si>
    <t>FORNECIMENTO E INSTALAÇÃO DE TORNEIRA DE MESA PARA BANCADA OU LAVATÓRIO</t>
  </si>
  <si>
    <t>14.6</t>
  </si>
  <si>
    <t>FORNECIMENTO E INSTALAÇÃO DE TORNEIRA PARA LAVATÓRIO COM ALAVANCA PARA PCD</t>
  </si>
  <si>
    <t>PCD</t>
  </si>
  <si>
    <t>PcD Feminino</t>
  </si>
  <si>
    <t>14.7</t>
  </si>
  <si>
    <t>FORNECIMENTO E INSTALAÇÃO DE TORNEIRA PARA COZINHA</t>
  </si>
  <si>
    <t>14.8</t>
  </si>
  <si>
    <t>FORNECIMENTO E INSTALAÇÃO DE BARRAS DE APOIO PARA PcD</t>
  </si>
  <si>
    <t>14.8.1</t>
  </si>
  <si>
    <t>FORNECIMENTO E INSTALAÇÃO DE BARRAS DE APOIO PARA PcD - 40CM</t>
  </si>
  <si>
    <t>BARRA 40CM</t>
  </si>
  <si>
    <t>Banheiro PcD Fem.</t>
  </si>
  <si>
    <t>Banheiro PcD  Masc.</t>
  </si>
  <si>
    <t>TOTAL (Unid.)</t>
  </si>
  <si>
    <t>14.8.2</t>
  </si>
  <si>
    <t>FORNECIMENTO E INSTALAÇÃO DE BARRAS DE APOIO PARA PcD - 70CM</t>
  </si>
  <si>
    <t xml:space="preserve">BARRA 70CM </t>
  </si>
  <si>
    <t>Banheiro PcD Masc.</t>
  </si>
  <si>
    <t>14.8.3</t>
  </si>
  <si>
    <t>FORNECIMENTO E INSTALAÇÃO DE BARRAS DE APOIO PARA PcD - 80CM</t>
  </si>
  <si>
    <t>BARRA 80CM</t>
  </si>
  <si>
    <t>14.8.4</t>
  </si>
  <si>
    <t>FORNECIMENTO E INSTALAÇÃO DE SABONETEIRA</t>
  </si>
  <si>
    <t>Banheiro PcDFem.</t>
  </si>
  <si>
    <t>Banheiro Masc.</t>
  </si>
  <si>
    <t>Saboneteira - Imagem ilustrativa</t>
  </si>
  <si>
    <t>Banheiro Fem.</t>
  </si>
  <si>
    <t>14.8.5</t>
  </si>
  <si>
    <t>FORNECIMENTO E INSTALAÇÃO DE PORTA PAPEL TOALHA</t>
  </si>
  <si>
    <t>14.8.6</t>
  </si>
  <si>
    <t>FORNECIMENTO E INSTALAÇÃO DE PORTA PAPEL HIGIÊNICO</t>
  </si>
  <si>
    <t>Papeleira - Imagem ilustrativa</t>
  </si>
  <si>
    <t>14.8.7</t>
  </si>
  <si>
    <t>FORNECIMENTO E INSTALAÇÃO DE ESPELHOS DIMENSÃO 0,45M X 0,90M</t>
  </si>
  <si>
    <t>área m²</t>
  </si>
  <si>
    <t xml:space="preserve">Banh. Masc </t>
  </si>
  <si>
    <t xml:space="preserve">Banh. Fem </t>
  </si>
  <si>
    <t>14.9</t>
  </si>
  <si>
    <t>FORNECIMENTO E INSTALAÇÃO DE CUBAS DE INOX</t>
  </si>
  <si>
    <t>14.9.1</t>
  </si>
  <si>
    <t>FORNECIMENTO E INSTALAÇÃO DE CUBAS DE INOX 40X50X21</t>
  </si>
  <si>
    <t>DIMENSÃO (CM)</t>
  </si>
  <si>
    <t>INSTALAÇÃO DE ÁGUA FRIA</t>
  </si>
  <si>
    <t>INSTALAÇÕES DE ESGOTO</t>
  </si>
  <si>
    <t>DRENAGEM DE ÁGUAS PLUVIAIS</t>
  </si>
  <si>
    <t>INSTALAÇÃO DE PREVENÇÃO E COMBATE CONTRA INCÊNDIO E PÂNICO</t>
  </si>
  <si>
    <t>SISTEMA DE PROTEÇÃO CONTRA DESCARGAS ATMOSFÉRICAS - SPDA</t>
  </si>
  <si>
    <t>SERVIÇOS CONSTRUTIVOS COMPLEMENTARES</t>
  </si>
  <si>
    <t>21.1</t>
  </si>
  <si>
    <t>Conforme Projeto de cada Unidade</t>
  </si>
  <si>
    <t>Espessura de 7cm</t>
  </si>
  <si>
    <t>21.2</t>
  </si>
  <si>
    <t>MEIO FIO  DE CONCRETO MOLDADO "IN LOCO" - TRECHO RETO</t>
  </si>
  <si>
    <t>Rua 24A 27,48+ Rua 09 41,78</t>
  </si>
  <si>
    <t>21.3</t>
  </si>
  <si>
    <t>MEIO FIO  DE CONCRETO MOLDADO "IN LOCO" - TRECHO CURVO</t>
  </si>
  <si>
    <t>21.4</t>
  </si>
  <si>
    <t>FORNECIMENTO E ESPALHAMENTO DE TERRA VEGETAL, ESPESSURA 5CM</t>
  </si>
  <si>
    <t>Pátio Externo + Jardim Interno</t>
  </si>
  <si>
    <t>72,98+21,26+99,48+15,52</t>
  </si>
  <si>
    <t>Quantitativos retirados do Projeto Arquitetônico</t>
  </si>
  <si>
    <t>21.5</t>
  </si>
  <si>
    <t>FORNECIMENTO DE GRAMA ESMERALDA</t>
  </si>
  <si>
    <t>Pátio Externo</t>
  </si>
  <si>
    <t>72,98+21,26+99,48</t>
  </si>
  <si>
    <t>21.6</t>
  </si>
  <si>
    <t>FORNECIMENTO E PLANTIO DE FORROÇÃO (SINGÔNIO) - JARDIM INTERNO</t>
  </si>
  <si>
    <t>Pátio Interno</t>
  </si>
  <si>
    <t>21.7</t>
  </si>
  <si>
    <t>FORNECIMENTO E PLANTIO DE ÁRVORE ORNAMENTAL - IPE</t>
  </si>
  <si>
    <t>UNIDADES (TOTAL)</t>
  </si>
  <si>
    <t>Pátio externo + Patio Interno</t>
  </si>
  <si>
    <t>21.8</t>
  </si>
  <si>
    <t>FORNECIMENTO E PLANTIO DE ÁRVORE ORNAMENTAL - OITI</t>
  </si>
  <si>
    <t>21.9</t>
  </si>
  <si>
    <t>MURETA DE ALVENARIA PARA RECEBIMENTO DE GRADIL - ALTURA 40CM</t>
  </si>
  <si>
    <t>PERIM. TOTAL</t>
  </si>
  <si>
    <t>DESC. DE VÃOS</t>
  </si>
  <si>
    <t>24,90+44,70</t>
  </si>
  <si>
    <t>21.9.1</t>
  </si>
  <si>
    <t>CHAPISCO TRAÇO 1:3 - MURETA</t>
  </si>
  <si>
    <t>(24,90+44,70)X2</t>
  </si>
  <si>
    <t>(24,90+44,70)</t>
  </si>
  <si>
    <t>21.9.2</t>
  </si>
  <si>
    <t>EMBOÇO TRAÇO 1:4 - MURETA</t>
  </si>
  <si>
    <t>21.9.3</t>
  </si>
  <si>
    <t>REBOCO TRAÇO 1:2:8 - MURETA</t>
  </si>
  <si>
    <t>21.9.4</t>
  </si>
  <si>
    <t>SELADOR ACRÍLICO 01 DEMÃO - MURETA</t>
  </si>
  <si>
    <t>21.9.5</t>
  </si>
  <si>
    <t>TEXTURA ACRÍLICA - MURETA</t>
  </si>
  <si>
    <t>21.10</t>
  </si>
  <si>
    <t xml:space="preserve">FECHAMENTO EM GRADIL EM AÇO GALAVANIZADO PRÉ PINTADO </t>
  </si>
  <si>
    <t>21.11</t>
  </si>
  <si>
    <t>PISO INTERTRAVADO RETANGULAR - ESPESSURA 8CM</t>
  </si>
  <si>
    <t>21.12</t>
  </si>
  <si>
    <t>DEMARCAÇÃO DE PISO (SÍMBOLO CADEIRANTE)</t>
  </si>
  <si>
    <t>Consta no Projeto Arquitetônico duas vagas para PNE</t>
  </si>
  <si>
    <t>21.13</t>
  </si>
  <si>
    <t>DEMARCAÇÃO DE PISO (PINTURA ESTACIONAMENTO)</t>
  </si>
  <si>
    <t xml:space="preserve">PERÍMETRO </t>
  </si>
  <si>
    <t>7,70+(4,90X5)+20,8+(5X5)+(5,90X3)+((0,31+1,20+(1,41X6)+0,70)X2</t>
  </si>
  <si>
    <t>21.14</t>
  </si>
  <si>
    <t>FORNECIMENTO E INSTALAÇÃO DE PISO TÁTIL DIRECIONAL E DE ALERTA. DIMENSÕES 25CM X 25CM</t>
  </si>
  <si>
    <t>Quantidade determinada em Projeto Arquitetônico</t>
  </si>
  <si>
    <t>UNIDADES</t>
  </si>
  <si>
    <t>ÁREAL TOTAL</t>
  </si>
  <si>
    <t>PISO TÁTIL DIRECIONAL</t>
  </si>
  <si>
    <t>Piso de concreto 25x25cm</t>
  </si>
  <si>
    <t>PISO TÁTIL ALERTA</t>
  </si>
  <si>
    <t>21.15</t>
  </si>
  <si>
    <t>21.15.1</t>
  </si>
  <si>
    <t>CHAPISCO TRAÇO 1:3 PARA ALVENARIA - MURO</t>
  </si>
  <si>
    <t>(73,76+38,25)X2</t>
  </si>
  <si>
    <t>(73,76+38,25)</t>
  </si>
  <si>
    <t>21.15.2</t>
  </si>
  <si>
    <t>21.15.3</t>
  </si>
  <si>
    <t>21.15.4</t>
  </si>
  <si>
    <t>SELADOR ACRÍLICO 1 DEMÃO- MURO</t>
  </si>
  <si>
    <t>PINTURA COM TINTA LÁTEX ACRÍLICA 02 DEMÃOS - MURO</t>
  </si>
  <si>
    <t>21.16</t>
  </si>
  <si>
    <t>PAINEL DE MADEIRA SOBRE ESTRUTURA METÁLICA</t>
  </si>
  <si>
    <t>Ver projeto específico</t>
  </si>
  <si>
    <t>4,23+5,33</t>
  </si>
  <si>
    <t>Ver detalhamento específico</t>
  </si>
  <si>
    <t>21.17</t>
  </si>
  <si>
    <t>LETRA CAIXA</t>
  </si>
  <si>
    <t>ALTURA (CM)</t>
  </si>
  <si>
    <t>22.1</t>
  </si>
  <si>
    <t>LIMPEZA ÁREA INTERNA</t>
  </si>
  <si>
    <t>22.2</t>
  </si>
  <si>
    <t>LIMPEZA CALÇADAS</t>
  </si>
  <si>
    <t>Caçadas do interior do terreno</t>
  </si>
  <si>
    <t>Caçadas Rua 24-A e Rua 09</t>
  </si>
  <si>
    <t xml:space="preserve">LISTA DE MATERIAIS </t>
  </si>
  <si>
    <t>55 pç</t>
  </si>
  <si>
    <t>16 pç</t>
  </si>
  <si>
    <t>Condulete PVC encaixe tipo C 3/4"</t>
  </si>
  <si>
    <t>23 pç</t>
  </si>
  <si>
    <t>Condulete PVC encaixe tipo LL 3/4"</t>
  </si>
  <si>
    <t>Condulete PVC encaixe tipo LR 1"</t>
  </si>
  <si>
    <t>Condulete PVC encaixe tipo LR 3/4"</t>
  </si>
  <si>
    <t>Condulete PVC encaixe tipo T 1"</t>
  </si>
  <si>
    <t>Luva PVC encaixe 3/4"</t>
  </si>
  <si>
    <t>5 pç</t>
  </si>
  <si>
    <t>Rasgo em Alvenaria até 40mm</t>
  </si>
  <si>
    <t>8.55 m</t>
  </si>
  <si>
    <t>Cabo Unipolar (cobre) Isol. XLPE - 0,6/1kV  16 mm²</t>
  </si>
  <si>
    <t>20.9 m</t>
  </si>
  <si>
    <t>Cabo Unipolar (cobre) Isol. XLPE - 0,6/1kV  25 mm²</t>
  </si>
  <si>
    <t>83.6 m</t>
  </si>
  <si>
    <t>Cabo Unipolar (cobre) Isol.PVC - 450/750V   1.5 mm²</t>
  </si>
  <si>
    <t>544.8 m</t>
  </si>
  <si>
    <t>Cabo Unipolar (cobre) Isol.PVC - 450/750V   2.5 mm²</t>
  </si>
  <si>
    <t>860.6 m</t>
  </si>
  <si>
    <t>Cabo Unipolar (cobre) Isol.PVC - 450/750V   4 mm²</t>
  </si>
  <si>
    <t>398 m</t>
  </si>
  <si>
    <t>Caixa de passagem - embutir Aço pintada  300x300x120 mm</t>
  </si>
  <si>
    <t>Caixa de passagem - embutir Aço pintada  400x400x150 mm</t>
  </si>
  <si>
    <t>Interruptor simples - 1 tecla C/ Placa 2x4"</t>
  </si>
  <si>
    <t>Interruptor simples - 1 tecla C/ Placa 2x4" p/ 1 função</t>
  </si>
  <si>
    <t>Interruptor simples - 1 tecla C/ Placa 2x4" p/ 2 funções</t>
  </si>
  <si>
    <t>Interruptor simples - 1 tecla C/ Placa 2x4" p/ 3 funções</t>
  </si>
  <si>
    <t>Tomada hexagonal (NBR 14136) (2) 2P+T 10A - Baixa C/ Placa 2x4"</t>
  </si>
  <si>
    <t>19 pç</t>
  </si>
  <si>
    <t>Tomada hexagonal (NBR 14136) 2P+T 10A Alta C/ Placa 2x4"</t>
  </si>
  <si>
    <t>Tomada hexagonal (NBR 14136) 2P+T 10A Baixa C/ Placa 2x4"</t>
  </si>
  <si>
    <t>32 pç</t>
  </si>
  <si>
    <t>Tomada hexagonal (NBR 14136) 2P+T 10A Média C/ Placa 2x4"</t>
  </si>
  <si>
    <t>Interruptor 1 tecla paralela e tomada hexagonal (NBR14136) S/ placa</t>
  </si>
  <si>
    <t>Interruptor 1 tecla simples e tomada hexagonal (NBR14136) S/ placa</t>
  </si>
  <si>
    <t>Interruptor 2 teclas - simples e paralela separadas S/ placa</t>
  </si>
  <si>
    <t>Tomada hexagonal (NBR 14136) 2P+T 10A S/ placa</t>
  </si>
  <si>
    <t>Tampa  PVC p/ condulete cega</t>
  </si>
  <si>
    <t>Relé fotoelétrico 127V - 1200W resistivo c/ fotocélula</t>
  </si>
  <si>
    <t>Disjuntor Tripolar Termomagnético - norma DIN   100A - 10 kA</t>
  </si>
  <si>
    <t>Disjuntor Unipolar Termomagnético - norma DIN   10 A - 10 kA</t>
  </si>
  <si>
    <t>Disjuntor bipolar termomagnético (220 V/127 V) - DIN   10 A - 5 kA</t>
  </si>
  <si>
    <t>Disjuntor bipolar termomagnético (380 V/220 V) - DIN  16 A - 4.5 kA</t>
  </si>
  <si>
    <t>Disjuntor tripolar termomagnético (220 V/127 V) - DIN  100 A - 40 kA</t>
  </si>
  <si>
    <t>76 pç</t>
  </si>
  <si>
    <t>26 pç</t>
  </si>
  <si>
    <t>Eletroduto  PVC encaixe vara 3,0m 3/4"</t>
  </si>
  <si>
    <t>15.9 m</t>
  </si>
  <si>
    <t>Eletroduto  PVC encaixe vara 3,0m 3/4" em forro</t>
  </si>
  <si>
    <t>65 m</t>
  </si>
  <si>
    <t>Eletroduto PVC flexível leve 1"</t>
  </si>
  <si>
    <t>10 m</t>
  </si>
  <si>
    <t>Eletroduto PVC flexível leve 3/4"</t>
  </si>
  <si>
    <t>277.25 m</t>
  </si>
  <si>
    <t>Eletroduto PVC flexível leve 3/4" em parede</t>
  </si>
  <si>
    <t>Eletroduto PVC flexível pesado 1.1/2"</t>
  </si>
  <si>
    <t>Entrada de serviço - CEMAT (Multiplex) Trifásico T4</t>
  </si>
  <si>
    <t>Luminária embutir p/ fluoresc. Tubular 4x20 W</t>
  </si>
  <si>
    <t>Refletores 10W</t>
  </si>
  <si>
    <t>11 pç</t>
  </si>
  <si>
    <t>Refletores 50W</t>
  </si>
  <si>
    <t>3 pç</t>
  </si>
  <si>
    <t>Lâmpadas Tubular Led 20W</t>
  </si>
  <si>
    <t>92 pç</t>
  </si>
  <si>
    <t>Quadro distrib. chapa pintada - embutir Barr. trif., disj. geral - DIN  Cap. 32 disj. unip. - In barr. 150A</t>
  </si>
  <si>
    <t xml:space="preserve">CABEAMENTO ESTRUTURADO </t>
  </si>
  <si>
    <t>Conector RJ45 (CM8v)</t>
  </si>
  <si>
    <t>PABX 50/300</t>
  </si>
  <si>
    <t>Plugue 110 IDC - 4 pares</t>
  </si>
  <si>
    <t>Plugue RJ45 (CM8v)</t>
  </si>
  <si>
    <t>59 pç</t>
  </si>
  <si>
    <t>Switch (10/100)BaseTX + (1000)Base T (24 + 2) portas</t>
  </si>
  <si>
    <t>Guia de cabos aberto 1U</t>
  </si>
  <si>
    <t>Guia de cabos simples P/ Rack aberto 19"</t>
  </si>
  <si>
    <t>Guias de cabos vertical P/ Rack aberto 19"</t>
  </si>
  <si>
    <t>Condulete alum. encaixe tipo C 1" sem tampa</t>
  </si>
  <si>
    <t>Cabo FTP-5e Blindado (24AWG)</t>
  </si>
  <si>
    <t>84 m</t>
  </si>
  <si>
    <t>Cabo UTP-5e (24AWG)</t>
  </si>
  <si>
    <t>563.5 m</t>
  </si>
  <si>
    <t>Caixa de passagem - embutir Alvenaria 400x400x400mm</t>
  </si>
  <si>
    <t>Caixa de passagem - embutir Alvenaria c/ Tampa 400x400x50mm</t>
  </si>
  <si>
    <t>Caixa de passagem - sobrepor Aço pintada   250x250x100 mm</t>
  </si>
  <si>
    <t>Caixa de passagem - sobrepor Aço pintada   400x400x150 mm</t>
  </si>
  <si>
    <t>1 MÓDULOS RJ45 CAT 6 - CAIXA DE PVC 4X2 ALTA EMBUTIR c/ Placa 2x4" - Branca</t>
  </si>
  <si>
    <t>1 módulo - RJ45 c/ Placa 2x4" - Branca</t>
  </si>
  <si>
    <t>2 MÓDULOS RJ45 CAT 6 - CONDULETE PVC TIPO C 1" c/ Placa 2x4" - Branca</t>
  </si>
  <si>
    <t xml:space="preserve">2 módulos - RJ45 c/ Placa 2x4" - Branca </t>
  </si>
  <si>
    <t>31 pç</t>
  </si>
  <si>
    <t>Eletroduto PVC encaixe vara 3,0m 3/4" em forro</t>
  </si>
  <si>
    <t>22.6 m</t>
  </si>
  <si>
    <t>38.6 m</t>
  </si>
  <si>
    <t>68.5 m</t>
  </si>
  <si>
    <t>Eletroduto PVC pesado 1.1/4"</t>
  </si>
  <si>
    <t>15.5 m</t>
  </si>
  <si>
    <t>Rack Aberto padrão - 19" 12U</t>
  </si>
  <si>
    <t xml:space="preserve">SPDA </t>
  </si>
  <si>
    <t>Barramento de equipotencialização 5 terminais</t>
  </si>
  <si>
    <t>Caixa de inspeção PVC - Ø250x250mm</t>
  </si>
  <si>
    <t>Haste de aterramento - cobreada 3/4" x 2,40m</t>
  </si>
  <si>
    <t>Haste de aterramento - cobreada 3/4" x 3,00m</t>
  </si>
  <si>
    <t>Cabo de cobre Nú - 7 fios 25mm²</t>
  </si>
  <si>
    <t>7.69 m</t>
  </si>
  <si>
    <t>Cabo de cobre Nú - 7 fios 35mm²</t>
  </si>
  <si>
    <t>137.93 m</t>
  </si>
  <si>
    <t>Cabo de cobre Nú - 7 fios 50mm²</t>
  </si>
  <si>
    <t>107.93 m</t>
  </si>
  <si>
    <t>Terminal Aéreo 600 mm - Fixação horizontal</t>
  </si>
  <si>
    <t>28 pç</t>
  </si>
  <si>
    <t>ESTRUTURA EM CONCRETO ARMADO</t>
  </si>
  <si>
    <t>ITENS GERAIS</t>
  </si>
  <si>
    <t>ESCAVAÇÃO  DO TUBULÃO</t>
  </si>
  <si>
    <t>M3</t>
  </si>
  <si>
    <t>ESCAVAÇÃO  DAS VIGAS BALDRAMES (CONSIDERADO VOLUME DE CONCRETO DAS BALDRAMES, DIVIDIDO PELA LARGURA DAS VIGAS (15 CM) E MULTIPLICADO PELA LARGURA DA VALA (55 CM))</t>
  </si>
  <si>
    <t xml:space="preserve">REATERRO DAS VIGAS BALDRAMES (ESCAVAÇÃO DAS BALDRAMES - VOLUME DE CONCRETO DAS BALDRAMES) </t>
  </si>
  <si>
    <t>BOTAFORA MATERIAL  (CONSIDERADO 40% DE EMPOLAMENTO)</t>
  </si>
  <si>
    <t>APILOAMENTO DE FUNDO DOS TUBULÃO</t>
  </si>
  <si>
    <t>M2</t>
  </si>
  <si>
    <t>APILOAMENTO DE FUNDO DAS VIGAS BALDRAMES (CONSIDERADO ÁREA ESCAVADA - (VOLUME DE ESCAVAÇÃO DIVIDIDO PELA ALTURA DAS VIGAS) + LASTRO DE BRITA</t>
  </si>
  <si>
    <t>IMPERMEABILIZAÇÃO (CONSIDERADO FACE LATERAL E TOPO DAS VIGAS BALDRAMES)</t>
  </si>
  <si>
    <t>TUBULÃO DE FUNDAÇÃO</t>
  </si>
  <si>
    <t>FORMA PARA FUNDAÇÃO</t>
  </si>
  <si>
    <t>VOLUME DE CONCRETO FCK=25MPA</t>
  </si>
  <si>
    <t>LANÇAMENTO DE CONCRETO</t>
  </si>
  <si>
    <t>AÇO CA60 - 5mm</t>
  </si>
  <si>
    <t>KG</t>
  </si>
  <si>
    <t>AÇO CA50 - 10mm</t>
  </si>
  <si>
    <t>AÇO CA50 - 12.5mm</t>
  </si>
  <si>
    <t>AÇO CA50 - 16mm</t>
  </si>
  <si>
    <t>FORMA</t>
  </si>
  <si>
    <t>AÇO CA50 - 8mm</t>
  </si>
  <si>
    <t>AÇO CA60 - 5.0mm</t>
  </si>
  <si>
    <t>AÇO CA50 - 6.3mm</t>
  </si>
  <si>
    <t>VIGA DE RESPALDO</t>
  </si>
  <si>
    <t>AÇO CA50 - 20mm</t>
  </si>
  <si>
    <t>VIGA DE PLATIBANDA</t>
  </si>
  <si>
    <t>ESTRUTURA METÁLICA P/ FACHADA</t>
  </si>
  <si>
    <t>ESTRUTURA METÁLICA  - AÇO ASTM A36, ELETRODO E70XX</t>
  </si>
  <si>
    <t>PINTURA P/ EST. METÁLICA (PINTURA COM ESMALTE SINTÉTICO)</t>
  </si>
  <si>
    <t>AÇO CA50 - 10mm (CHUMBADORES DA PLACA BASE)</t>
  </si>
  <si>
    <t>PLACA BASE - AÇO ASTM A36</t>
  </si>
  <si>
    <t>EXECUÇÃO DE ESCRITÓRIO EM CANTEIRO DE OBRA EM CHAPA DE MADEIRA COMPENSADA, NÃO INCLUSO MOBILIÁRIO E EQUIPAMENTOS. AF_02/2016</t>
  </si>
  <si>
    <t>EXECUÇÃO DE REFEITÓRIO EM CANTEIRO DE OBRA EM CHAPA DE MADEIRA COMPENSADA, NÃO INCLUSO MOBILIÁRIO E EQUIPAMENTOS. AF_02/2016</t>
  </si>
  <si>
    <t>ALARGAMENTO DE BASE DE TUBULÃO A CÉU ABERTO, ESCAVAÇÃO MANUAL, CONCRETO USINADO E LANÇADO COM BOMBA OU DIRETAMENTE DO CAMINHÃO. AF_05/2020</t>
  </si>
  <si>
    <t>4.2.1</t>
  </si>
  <si>
    <t>Composição de referência para os coeficientes de consumo: 74202/001-CPOS 09.02.100-MAR/2021</t>
  </si>
  <si>
    <t>FORMA EM COMPENSADO PARA ENCAMISAMENTO DE TUBULÃO</t>
  </si>
  <si>
    <t>LANÇAMENTO DE CONCRETO CONVENCIONAL EM FUNDAÇÕES</t>
  </si>
  <si>
    <t>Composição de referência para os coeficientes de consumo: 40.16.01/SUDECAP-FEV/2021</t>
  </si>
  <si>
    <t>ARMAÇÃO DE FUSTE DE TUBULÃO EM AÇO CA-50 COM APOIO DE GUIINDASTE - FORNECIMENTO , PREPARO E COLOCAÇÃO</t>
  </si>
  <si>
    <t>Equipamentos</t>
  </si>
  <si>
    <t>Composição de referência para os coeficientes de consumo: 6106220/SICRO-OUT/2020</t>
  </si>
  <si>
    <t>TEMPO FIXO</t>
  </si>
  <si>
    <t>AJUDANTE DE ARMADOR COM ENCARGOS COMPLEMENTARES</t>
  </si>
  <si>
    <t>ARMADOR COM ENCARGOS COMPLEMENTARES</t>
  </si>
  <si>
    <t>GUINDASTE HIDRÁULICO AUTOPROPELIDO, COM LANÇA TELESCÓPICA 40 M, CAPACIDADE MÁXIMA 60 T, POTÊNCIA 260 KW - CHP DIURNO. AF_03/2016</t>
  </si>
  <si>
    <t>BALDRAME</t>
  </si>
  <si>
    <t>TOMADA MÉDIA DE EMBUTIR (1 MÓDULO), 2P+T - 10A, INCLUINDO SUPORTE E PLACA - FORNECIMENTO E INSTALAÇÃO. AF_12/2015</t>
  </si>
  <si>
    <t>TOMADA ALTA DE EMBUTIR (1 MÓDULO), 2P+T - 10A, INCLUINDO SUPORTE E PLACA - FORNECIMENTO E INSTALAÇÃO. AF_12/2015</t>
  </si>
  <si>
    <t>COMP ESTR 04</t>
  </si>
  <si>
    <t>4.4.6</t>
  </si>
  <si>
    <t>4.5.8</t>
  </si>
  <si>
    <t>4.5.9</t>
  </si>
  <si>
    <t>4.5.10</t>
  </si>
  <si>
    <t>4.6</t>
  </si>
  <si>
    <t>VIGAS DE PLATIBANDA</t>
  </si>
  <si>
    <t>4.6.1</t>
  </si>
  <si>
    <t>4.6.2</t>
  </si>
  <si>
    <t>4.6.5</t>
  </si>
  <si>
    <t>4.6.3</t>
  </si>
  <si>
    <t>4.6.4</t>
  </si>
  <si>
    <t>FECHAMENTOS EM ALVENARIA</t>
  </si>
  <si>
    <t>6.2</t>
  </si>
  <si>
    <t>10.1.1</t>
  </si>
  <si>
    <t>TELHAMENTO E ACESSÓRIOS</t>
  </si>
  <si>
    <t>10.2.1</t>
  </si>
  <si>
    <t>5.2</t>
  </si>
  <si>
    <t>ESQUADRIAS DE MADEIRA</t>
  </si>
  <si>
    <t>ESQUADRIAS DE ALUMÍNIO</t>
  </si>
  <si>
    <t>8.1.1</t>
  </si>
  <si>
    <t>8.1.2</t>
  </si>
  <si>
    <t>8.2.2</t>
  </si>
  <si>
    <t>8.2.3</t>
  </si>
  <si>
    <t>8.2.4</t>
  </si>
  <si>
    <t>8.2.5</t>
  </si>
  <si>
    <t>8.2.6</t>
  </si>
  <si>
    <t>9.1.1</t>
  </si>
  <si>
    <t>9.1.2</t>
  </si>
  <si>
    <t>PINTURA EM AMBIENTES INTERNOS</t>
  </si>
  <si>
    <t>PINTURA EM AMBIENTES EXTERNOS</t>
  </si>
  <si>
    <t>9.2.1</t>
  </si>
  <si>
    <t>9.2.2</t>
  </si>
  <si>
    <t>INSTALAÇÕES ELÉTRICAS EM BAIXA TENSÃO</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</si>
  <si>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</si>
  <si>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</si>
  <si>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</si>
  <si>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</si>
  <si>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</si>
  <si>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</si>
  <si>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</si>
  <si>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</si>
  <si>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</si>
  <si>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</si>
  <si>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</si>
  <si>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</si>
  <si>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</si>
  <si>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</si>
  <si>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</si>
  <si>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</si>
  <si>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</si>
  <si>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</si>
  <si>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</si>
  <si>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</si>
  <si>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</si>
  <si>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</si>
  <si>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</si>
  <si>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</si>
  <si>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</si>
  <si>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</si>
  <si>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11.1.28</t>
  </si>
  <si>
    <t>11.1.29</t>
  </si>
  <si>
    <t>11.2.1</t>
  </si>
  <si>
    <t>11.2.2</t>
  </si>
  <si>
    <t>11.2.3</t>
  </si>
  <si>
    <t>11.2.4</t>
  </si>
  <si>
    <t>11.2.5</t>
  </si>
  <si>
    <t>11.2.6</t>
  </si>
  <si>
    <t>11.2.7</t>
  </si>
  <si>
    <t>11.2.8</t>
  </si>
  <si>
    <t>11.2.10</t>
  </si>
  <si>
    <t>11.2.11</t>
  </si>
  <si>
    <t>11.2.12</t>
  </si>
  <si>
    <t>11.2.13</t>
  </si>
  <si>
    <t>SPDA</t>
  </si>
  <si>
    <t>14.10</t>
  </si>
  <si>
    <t>14.11</t>
  </si>
  <si>
    <t>14.12</t>
  </si>
  <si>
    <t>14.13</t>
  </si>
  <si>
    <t>14.14</t>
  </si>
  <si>
    <t>15.1.1</t>
  </si>
  <si>
    <t>15.1.2</t>
  </si>
  <si>
    <t>15.1.3</t>
  </si>
  <si>
    <t>15.1.4</t>
  </si>
  <si>
    <t>15.1.5</t>
  </si>
  <si>
    <t>15.1.6</t>
  </si>
  <si>
    <t>15.1.7</t>
  </si>
  <si>
    <t>15.1.8</t>
  </si>
  <si>
    <t>15.1.9</t>
  </si>
  <si>
    <t>15.1.10</t>
  </si>
  <si>
    <t>15.1.11</t>
  </si>
  <si>
    <t>15.1.12</t>
  </si>
  <si>
    <t>15.1.13</t>
  </si>
  <si>
    <t>15.1.14</t>
  </si>
  <si>
    <t>15.1.15</t>
  </si>
  <si>
    <t>15.1.16</t>
  </si>
  <si>
    <t>15.1.17</t>
  </si>
  <si>
    <t>15.1.18</t>
  </si>
  <si>
    <t>15.1.19</t>
  </si>
  <si>
    <t>15.2.1</t>
  </si>
  <si>
    <t>15.2.1.1</t>
  </si>
  <si>
    <t>15.2.1.2</t>
  </si>
  <si>
    <t>15.2.1.3</t>
  </si>
  <si>
    <t>15.2.1.4</t>
  </si>
  <si>
    <t>15.2.1.5</t>
  </si>
  <si>
    <t>15.2.1.6</t>
  </si>
  <si>
    <t>15.2.1.7</t>
  </si>
  <si>
    <t>15.2.2</t>
  </si>
  <si>
    <t>15.2.2.1</t>
  </si>
  <si>
    <t>15.2.2.2</t>
  </si>
  <si>
    <t>15.2.2.3</t>
  </si>
  <si>
    <t>15.2.2.4</t>
  </si>
  <si>
    <t>15.2.2.5</t>
  </si>
  <si>
    <t>15.2.2.6</t>
  </si>
  <si>
    <t>15.2.2.7</t>
  </si>
  <si>
    <t>15.2.2.8</t>
  </si>
  <si>
    <t>15.2.2.9</t>
  </si>
  <si>
    <t>15.2.2.10</t>
  </si>
  <si>
    <t>15.2.2.11</t>
  </si>
  <si>
    <t>15.2.2.12</t>
  </si>
  <si>
    <t>17.5</t>
  </si>
  <si>
    <t>17.6</t>
  </si>
  <si>
    <t>18.2</t>
  </si>
  <si>
    <t>18.3</t>
  </si>
  <si>
    <t>18.4</t>
  </si>
  <si>
    <t>18.5</t>
  </si>
  <si>
    <t>18.6</t>
  </si>
  <si>
    <t>5.3</t>
  </si>
  <si>
    <t>5.4</t>
  </si>
  <si>
    <t>5.5</t>
  </si>
  <si>
    <t>5.6</t>
  </si>
  <si>
    <t>5.7</t>
  </si>
  <si>
    <t>5.8</t>
  </si>
  <si>
    <t>6.3</t>
  </si>
  <si>
    <t>6.4</t>
  </si>
  <si>
    <t>6.5</t>
  </si>
  <si>
    <t>6.6</t>
  </si>
  <si>
    <t>6.7</t>
  </si>
  <si>
    <t>9.2.3</t>
  </si>
  <si>
    <t>9.1.3</t>
  </si>
  <si>
    <t>9.1.4</t>
  </si>
  <si>
    <t>9.1.5</t>
  </si>
  <si>
    <t>ANDREIA ARAGÃO</t>
  </si>
  <si>
    <t>PEDRO SANTO</t>
  </si>
  <si>
    <t>RENAN PARIS</t>
  </si>
  <si>
    <t>MURILO REBELATO</t>
  </si>
  <si>
    <t>ADELMO</t>
  </si>
  <si>
    <t>LAJES MACIÇAS</t>
  </si>
  <si>
    <t>LAJES PRE MOLDADAS</t>
  </si>
  <si>
    <t>4.4.7</t>
  </si>
  <si>
    <t>FORNECIMENTO DE ESTRUTURA METÁLICA PARA COBERTURA EM PERFIS DE AÇO ASTM A36, INCLUSIVE PINTURA ANTICORROSIVA (ZARCÃO)</t>
  </si>
  <si>
    <t>SERRALHEIRO COM ENCARGOS COMPLEMENTARES</t>
  </si>
  <si>
    <t>AUXILIAR DE SERRALHEIRO COM ENCARGOS COMPLEMENTARES</t>
  </si>
  <si>
    <t>AJUDANTE DE PINTOR COM ENCARGOS COMPLEMENTARES</t>
  </si>
  <si>
    <t>AJUDANTE DE ESTRUTURA METÁLICA COM ENCARGOS COMPLEMENTARES</t>
  </si>
  <si>
    <t>SOLDADOR COM ENCARGOS COMPLEMENTARES</t>
  </si>
  <si>
    <t/>
  </si>
  <si>
    <t>MATERIAIS</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</si>
  <si>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</si>
  <si>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</si>
  <si>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PERFIL "U" ENRIJECIDO DE ACO GALVANIZADO, DOBRADO, 150 X 60 X 20 MM, E = 3,00 MM OU 200 X 75 X 25 MM, E = 3,75 MM</t>
  </si>
  <si>
    <t xml:space="preserve">KG    </t>
  </si>
  <si>
    <t>BARRA DE FERRO CHATA, RETANGULAR (QUALQUER BITOLA)</t>
  </si>
  <si>
    <t>FUNDO ANTICORROSIVO PARA METAIS FERROSOS (ZARCAO)</t>
  </si>
  <si>
    <t xml:space="preserve">L     </t>
  </si>
  <si>
    <t>ELETRODO REVESTIDO AWS - E7018, DIAMETRO IGUAL A 4,00 MM</t>
  </si>
  <si>
    <t xml:space="preserve">MONTAGEM DE ESTRUTURA METÁLICA </t>
  </si>
  <si>
    <t>MONTADOR DE ESTRUTURA METÁLICA COM ENCARGOS COMPLEMENTARES</t>
  </si>
  <si>
    <t>GUINDASTE HIDRÁULICO AUTOPROPELIDO, COM LANÇA TELESCÓPICA 28,80 M, CAPACIDADE MÁXIMA 30 T, POTÊNCIA 97 KW, TRAÇÃO 4 X 4 - CHP DIURNO. AF_11/2014</t>
  </si>
  <si>
    <t>COMP ESTR 05</t>
  </si>
  <si>
    <t>COMP ESTR 06</t>
  </si>
  <si>
    <t>Composição de referência para os coeficientes de consumo: 15505 - SIURB - SÃO PAULO - SP - 01/2021</t>
  </si>
  <si>
    <t>FORNECIMENTO E COLOCAÇÃO DE CHUMBADOR PARABOLT WALSYWA CBPL 14300 1/4" OU EQUIVALENTE</t>
  </si>
  <si>
    <t xml:space="preserve">UN </t>
  </si>
  <si>
    <t xml:space="preserve">PARAFUSO DE ACO TIPO CHUMBADOR PARABOLT, WALSYWA CBPL 14300 1/4" </t>
  </si>
  <si>
    <t>NOME CONTATO</t>
  </si>
  <si>
    <t>COMP ESTR 07</t>
  </si>
  <si>
    <t>Composição de referência para os coeficientes de consumo: 15512 - SIURB - SÃO PAULO - SP - 01/2021</t>
  </si>
  <si>
    <t>Composição de referência para os coeficientes de consumo: 16.45.002 - FDE - SÃO PAULO - SP - 01/2021</t>
  </si>
  <si>
    <t>17.1.1</t>
  </si>
  <si>
    <t>17.1.2</t>
  </si>
  <si>
    <t>17.1.3</t>
  </si>
  <si>
    <t>17.1.4</t>
  </si>
  <si>
    <t>17.1.5</t>
  </si>
  <si>
    <t>17.1.6</t>
  </si>
  <si>
    <t>17.1.7</t>
  </si>
  <si>
    <t>17.2.4</t>
  </si>
  <si>
    <t>17.3.1</t>
  </si>
  <si>
    <t>17.3.2</t>
  </si>
  <si>
    <t>17.3.3</t>
  </si>
  <si>
    <t>17.3.4</t>
  </si>
  <si>
    <t>17.3.5</t>
  </si>
  <si>
    <t>17.4.1</t>
  </si>
  <si>
    <t>17.4.2</t>
  </si>
  <si>
    <t>17.4.3</t>
  </si>
  <si>
    <t>17.4.4</t>
  </si>
  <si>
    <t>17.4.5</t>
  </si>
  <si>
    <t>17.5.1</t>
  </si>
  <si>
    <t>17.5.2</t>
  </si>
  <si>
    <t>17.5.3</t>
  </si>
  <si>
    <t>17.6.1</t>
  </si>
  <si>
    <t>17.6.2</t>
  </si>
  <si>
    <t>16.4</t>
  </si>
  <si>
    <t xml:space="preserve">L1, L2 e L4 </t>
  </si>
  <si>
    <t>10.1.2</t>
  </si>
  <si>
    <t>10.1.3</t>
  </si>
  <si>
    <t>10.1.4</t>
  </si>
  <si>
    <t>LEVANTAMENTO QUANTITATIVO DA SEMA DUDS TANGARÁ DA SERRA - R01</t>
  </si>
  <si>
    <t>LAJES TRELIÇADAS TR10644</t>
  </si>
  <si>
    <t>LAJE TRELIÇADA COM ENCHIMENTO EM EPS UNIDIRECIONAL B10/40/49</t>
  </si>
  <si>
    <t>LAJE TRELIÇADA (TR 10644) COM ENCHIMENTO EM EPS UNIDIRECIONAL B10/40/49</t>
  </si>
  <si>
    <t>PONTALETE *7,5 X 7,5* CM EM PINUS, MISTA OU EQUIVALENTE DA REGIAO - BRUTA</t>
  </si>
  <si>
    <t>PREGO DE ACO POLIDO COM CABECA 18 X 27 (2 1/2 X 10)</t>
  </si>
  <si>
    <t>TABUA NAO APARELHADA *2,5 X 30* CM, EM MACARANDUBA, ANGELIM OU EQUIVALENTE DA REGIAO - BRUTA</t>
  </si>
  <si>
    <t>J1,J2,J4 e J5</t>
  </si>
  <si>
    <t>P7 e P8</t>
  </si>
  <si>
    <t>PORTA EM ALUMÍNIO DE ABRIR TIPO VENEZIANA COM GUARNIÇÃO, FIXAÇÃO COM PARAFUSOS - FORNECIMENTO E INSTALAÇÃO. AF_12/2019</t>
  </si>
  <si>
    <t>P5 - 2 folhas</t>
  </si>
  <si>
    <t>PORTA DE ABRIR EM ALUMÍNIO E VIDRO 8MM  - 2 FOLHAS</t>
  </si>
  <si>
    <r>
      <rPr>
        <b/>
        <sz val="10"/>
        <rFont val="Arial"/>
        <family val="2"/>
      </rPr>
      <t xml:space="preserve">JUSTIFICATIVA: </t>
    </r>
    <r>
      <rPr>
        <sz val="9"/>
        <rFont val="Arial"/>
        <family val="2"/>
      </rPr>
      <t>FOI RETIRADO DA COMPOSIÇAO UNITÁTIA O AÇO EM VERGALHÃO E USADA NA PLANILHA A ARMAÇÃO DE LAJE  COM OS QUANTITATIVOS DE PROJETO</t>
    </r>
  </si>
  <si>
    <t>PORTA DE MADEIRA 1,00 X 2,10 M; COM SUPORTE PARA PCD</t>
  </si>
  <si>
    <t>KIT DE PORTA DE MADEIRA PARA PINTURA, SEMI-OCA (PESADA OU SUPERPESADA), PADRÃO MÉDIO, 80X210CM, ESPESSURA DE 3,5CM, ITENS INCLUSOS: DOBRADIÇAS, MONTAGEM E INSTALAÇÃO DO BATENTE, FECHADURA COM EXECUÇÃO DO FURO - FORNECIMENTO E INSTALAÇÃO. AF_12/2019</t>
  </si>
  <si>
    <t xml:space="preserve">FORNECIMENTO E INSTALAÇÃO DE GRADIL METÁLICO </t>
  </si>
  <si>
    <t>FORNECIMENTO E INSTALAÇÃO DE PORTÃO DE CORRER DE  3,90X2,45 M, COM ACIONAMENTO ELÉTRICO</t>
  </si>
  <si>
    <t>ESQUADRIAS EM FERRO</t>
  </si>
  <si>
    <t>FACHADA</t>
  </si>
  <si>
    <t>18.7</t>
  </si>
  <si>
    <t>18.8</t>
  </si>
  <si>
    <t>18.9</t>
  </si>
  <si>
    <t>18.10</t>
  </si>
  <si>
    <t>18.12</t>
  </si>
  <si>
    <t>18.13</t>
  </si>
  <si>
    <t>18.14</t>
  </si>
  <si>
    <t>COMP 05</t>
  </si>
  <si>
    <t xml:space="preserve">PORTA EM ALUMÍNIO ANODIZADO DE ABRIR, 2 FOLHAS, PARA VIDRO COM GUARNIÇÃO, INCLUSIVE VIDROS - FORNECIMENTO E INSTALAÇÃO. </t>
  </si>
  <si>
    <t>Composição de referência para os coeficientes de consumo: 1821/ORSE-DEZ/2020</t>
  </si>
  <si>
    <t>P1 - 2 folhas</t>
  </si>
  <si>
    <t>FORNECIMENTO E INSTALAÇÃO DE MOTOR PARA ACIONAMENTO ELÉTRICO DE PORTÃO COM DOIS CONTROLES REMOTOS</t>
  </si>
  <si>
    <t>FORNECIMENTO E INSTALAÇÃO MOTOR PARA ACIONAMENTO ELÉTRICO DE PORTÃO COM DOIS CONTROLES REMOTOS</t>
  </si>
  <si>
    <t xml:space="preserve">P3 </t>
  </si>
  <si>
    <t xml:space="preserve">FORNECIMENTO E INSTALAÇÃO DE MOTOR PARA ACIONAMENTO ELÉTRICO DE PORTÃO </t>
  </si>
  <si>
    <t>PORTA DE ABRIR DE FERRO EM CHAPA CORRUGADA, COM DUAS FOLHAS, DE 1,60X2,10 M</t>
  </si>
  <si>
    <t>CÁLCULA-SE EM VOLUME (m³) MULTIPLICANDO A ÁREA DO TERRENO A SER LIMPA E DESTOCADA POR UMA ALTURA DE 20 CM E SE FOR SOMENTE LIMPEZA SEM DESTOCAR ESSA ALTURA É DE 15 CM.</t>
  </si>
  <si>
    <t>33,36 - 3,36=30m</t>
  </si>
  <si>
    <t>57,30 - 23 = 34,30</t>
  </si>
  <si>
    <t>APILOAMENTO DE SOLO, PARA RECEBIMENTO DE LASTRO, COM MAÇO DE 30KG</t>
  </si>
  <si>
    <t>REVESTIMENTO CERÂMICO PARA PISO COM PLACAS TIPO PORCELANATO DE DIMENSÕES 60X60 CM APLICADA EM AMBIENTES DE ÁREA MENOR QUE 5 M². AF_06/2014</t>
  </si>
  <si>
    <t>REVESTIMENTO CERÂMICO PARA PISO COM PLACAS TIPO PORCELANATO DE DIMENSÕES 60X60 CM APLICADA EM AMBIENTES DE ÁREA MAIOR QUE 10 M². AF_06/2014</t>
  </si>
  <si>
    <t>Composição de referência para os coeficientes de consumo: 88650/SINAPI - ABR/21</t>
  </si>
  <si>
    <t>RODAPÉ EMBUTIDO EM PORCELANATO RETIFICADO, COR CINZA CLARO, PIV, ALTURA DE 15 CM, DIMENSÕES DE 60CMX60CM. REJUNTE CINZA</t>
  </si>
  <si>
    <t>AZULEJISTA OU LADRILHISTA COM ENCARGOS COMPLEMENTARES</t>
  </si>
  <si>
    <t>REJUNTE CIMENTICIO, QUALQUER COR</t>
  </si>
  <si>
    <t>ARGAMASSA COLANTE AC I PARA CERAMICA</t>
  </si>
  <si>
    <t>ALVENARIA DE VEDAÇÃO COM ELEMENTO VAZADO DE CONCRETO (COBOGÓ) DE 7X50X50CM E ARGAMASSA DE ASSENTAMENTO COM PREPARO EM BETONEIRA. AF_05/2020</t>
  </si>
  <si>
    <t>H= 0,07m -------- 0,188 m²                                                                                 H=0,15m ------- X                                                                                                                      X = 0,4028 m²</t>
  </si>
  <si>
    <t>GUIA (MEIO-FIO) CONCRETO, MOLDADA IN LOCO EM TRECHO RETO COM EXTRUSORA, 15 CM BASE X 30 CM ALTURA. AF_06/2016</t>
  </si>
  <si>
    <t>FORNECIMENTO E INSTALAÇÃO DE BARRA DE APOIO RETA,EM ALUMÍNIO,40 CM-FIXADA COMO SUPORTE EM PORTA DE MADEIRA PARA PCD E EM PAREDE</t>
  </si>
  <si>
    <t>SABONETEIRA PLASTICA TIPO DISPENSER PARA SABONETE LIQUIDO COM RESERVATORIO 800 A 1500 ML, INCLUSO FIXAÇÃO. AF_01/2020</t>
  </si>
  <si>
    <t>ESPELHO PARA BANHEIRO ESPESSURA 4 MM, INCLUINDO CHAPA COMPENSADA 10 MM, MOLDURA DEE ALUMÍNIO EM PERFIL 3/4", FIXADO COM PARAFUSOS CROMADOS.</t>
  </si>
  <si>
    <t>Composição de referência para os coeficientes de consumo:080201/IOPES - 02/2021</t>
  </si>
  <si>
    <t>PISO PODOTÁTIL,DIRECIONAL OU ALERTA,ASSENTADO SOBRE ARGAMASSA.  AF_05/2020</t>
  </si>
  <si>
    <t>311 un * 0,25m = 77,75</t>
  </si>
  <si>
    <t>metros</t>
  </si>
  <si>
    <t>COMP 20</t>
  </si>
  <si>
    <t>PORTA PAPEL HIGIÊNICO - POLIPROPELENO</t>
  </si>
  <si>
    <t>Composição de referência para os coeficientes de consumo:100797/SEDOP - 03/2021</t>
  </si>
  <si>
    <t>COMP 21</t>
  </si>
  <si>
    <t>PORTA PAPEL TOALHA - POLIPROPELENO</t>
  </si>
  <si>
    <t>Composição de referência para os coeficientes de consumo:100795/SEDOP - 03/2021</t>
  </si>
  <si>
    <t>FORNECIMENTO E INSTALAÇÃO DE BARRA DE APOIO RETA,EM ALUMÍNIO,40 CM - FIXADA  EM PAREDE</t>
  </si>
  <si>
    <t>PAPELEIRA PLASTICA TIPO DISPENSER PARA PAPEL HIGIENICO ROLAO</t>
  </si>
  <si>
    <t>TOALHEIRO PLASTICO TIPO DISPENSER PARA PAPEL TOALHA INTERFOLHADO</t>
  </si>
  <si>
    <t>ESPELHO CRISTAL E = 4 MM</t>
  </si>
  <si>
    <t>CHAPA DE MADEIRA COMPENSADA NAVAL (COM COLA FENOLICA), E = 10 MM, DE *1,60 X 2,20* M</t>
  </si>
  <si>
    <t>PARAFUSO DE ACO ZINCADO COM ROSCA SOBERBA, CABECA CHATA E FENDA SIMPLES, DIAMETRO 4,8 MM, COMPRIMENTO 65 MM</t>
  </si>
  <si>
    <t>EMBOÇO, PARA RECEBIMENTO DE CERÂMICA, EM ARGAMASSA TRAÇO 1:2:8, PREPARO MECÂNICO COM BETONEIRA 400L, APLICADO MANUALMENTE EM FACES INTERNAS DE PAREDES, PARA AMBIENTE COM ÁREA ENTRE 5M2 E 10M2, ESPESSURA DE 20MM, COM EXECUÇÃO DE TALISCAS. AF_06/2014</t>
  </si>
  <si>
    <t>COMP 22</t>
  </si>
  <si>
    <t>REVESTIMENTO CERÂMICO PARA PAREDES INTERNAS COM PLACAS TIPO ESMALTADA EXTRA DE DIMENSÕES 30X60 CM APLICADAS EM AMBIENTES DE ÁREA MAIOR QUE 5 M² A MEIA ALTURA DAS PAREDES</t>
  </si>
  <si>
    <t>REVESTIMENTO EM CERAMICA ESMALTADA EXTRA, PEI MENOR OU IGUAL A 3, FORMATO MENOR OU IGUAL A 2025 CM2</t>
  </si>
  <si>
    <t>ARGAMASSA COLANTE AC I PARA CERAMICAS</t>
  </si>
  <si>
    <t>COMP 23</t>
  </si>
  <si>
    <t>REVESTIMENTO CERÂMICO PARA PAREDES INTERNAS COM PLACAS TIPO ESMALTADA EXTRA DE DIMENSÕES 30X60 CM APLICADAS EM AMBIENTES DE ÁREA MENOR QUE 5 M² A MEIA ALTURA DAS PAREDES</t>
  </si>
  <si>
    <t>CHAPISCO APLICADO EM ALVENARIA (COM PRESENÇA DE VÃOS) E ESTRUTURAS DE CONCRETO DE FACHADA, COM COLHER DE PEDREIRO. ARGAMASSA TRAÇO 1:3 COM PREPARO MANUAL. AF_06/2014</t>
  </si>
  <si>
    <t>PAREDES EXTERNAS</t>
  </si>
  <si>
    <t>AZULEJO</t>
  </si>
  <si>
    <t>EMBOÇO, PARA RECEBIMENTO DE CERÂMICA, EM ARGAMASSA TRAÇO 1:2:8, PREPARO MANUAL, APLICADO MANUALMENTE EM FACES INTERNAS DE PAREDES, PARA AMBIENTE COM ÁREA MENOR QUE 5M2, ESPESSURA DE 20MM, COM EXECUÇÃO DE TALISCAS. AF_06/2014</t>
  </si>
  <si>
    <t>COMP 24</t>
  </si>
  <si>
    <t>COMP 25</t>
  </si>
  <si>
    <t>COMP 26</t>
  </si>
  <si>
    <t>Composição de referência para os coeficientes de consumo:87275/SINAPI - 05/2021</t>
  </si>
  <si>
    <t>Composição de referência para os coeficientes de consumo:87274/SINAPI - 05/2021</t>
  </si>
  <si>
    <t>MASSA ÚNICA PARA TETO</t>
  </si>
  <si>
    <t>MASSA ÚNICA PARA PINTURA DE PAREDES INTERNAS</t>
  </si>
  <si>
    <t>447,37+477,72=925,09 (Paredes Internas e Teto)</t>
  </si>
  <si>
    <t>64,99+7,65=72,64  (Paredes Internas e Externas)</t>
  </si>
  <si>
    <t>30,66+12,18=42,84 (Paredes Internas e Externas)</t>
  </si>
  <si>
    <t>PAREDE EXTERNA - ÁREA &gt;10 m²</t>
  </si>
  <si>
    <t>Composição de referência para os coeficientes de consumo:12443/ORSE - 02/2021</t>
  </si>
  <si>
    <t>ARGAMASSA COLANTE AC II</t>
  </si>
  <si>
    <t>REVESTIMENTO CERÂMICO DE PAREDE  BOLD 6,5X23 CM  APLICADO COM ARGAMASSA INDUSTRIAL , INCLUSIVE REJUNTE.</t>
  </si>
  <si>
    <t xml:space="preserve">REVESTIMENTO CERÂMICO DE PAREDE  BOLD 6,5X23 CM WESTMINSTER PORTOBELO OU SIMILAR </t>
  </si>
  <si>
    <t>CONSTRUÇÃO DE DIRETORIA DE UNIDADE DESCONCENTRADA DA SEMA - DUDS</t>
  </si>
  <si>
    <t>GUIA DE CABOS SIMPLES PARA RACK ABERTO 19"</t>
  </si>
  <si>
    <t>GUIA DE CABOS VERTICAL PARA RACK ABERTO 19"</t>
  </si>
  <si>
    <t>CAIXA PADRÃO 19" - ABERTO 12 U</t>
  </si>
  <si>
    <t>11.2.14</t>
  </si>
  <si>
    <t>11.2.15</t>
  </si>
  <si>
    <t>11.2.16</t>
  </si>
  <si>
    <t>11.2.17</t>
  </si>
  <si>
    <t>11.2.18</t>
  </si>
  <si>
    <t>11.2.19</t>
  </si>
  <si>
    <t>11.2.20</t>
  </si>
  <si>
    <t xml:space="preserve">CAIXA DE PASSAGEM ENTERRADA EM ALVENARIA DE 400X400X400MM, COM TAMPA 400X400X50MM </t>
  </si>
  <si>
    <t>CAIXA DE PASSAGEM METÁLICA PINTADA DE SOBREPOR 250X250X100 MM - FORNECIMENTO E INSTALAÇÃO</t>
  </si>
  <si>
    <t>CAIXA DE PASSAGEM METÁLICA PINTADA DE SOBREPOR 400X400X150 MM - FORNECIMENTO E INSTALAÇÃO</t>
  </si>
  <si>
    <t>Composição de referência para os coeficientes de consumo: 100556/SINAPI-MAI/21</t>
  </si>
  <si>
    <t>CAIXA DE PASSAGEM METALICA DE SOBREPOR COM TAMPA PARAFUSADA, DIMENSOES 20 X 20 X 10 CM</t>
  </si>
  <si>
    <t>CAIXA DE PASSAGEM METALICA DE SOBREPOR COM TAMPA PARAFUSADA, DIMENSOES 40 X 40 X 15 CM</t>
  </si>
  <si>
    <t>COMP ELE 17</t>
  </si>
  <si>
    <t>COMP ELE 16</t>
  </si>
  <si>
    <t>Composição de referência para os coeficientes de consumo: 12336/ORSE-02/2021</t>
  </si>
  <si>
    <t>CABO ELETRÔNICO CATEGORIA 5E, INSTALADO EM EDIFICAÇÃO INSTITUCIONAL - FORNECIMENTO E INSTALAÇÃO. AF_11/2019</t>
  </si>
  <si>
    <t>UTP - 5E</t>
  </si>
  <si>
    <t>Composição de referência para os coeficientes de consumo: 66.20.150/CPOS-MAR/21</t>
  </si>
  <si>
    <t>CONDULETE DE ALUMÍNIO, TIPO C, PARA ELETRODUTO DE AÇO GALVANIZADO DN 25 MM (1''), APARENTE - FORNECIMENTO E INSTALAÇÃO. AF_11/2016_P</t>
  </si>
  <si>
    <t>ELETRODUTO RÍGIDO ROSCÁVEL, PVC, DN 25 MM (3/4"), PARA CIRCUITOS TERMINAIS, INSTALADO EM FORRO - FORNECIMENTO E INSTALAÇÃO. AF_12/2015</t>
  </si>
  <si>
    <t>ELETRODUTO FLEXÍVEL LISO, PEAD, DN 40 MM (1 1/4"), PARA CIRCUITOS TERMINAIS, INSTALADO EM FORRO - FORNECIMENTO E INSTALAÇÃO. AF_12/2015</t>
  </si>
  <si>
    <t>TOMADA DE REDE RJ45 - FORNECIMENTO  E INSTALAÇÃO. AF_11/2019</t>
  </si>
  <si>
    <t>Composição de referência para os coeficientes de consumo: 40.20.240/CPOS-JUN/20</t>
  </si>
  <si>
    <t>PLUGUE 110 IDC - 4 PARES</t>
  </si>
  <si>
    <t xml:space="preserve">BRAÇADEIRA TIPO CUNHA </t>
  </si>
  <si>
    <t>CABO DE REDE FTP 5E 24 AWG</t>
  </si>
  <si>
    <t>(CABO BLINDADO)</t>
  </si>
  <si>
    <t>FORNECIMENTO E INSTALAÇÃO DE CENTRAL TELEFÔNICA PABX</t>
  </si>
  <si>
    <t>CABO DE REDE FTP 5E (24 AWG)</t>
  </si>
  <si>
    <t>Composição de referência para os coeficientes de consumo: Serviço de Terceiro</t>
  </si>
  <si>
    <t>CABO DE REDE BLINDADO FTP 5E 24 AWG</t>
  </si>
  <si>
    <t xml:space="preserve">CABO DE COBRE FLEXÍVEL ISOLADO, 1,5 MM², ANTI-CHAMA 450/750 V, PARA CIRCUITOS TERMINAIS - FORNECIMENTO E INSTALAÇÃO. AF_12/2015 </t>
  </si>
  <si>
    <t>CAIXA DE PASSAGEM METÁLICA PINTADA DE EMBUTIR 300X300X120 MM - FORNECIMENTO E INSTALAÇÃO</t>
  </si>
  <si>
    <t>CAIXA DE PASSAGEM METÁLICA PINTADA DE EMBUTIR 400X400X150 MM - FORNECIMENTO E INSTALAÇÃO</t>
  </si>
  <si>
    <t>T4</t>
  </si>
  <si>
    <t>CAIXA DE INSPEÇÃO PARA ATERRAMENTO, CIRCULAR, EM POLIETILENO, DIÂMETRO INTERNO = 0,3 M. AF_12/2020</t>
  </si>
  <si>
    <t>HASTE DE ATERRAMENTO 3/4 PARA SPDA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</si>
  <si>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</si>
  <si>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</si>
  <si>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</si>
  <si>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CAIXA DE EQUIPOTENCIALIZAÇÃO EM AÇO 200X200X90XMM,PARA EMBUTIR COM TAMPA,COM 5 TERMINAIS</t>
  </si>
  <si>
    <t>CAIXA DE EQUIPOTENCIALIZAÇÃO EM AÇO,COM 5 TERMINAIS</t>
  </si>
  <si>
    <t>Composição de referência para os coeficientes de consumo: 9051/ORSE-02/2021</t>
  </si>
  <si>
    <t>COMP ELE 19</t>
  </si>
  <si>
    <t>CAPTOR TIPO TERMINAL AÉREO, H=600MM, EM ALUMÍNIO.</t>
  </si>
  <si>
    <t>TERMINAL AÉREO (CAPTOR) - 600MM - FIXAÇÃO HORIZONTAL</t>
  </si>
  <si>
    <t>Composição de referência para os coeficientes de consumo: 42.01.086/CPOS-03/2021</t>
  </si>
  <si>
    <t>QUADRO DE DISTRIBUIÇÃO DE ENERGIA EM CHAPA DE AÇO GALVANIZADO, DE EMBUTIR, COM BARRAMENTO TRIFÁSICO, PARA 30 DISJUNTORES DIN 150A - FORNECIMENTO E INSTALAÇÃO. AF_10/2020</t>
  </si>
  <si>
    <t>COMP ELE 20</t>
  </si>
  <si>
    <t>CAIXA DE DERIVACAO PARA MEDIDOR DE ENERGIA, COM BARRAMENTO POLIFASICO, EM POLICARBONATO / TERMOPLASTICO - MODULO (PADRAO CONCESSIONARIA LOCAL)</t>
  </si>
  <si>
    <t>COMP ELE 21</t>
  </si>
  <si>
    <t>COMP ELE 22</t>
  </si>
  <si>
    <r>
      <t xml:space="preserve">Interruptor simples - 1 tecla C/ </t>
    </r>
    <r>
      <rPr>
        <sz val="10"/>
        <color rgb="FFFF0000"/>
        <rFont val="Arial"/>
        <family val="2"/>
      </rPr>
      <t>Placa 2x4" c/ furo</t>
    </r>
  </si>
  <si>
    <t>7+9+2=18</t>
  </si>
  <si>
    <t>INTERRUPTOR SIMPLES (3 MÓDULOS), 10A/250V, INCLUINDO SUPORTE E PLACA - FORNECIMENTO E INSTALAÇÃO. AF_12/2015</t>
  </si>
  <si>
    <t>1 TECLA PARALELA E 1 TOMADA HEXAGONAL</t>
  </si>
  <si>
    <t>INTERRUPTOR SIMPLES (1 MÓDULO) COM 1 TOMADA DE EMBUTIR 2P+T 10 A, SEM SUPORTE E SEM PLACA - FORNECIMENTO E INSTALAÇÃO. AF_12/2015</t>
  </si>
  <si>
    <t>3 MÓDULOS</t>
  </si>
  <si>
    <t>1 TECLA SIMPLES E 1 TOMADA HEXAGONAL</t>
  </si>
  <si>
    <t>INTERRUPTOR PARALELO (1 MÓDULO) COM 1 TOMADA DE EMBUTIR 2P+T 10 A, SEM SUPORTE E SEM PLACA - FORNECIMENTO E INSTALAÇÃO. AF_12/2015</t>
  </si>
  <si>
    <t>TOMADA MÉDIA DE EMBUTIR (1 MÓDULO), 2P+T 10 A, SEM SUPORTE E SEM PLACA - FORNECIMENTO E INSTALAÇÃO. AF_12/2015</t>
  </si>
  <si>
    <t>COMP ELE 23</t>
  </si>
  <si>
    <t>CAIXA DE PASSAGEM METALICA DE SOBREPOR COM TAMPA PARAFUSADA, DIMENSOES 30 X 30 X 12 CM</t>
  </si>
  <si>
    <t>CAIXA DE PASSAGEM METÁLICA PINTADA DE SOBREPOR 300X300X120 MM - FORNECIMENTO E INSTALAÇÃO</t>
  </si>
  <si>
    <t>COMP ELE 24</t>
  </si>
  <si>
    <t>DISJUNTOR BIPOLAR TIPO DIN, CORRENTE NOMINAL DE 16A - FORNECIMENTO E INSTALAÇÃO. AF_10/2020</t>
  </si>
  <si>
    <t>DISJUNTOR TERMOMAGNÉTICO TRIPOLAR , CORRENTE NOMINAL DE 125A - FORNECIMENTO E INSTALAÇÃO. AF_10/2020</t>
  </si>
  <si>
    <t>DISJUNTOR TERMOMAGNETICO TRIPOLAR DIN 100A ,40 KA FORNECIMENTO E INSTALACAO</t>
  </si>
  <si>
    <t xml:space="preserve">DISJUNTOR TERMOMAGNETICO TRIPOLAR DIN 100A ,40 KA </t>
  </si>
  <si>
    <t>DISPOSITIVO DE PROTEÇÃO CONTRA SURTO (DPS) 175V - 8 KA - FORNECIMENTO E INSTALAÇÃO</t>
  </si>
  <si>
    <t>COMP ELE 25</t>
  </si>
  <si>
    <t>DISPOSITIVO DPS CLASSE II, 1 POLO, TENSAO MAXIMA DE 175 V, CORRENTE MAXIMA DE *20* KA (TIPO AC)</t>
  </si>
  <si>
    <t>RASGO EM ALVENARIA PARA ELETRODUTOS COM DIAMETROS MENORES OU IGUAIS A 40 MM. AF_05/2015</t>
  </si>
  <si>
    <r>
      <rPr>
        <sz val="10"/>
        <color rgb="FFFF0000"/>
        <rFont val="Arial"/>
        <family val="2"/>
      </rPr>
      <t>Eletroduto PVC encaixe</t>
    </r>
    <r>
      <rPr>
        <sz val="10"/>
        <color theme="1"/>
        <rFont val="Arial"/>
        <family val="2"/>
      </rPr>
      <t xml:space="preserve"> Braçadeira galvan. tipo cunha 3/4"</t>
    </r>
  </si>
  <si>
    <r>
      <rPr>
        <sz val="10"/>
        <color rgb="FFFF0000"/>
        <rFont val="Arial"/>
        <family val="2"/>
      </rPr>
      <t>Eletroduto PVC encaixe</t>
    </r>
    <r>
      <rPr>
        <sz val="10"/>
        <color theme="1"/>
        <rFont val="Arial"/>
        <family val="2"/>
      </rPr>
      <t xml:space="preserve"> Braçadeira galvan. tipo unha 3/4"</t>
    </r>
  </si>
  <si>
    <t xml:space="preserve">LUMINÁRIA TIPO CALHA, DE EMBUTIR, COM 4 LÂMPADAS TUBULARES LED DE 20 W - FORNECIMENTO E INSTALAÇÃO. </t>
  </si>
  <si>
    <t>ELETRODUTO FLEXÍVEL CORRUGADO, PVC, DN 25 MM (3/4"), PARA CIRCUITOS TERMINAIS, INSTALADO EM PAREDE - FORNECIMENTO E INSTALAÇÃO. AF_12/2015</t>
  </si>
  <si>
    <t>Composição de referência para os coeficientes de consumo: 171411/SEDOP-04/2020</t>
  </si>
  <si>
    <t>ABRACADEIRA EM ACO PARA AMARRACAO DE ELETRODUTOS, TIPO D, COM 3/4" E CUNHA DE FIXACAO</t>
  </si>
  <si>
    <t>COMP ELE 27</t>
  </si>
  <si>
    <t>ABRAÇADEIRA METÁLICA TIPO "D" COM CUNHA DN 3/4"</t>
  </si>
  <si>
    <t>ABRAÇADEIRA METÁLICA TIPO "D" COM UNHA DN 3/4"</t>
  </si>
  <si>
    <t>COMP ELE 28</t>
  </si>
  <si>
    <t xml:space="preserve">LUMINÁRIA TIPO CALHA, DE EMBUTIR, PARA 4 LÂMPADAS TUBULARES LED DE 20 W </t>
  </si>
  <si>
    <t>COMP ELE 29</t>
  </si>
  <si>
    <t>Composição de referência para os coeficientes de consumo: 10200/ORSE-02/2021</t>
  </si>
  <si>
    <t>COMP ELE 30</t>
  </si>
  <si>
    <t>COMP ELE 31</t>
  </si>
  <si>
    <t>LUMINARIA LED REFLETOR RETANGULAR BIVOLT, LUZ BRANCA, 10 W</t>
  </si>
  <si>
    <t>RELÉ FOTOELÉTRICO P/ COMANDO DE ILUMINAÇÃO EXTERNA 1200W</t>
  </si>
  <si>
    <t>TAMPA CEGA EM PVC PARA CONDULETE 4 X 2"</t>
  </si>
  <si>
    <t>COMP ELE 32</t>
  </si>
  <si>
    <t>LUMINARIA LED REFLETOR RETANGULAR BIVOLT, LUZ BRANCA, 10 W - FORNECIMENTO E INSTALAÇÃO</t>
  </si>
  <si>
    <t>LUMINARIA LED REFLETOR RETANGULAR BIVOLT, LUZ BRANCA, 50 W - FORNECIMENTO E INSTALAÇÃO</t>
  </si>
  <si>
    <t>FITA ISOLANTE ADESIVA ANTICHAMA, USO ATE 750 V, EM ROLO DE 19 MM X 5 M</t>
  </si>
  <si>
    <t>BASE PARA RELE COM SUPORTE METALICO</t>
  </si>
  <si>
    <t>TAMPA CEGA PARA CONDULETE METÁLICO</t>
  </si>
  <si>
    <t xml:space="preserve">TAMPA CEGA PARA CONDULETE </t>
  </si>
  <si>
    <t>LUMINARIA LED REFLETOR RETANGULAR BIVOLT, LUZ BRANCA, 50 W - FIXADA COM PARAFUSO DE METAL</t>
  </si>
  <si>
    <t>RELÉ FOTOELÉTRICO P/ COMANDO DE ILUMINAÇÃO EXTERNA 127V/1200W - FORNECIMENTO E INSTALAÇÃO</t>
  </si>
  <si>
    <t>Composição de referência para os coeficientes de consumo: 101632SINAPI-05/2021</t>
  </si>
  <si>
    <t>Composição de referência para os coeficientes de consumo: 072395/AGETOP CIVIL - 11/2020</t>
  </si>
  <si>
    <t>CARGA, MANOBRA E DESCARGA DE ENTULHO EM CAMINHÃO BASCULANTE 6 M³ - CARGA COM ESCAVADEIRA HIDRÁULICA (CAÇAMBA DE 0,80 M³ / 111 HP) E DESCARGA LIVRE (UNIDADE: M3). AF_07/2020</t>
  </si>
  <si>
    <t>TRANSPORTE COM CAMINHÃO BASCULANTE DE 6 M³, EM VIA URBANA PAVIMENTADA, DMT ATÉ 30 KM (UNIDADE: M3XKM). AF_07/2020</t>
  </si>
  <si>
    <t>m³XKm</t>
  </si>
  <si>
    <t>ARGAMASSA TRAÇO 1:4 (CIMENTO E AREIA MÉDIA), PREPARO MECÂNICO COM BETONEIRA 400 L. AF_08/2014</t>
  </si>
  <si>
    <t>42.422.594/0001-79</t>
  </si>
  <si>
    <t>RP - SEGURANÇA ELETRÔNICA</t>
  </si>
  <si>
    <t>JS - SEGURANÇA ELETRÔNICA</t>
  </si>
  <si>
    <t>13.882.751/0001-20</t>
  </si>
  <si>
    <t xml:space="preserve">PORTA DE MADEIRA PARA PINTURA, 100X210CM, ESPESSURA DE 3,5CM. </t>
  </si>
  <si>
    <t>FRONTÃO OU RODABANCADA EM GRANITO, POLIDO,H= 10 CM, E= *2,0* CM - FORNECIMENTO E INSTALAÇÃO</t>
  </si>
  <si>
    <t>ESTRUTURA METÁLICA PARA FIXAÇÃO DE BRISE EM MADEIRA NA FACHADA</t>
  </si>
  <si>
    <t>Composição de referência para os coeficientes de consumo: serviço de terceiro</t>
  </si>
  <si>
    <t>un</t>
  </si>
  <si>
    <t>PLANTIO DE ÁRVORE ORNAMENTAL COM ALTURA DE MUDA MENOR OU IGUAL A 2,00 M. AF_05/2018</t>
  </si>
  <si>
    <t>7+12=19 ( 7 OITIS + 9 IPÊS)</t>
  </si>
  <si>
    <t>SINGÔNIO - JD INTERNO</t>
  </si>
  <si>
    <t>PLANTIO DE FORRAÇÃO. AF_05/2018</t>
  </si>
  <si>
    <t>COMP 27</t>
  </si>
  <si>
    <t>COMP 28</t>
  </si>
  <si>
    <t>FORNECIMENTO E ESPALHAMENTO DE TERRA VEGETAL PREPARADA</t>
  </si>
  <si>
    <t>209,24m²*0,05m=10,46m³</t>
  </si>
  <si>
    <t>Composição de referência para os coeficientes de consumo: 2394/ORSE - 02/2021</t>
  </si>
  <si>
    <t>TERRA VEGETAL</t>
  </si>
  <si>
    <t>EXECUÇÃO DE PASSEIO (CALÇADA) OU PISO DE CONCRETO COM CONCRETO MOLDADO IN LOCO, FEITO EM OBRA, ACABAMENTO CONVENCIONAL, ESPESSURA 8 CM, ARMADO. AF_07/2016</t>
  </si>
  <si>
    <t>EXECUÇÃO DE PÁTIO/ESTACIONAMENTO EM PISO INTERTRAVADO, COM BLOCO RETANGULAR COR NATURAL  DE 20 X 10 CM, ESPESSURA 8 CM. AF_12/2015</t>
  </si>
  <si>
    <t>PINTURA DE DEMARCAÇÃO DE VAGA COM TINTA ACRÍLICA, E = 10 CM, APLICAÇÃO MANUAL. AF_05/2021</t>
  </si>
  <si>
    <t>PINTURA DE SÍMBOLOS E TEXTOS COM TINTA ACRÍLICA, DEMARCAÇÃO COM FITA ADESIVA E APLICAÇÃO COM ROLO. AF_05/2021</t>
  </si>
  <si>
    <t>COMP 29</t>
  </si>
  <si>
    <t xml:space="preserve">REQUADRO DE GRANITO SIENA 5X2,5 CM PARA JARDIM INTERNO - FORNECIMENTO E INSTALAÇÃO </t>
  </si>
  <si>
    <t>GRANITO PARA BANCADA, POLIDO, TIPO ANDORINHA/ QUARTZ/ CASTELO/ CORUMBA OU OUTROS EQUIVALENTES DA REGIAO, E= *2,5* CM</t>
  </si>
  <si>
    <t>METACAULIM DE ALTA REATIVIDADE/CAULIM CALCINADO</t>
  </si>
  <si>
    <t>CIMENTO BRANCO</t>
  </si>
  <si>
    <t>Composição de referência para os coeficientes de consumo:16.02.050/FDE - 01/2021</t>
  </si>
  <si>
    <t>8.2.1</t>
  </si>
  <si>
    <t>8.3.1</t>
  </si>
  <si>
    <t>8.3.2</t>
  </si>
  <si>
    <t>8.3.3</t>
  </si>
  <si>
    <t>7.4</t>
  </si>
  <si>
    <t>7.5</t>
  </si>
  <si>
    <t>7.7</t>
  </si>
  <si>
    <t>7.8</t>
  </si>
  <si>
    <t>7.9</t>
  </si>
  <si>
    <t>7.10</t>
  </si>
  <si>
    <t>8.1.3</t>
  </si>
  <si>
    <t>11.1.27</t>
  </si>
  <si>
    <t>11.1.30</t>
  </si>
  <si>
    <t>11.1.31</t>
  </si>
  <si>
    <t>11.1.32</t>
  </si>
  <si>
    <t>11.1.33</t>
  </si>
  <si>
    <t>11.1.34</t>
  </si>
  <si>
    <t>11.1.35</t>
  </si>
  <si>
    <t>11.1.36</t>
  </si>
  <si>
    <t>11.1.37</t>
  </si>
  <si>
    <t>11.1.38</t>
  </si>
  <si>
    <t>11.1.39</t>
  </si>
  <si>
    <t>11.1.40</t>
  </si>
  <si>
    <t>11.1.42</t>
  </si>
  <si>
    <t>11.1.43</t>
  </si>
  <si>
    <t>11.1.44</t>
  </si>
  <si>
    <t>11.1.45</t>
  </si>
  <si>
    <t>11.1.46</t>
  </si>
  <si>
    <t>11.1.47</t>
  </si>
  <si>
    <t>11.1.48</t>
  </si>
  <si>
    <t>11.1.49</t>
  </si>
  <si>
    <t>11.1.50</t>
  </si>
  <si>
    <t>11.2.9</t>
  </si>
  <si>
    <t>11.2.21</t>
  </si>
  <si>
    <t>11.2.22</t>
  </si>
  <si>
    <t>11.2.23</t>
  </si>
  <si>
    <t>11.2.24</t>
  </si>
  <si>
    <t>11.2.25</t>
  </si>
  <si>
    <t>11.2.26</t>
  </si>
  <si>
    <t>TELA GRADIL H=2,08M</t>
  </si>
  <si>
    <t>BLOCO DE FUNDAÇÃO</t>
  </si>
  <si>
    <t>ESTACAS DE FUNDAÇÃO</t>
  </si>
  <si>
    <t>ESTACAS DE FUNDAÇÃO D=20CM</t>
  </si>
  <si>
    <t>17.1.8</t>
  </si>
  <si>
    <t>IMPERMEABILIZAÇÃO DE FLOREIRA OU VIGA BALDRAME COM ARGAMASSA DE CIMENTO E AREIA, COM ADITIVO IMPERMEABILIZANTE, E = 2 CM. AF_06/2018</t>
  </si>
  <si>
    <t>ENTRADA PROVISÓRIA DE ENERGIA ELÉTRICA AÉREA TRIFÁSICA 40A EM POSTE MADEIRA</t>
  </si>
  <si>
    <t>LOCAÇÃO CONVENCIONAL DE OBRA, UTILIZANDO GABARITO DE TÁBUAS CORRIDAS PONTALETADAS A CADA 2,00M - 2 UTILIZAÇÕES. AF_10/2018</t>
  </si>
  <si>
    <t>MONTAGEM E DESMONTAGEM DE FÔRMA DE LAJE MACIÇA, PÉ-DIREITO SIMPLES, EM CHAPA DE MADEIRA COMPENSADA RESINADA, 8 UTILIZAÇÕES. AF_09/2020</t>
  </si>
  <si>
    <t>JANELA DE ALUMÍNIO DE CORRER COM 2 FOLHAS PARA VIDROS, COM VIDROS, BATENTE, ACABAMENTO COM ACETATO OU BRILHANTE E FERRAGENS. EXCLUSIVE ALIZAR E CONTRAMARCO. FORNECIMENTO E INSTALAÇÃO. AF_12/2019</t>
  </si>
  <si>
    <t>PEITORIL LINEAR EM GRANITO OU MÁRMORE, L = 15CM, COMPRIMENTO DE ATÉ 2M, ASSENTADO COM ARGAMASSA 1:6 COM ADITIVO. AF_11/2020</t>
  </si>
  <si>
    <t>PINTURA COM TINTA ALQUÍDICA DE ACABAMENTO (ESMALTE SINTÉTICO FOSCO) PULVERIZADA SOBRE PERFIL METÁLICO EXECUTADO EM FÁBRICA (POR DEMÃO). AF_01/2020_P</t>
  </si>
  <si>
    <t>CHAPISCO APLICADO EM ALVENARIA (SEM PRESENÇA DE VÃOS) E ESTRUTURAS DE CONCRETO DE FACHADA, COM COLHER DE PEDREIRO. ARGAMASSA TRAÇO 1:3 COM PREPARO EM BETONEIRA 400L. AF_06/2014</t>
  </si>
  <si>
    <t>19.3</t>
  </si>
  <si>
    <t>120 dias</t>
  </si>
  <si>
    <t>120 DIAS</t>
  </si>
  <si>
    <t>SERVIÇOS DE INSTALAÇÕES SANITÁRIAS</t>
  </si>
  <si>
    <t>15.930.198/0001-80</t>
  </si>
  <si>
    <t>SOMAR - CF MERLIN - ME</t>
  </si>
  <si>
    <t>CHAPA DE MADEIRA COMPENSADA PLASTIFICADA PARA FORMA DE CONCRETO, DE 2,20 x 1,10 M, E = 10 MM</t>
  </si>
  <si>
    <t>DESMOLDANTE PROTETOR PARA FORMAS DE MADEIRA, DE BASE OLEOSA EMULSIONADA EM AGUA</t>
  </si>
  <si>
    <t>SARRAFO *2,5 X 7,5* CM EM PINUS, MISTA OU EQUIVALENTE DA REGIAO - BRUTA</t>
  </si>
  <si>
    <t>TRANSPORTE HORIZONTAL MANUAL, DE VERGALHÕES DE AÇO COM DIÂMETRO DE 10 MM; 12,5 MM; 16 MM; 20 MM; 25 MM OU 32 MM (UNIDADE: KGXKM). AF_07/2019</t>
  </si>
  <si>
    <t>KgxKm</t>
  </si>
  <si>
    <t>TRANSPORTE HORIZONTAL MANUAL, DE VERGALHÕES DE AÇO COM DIÂMETRO DE 5 MM (UNIDADE: KGXKM). AF_07/2019</t>
  </si>
  <si>
    <t>Composição de referência para os coeficientes de consumo: 102364/SINAPI-05/2021</t>
  </si>
  <si>
    <t>CONCRETO MAGRO PARA LASTRO, TRAÇO 1:4,5:4,5 (EM MASSA SECA DE CIMENTO/ AREIA MÉDIA/ BRITA 1) - PREPARO MECÂNICO COM BETONEIRA 400 L. AF_05/2021</t>
  </si>
  <si>
    <t xml:space="preserve">COMP ELE 19 </t>
  </si>
  <si>
    <t>Aparelho</t>
  </si>
  <si>
    <t>Metais</t>
  </si>
  <si>
    <t>PVC Acessórios</t>
  </si>
  <si>
    <t>PVC misto soldável</t>
  </si>
  <si>
    <t>PVC rígido roscável</t>
  </si>
  <si>
    <t>PVC rígido soldável</t>
  </si>
  <si>
    <t>Adapt sold. longo c/ flange p/cx. d' agua</t>
  </si>
  <si>
    <t>Adapt sold.curto c/bolsa-rosca p registro</t>
  </si>
  <si>
    <t>Joelho 90º soldável</t>
  </si>
  <si>
    <t>Luva soldável</t>
  </si>
  <si>
    <t>Tubos</t>
  </si>
  <si>
    <t>Tê 90 soldável</t>
  </si>
  <si>
    <t>PVC soldável azul c/ bucha latão</t>
  </si>
  <si>
    <t>Reservatório cilíndrico</t>
  </si>
  <si>
    <t>Vaso sanitário p/ caixa de descarga 3/4"</t>
  </si>
  <si>
    <t>Torneira de Tanque de Lavar 25MM X 3/4"</t>
  </si>
  <si>
    <t>Torneira de lavatório 25MM - 1/2"</t>
  </si>
  <si>
    <t>Vaso Sanitário p/ Válvula de Descarga de 1 1/2"-40MM-11/2"</t>
  </si>
  <si>
    <t>Ducha higiênica 25MM X 1/2"</t>
  </si>
  <si>
    <t>Torneira de Pia de Cozinha 25 MM - 1/2"</t>
  </si>
  <si>
    <t>Registro de esfera 3/4"</t>
  </si>
  <si>
    <t>Registro de gaveta bruto ABNT 1 1/2"</t>
  </si>
  <si>
    <t>Válvula de descarga baixa pressão 11/2"</t>
  </si>
  <si>
    <t>Cisterna 2000L</t>
  </si>
  <si>
    <t>Tubete de polipropileno para hidrômetro 3/4"</t>
  </si>
  <si>
    <t xml:space="preserve">2 UN </t>
  </si>
  <si>
    <t>Registro de gaveta c/ canopla cromada  3/4"</t>
  </si>
  <si>
    <t xml:space="preserve">Registro de gaveta c/ canopla cromada 1 1/2" </t>
  </si>
  <si>
    <t>Cx. de descarga s/ engate flexível - Branco - cinza - bege - caramelo</t>
  </si>
  <si>
    <t>Engate flexível plástico -1/2 - 30cm</t>
  </si>
  <si>
    <t>Tubo de descarga VDE. 38mm</t>
  </si>
  <si>
    <t>Tubo de descida de embutir p/ cx. Descarga 40"</t>
  </si>
  <si>
    <t>Tubo de ligação  latão cromado c/ canopla p/ vaso Sa. 38mm</t>
  </si>
  <si>
    <t>Colar de Tomada em PVC 3/4"</t>
  </si>
  <si>
    <t xml:space="preserve">1 UN </t>
  </si>
  <si>
    <t>Joelho 90 soldável c/ rosca 25 mm - 3/4"</t>
  </si>
  <si>
    <t xml:space="preserve">Joelho de redução soldável c/ rosca 25 mm - 1/2" </t>
  </si>
  <si>
    <t>Luva soldável c/ rosca 25 mm -3/4"</t>
  </si>
  <si>
    <t>Bucha de redução sold. Longa 50 mm - 25 mm</t>
  </si>
  <si>
    <t>55,66 m</t>
  </si>
  <si>
    <t>14,87 m</t>
  </si>
  <si>
    <t>Tê de redução 90 soldável  50 mm - 25 mm</t>
  </si>
  <si>
    <t xml:space="preserve">5 un </t>
  </si>
  <si>
    <t xml:space="preserve">2 un </t>
  </si>
  <si>
    <t>Joelho 90º soldável com  bucha de latão  25 mm - 3/4"</t>
  </si>
  <si>
    <t xml:space="preserve">1 un </t>
  </si>
  <si>
    <t>Joelho de redução 90º soldável com bucha de latão 3/4" - 1/2"</t>
  </si>
  <si>
    <t xml:space="preserve">9 un </t>
  </si>
  <si>
    <t>Hidrômetro individual 5m³/h - 3/4"</t>
  </si>
  <si>
    <t>JOELHO DE REDUÇÃO 90 GRAUS SOLDÁVEL COM BUCHA DE LATÃO 3/4" - 1/2"</t>
  </si>
  <si>
    <t>14.15</t>
  </si>
  <si>
    <t>APARELHOS E METAIS</t>
  </si>
  <si>
    <t>PASTA LUBRIFICANTE PARA TUBOS E CONEXOES COM JUNTA ELASTICA (USO EM PVC, ACO, POLIETILENO E OUTROS) ( DE *400* G)</t>
  </si>
  <si>
    <t>ANEL BORRACHA, DN 50 MM, PARA TUBO SERIE REFORCADA ESGOTO PREDIAL</t>
  </si>
  <si>
    <t>Composição de referência para os coeficientes de consumo: 89546/ SINAPI - 05/2021</t>
  </si>
  <si>
    <t>BUCHA DE REDUCAO DE PVC, SOLDAVEL, LONGA, COM 50 X 25 MM, PARA AGUA FRIA PREDIAL</t>
  </si>
  <si>
    <t>CAIXA DE DESCARGA PLASTICA DE EMBUTIR COMPLETA, COM ESPELHO PLASTICO, CAPACIDADE 6 A 10 L, ACESSORIOS INCLUSOS</t>
  </si>
  <si>
    <t>Composição de referência para os coeficientes de consumo: 44.03.670/CPOS - 03/2021</t>
  </si>
  <si>
    <t>CAIXA DE DESCARGA PLASTICA DE EMBUTIR COMPLETA, COM ESPELHO PLASTICO, BRANCA, CAPACIDADE 6 A 10 L,FORNECIMENTO E INSTALAÇÃO</t>
  </si>
  <si>
    <t>Composição de referência para os coeficientes de consumo: 89630/SINAPI - 05/2021</t>
  </si>
  <si>
    <t xml:space="preserve">TUBO, PVC, SOLDÁVEL, DN 75MM, FORNECIMENTO E INSTALAÇÃO. </t>
  </si>
  <si>
    <t>COLAR TOMADA PVC,C/ TRAVAS, SAÍDA C/ ROSCAS, DE 75MMX3/4"  PARA LIGAÇÃO PREDIAL DE  ÁGUA.</t>
  </si>
  <si>
    <t>Composição de referência para os coeficientes de consumo: 12868/ORSE - 02/2021</t>
  </si>
  <si>
    <t>COLAR TOMADA PVC, COM TRAVAS, SAIDA COM ROSCA, DE 75 MM X 1/2" OU 75 MM X 3/4", PARA LIGACAO PREDIAL DE AGUA</t>
  </si>
  <si>
    <t>LUVA DE REDUCAO ROSCAVEL, PVC, 1" X 3/4", PARA AGUA FRIA PREDIAL</t>
  </si>
  <si>
    <t>JOELHO DE REDUCAO, PVC SOLDAVEL, 90 GRAUS, 32 MM X 25 MM, PARA AGUA FRIA PREDIAL</t>
  </si>
  <si>
    <t>Composição de referência para os coeficientes de consumo: 89501/ SINAPI - 05/2021</t>
  </si>
  <si>
    <t>13.24</t>
  </si>
  <si>
    <t>13.25</t>
  </si>
  <si>
    <t>13.26</t>
  </si>
  <si>
    <t>13.27</t>
  </si>
  <si>
    <t>13.28</t>
  </si>
  <si>
    <t>13.29</t>
  </si>
  <si>
    <t>COMP HIDR  08</t>
  </si>
  <si>
    <t>COMP HIDR  11</t>
  </si>
  <si>
    <t>DUCHA HIGIENICA PLASTICA COM REGISTRO METALICO 1/2 "</t>
  </si>
  <si>
    <t>MANGUEIRA CRISTAL, LISA, PVC TRANSPARENTE, 3/4" X 2 MM</t>
  </si>
  <si>
    <t>Composição de referência para os coeficientes de consumo: 44.03.360/CPOS - 03/2021</t>
  </si>
  <si>
    <t>TUBO DE LIGAÇÃO PVC P/ SAÍDA DE VASO SANITÁRIO, DN 38MM</t>
  </si>
  <si>
    <t>Composição de referência para os coeficientes de consumo: 1572/ORSE - 02/2021</t>
  </si>
  <si>
    <t>CONJUNTO DE LIGACAO PARA BACIA SANITARIA AJUSTAVEL, EM PLASTICO BRANCO, COM TUBO, CANOPLA E ESPUDE</t>
  </si>
  <si>
    <t>COMP HIDR  12</t>
  </si>
  <si>
    <t>VASO SANITARIO SIFONADO CONVENCIONAL PARA PCD SEM FURO FRONTAL COM LOUÇA BRANCA SEM ASSENTO, INCLUSO CONJUNTO DE LIGAÇÃO PARA BACIA SANITÁRIA AJUSTÁVEL - FORNECIMENTO E INSTALAÇÃO. AF_01/2020</t>
  </si>
  <si>
    <t>VASO SANITÁRIO SIFONADO COM CAIXA ACOPLADA LOUÇA BRANCA, INCLUSO ENGATE FLEXÍVEL EM PLÁSTICO BRANCO, 1/2 X 40CM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</si>
  <si>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</si>
  <si>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COM COLUNA, 45 X 55CM OU EQUIVALENTE, PADRÃO MÉDIO - FORNECIMENTO E INSTALAÇÃO. AF_01/2020</t>
  </si>
  <si>
    <t>DIRETORIA DE UNIDADE DESCONCENTRADA DA SEMA.</t>
  </si>
  <si>
    <t>RUA 24-A</t>
  </si>
  <si>
    <t>Memória de Cálculo de Quantificação de Materiais e Serviços para execução da Fossa Séptica e Filtro Anaeróbio Conjugado em bloco de concreto</t>
  </si>
  <si>
    <t>Dimensões</t>
  </si>
  <si>
    <t>Memória</t>
  </si>
  <si>
    <t>Un</t>
  </si>
  <si>
    <t>Qtde</t>
  </si>
  <si>
    <t>Largura Interna (Li)</t>
  </si>
  <si>
    <t>Volume de escavação</t>
  </si>
  <si>
    <t>Lb*Cb*Pt</t>
  </si>
  <si>
    <t>Largura Externa (Le)</t>
  </si>
  <si>
    <t>Compactação</t>
  </si>
  <si>
    <t>Lb*Cb</t>
  </si>
  <si>
    <t>Comprimento Interno Fossa (CiFo) )</t>
  </si>
  <si>
    <t>Lona Plástica</t>
  </si>
  <si>
    <t>Comprimento Interno Filtro (CiFi)</t>
  </si>
  <si>
    <t>Malha de aço para a base</t>
  </si>
  <si>
    <t>Comprimento Externo (Ce)</t>
  </si>
  <si>
    <t>Concreto</t>
  </si>
  <si>
    <t>Base: Lb*Cb*Eb + Tampa: (Le*Ce*Et)</t>
  </si>
  <si>
    <t>Altura interna Total (Hit)</t>
  </si>
  <si>
    <t>Fôrma para laje de tampo</t>
  </si>
  <si>
    <t>Le*Ce</t>
  </si>
  <si>
    <t>Espessura da Base (Eb)</t>
  </si>
  <si>
    <t>Aço para tampa de concreto (70kg/m³)</t>
  </si>
  <si>
    <t>(Le*Ce*Et)*70</t>
  </si>
  <si>
    <t>Largura da Base (Lb)</t>
  </si>
  <si>
    <t>Alvenaria bloco 14cm</t>
  </si>
  <si>
    <t>[(Li*3)+(Ce*2)]*Hit</t>
  </si>
  <si>
    <t>Comprimento da Base (Cb)</t>
  </si>
  <si>
    <t>Reboco interno</t>
  </si>
  <si>
    <t>Paredes: [(Li*4)+(CiFo*2)+(CiFi*2)]*Hit + Fundo: (Li*(CiFo+CiFi)) + Chaminés: (pi*Dch*Hch*4)</t>
  </si>
  <si>
    <t>Espessura da Tampa (Et)</t>
  </si>
  <si>
    <t>Alvenaria para chaminés</t>
  </si>
  <si>
    <t>{[(Pi*(Dch+0,1)²)/4]*Hch} * (4unidades)</t>
  </si>
  <si>
    <t>Largura da Tampa (Lt)</t>
  </si>
  <si>
    <t>Tampa de caixa</t>
  </si>
  <si>
    <t>4 unidades de chaminés</t>
  </si>
  <si>
    <t>Comprimento da Tampa (Ct)</t>
  </si>
  <si>
    <t>Reaterro</t>
  </si>
  <si>
    <r>
      <rPr>
        <b/>
        <sz val="11"/>
        <color theme="1"/>
        <rFont val="Calibri"/>
        <family val="2"/>
        <scheme val="minor"/>
      </rPr>
      <t>Vol Escavado</t>
    </r>
    <r>
      <rPr>
        <sz val="11"/>
        <color theme="1"/>
        <rFont val="Calibri"/>
        <family val="2"/>
        <scheme val="minor"/>
      </rPr>
      <t xml:space="preserve">: (Lb*Cb*Pt) - </t>
    </r>
    <r>
      <rPr>
        <b/>
        <sz val="11"/>
        <color theme="1"/>
        <rFont val="Calibri"/>
        <family val="2"/>
        <scheme val="minor"/>
      </rPr>
      <t>Vol. Base</t>
    </r>
    <r>
      <rPr>
        <sz val="11"/>
        <color theme="1"/>
        <rFont val="Calibri"/>
        <family val="2"/>
        <scheme val="minor"/>
      </rPr>
      <t>: (Lb*Cb*Eb) -</t>
    </r>
    <r>
      <rPr>
        <b/>
        <sz val="11"/>
        <color theme="1"/>
        <rFont val="Calibri"/>
        <family val="2"/>
        <scheme val="minor"/>
      </rPr>
      <t>Vol. da Fossa e Filtro</t>
    </r>
    <r>
      <rPr>
        <sz val="11"/>
        <color theme="1"/>
        <rFont val="Calibri"/>
        <family val="2"/>
        <scheme val="minor"/>
      </rPr>
      <t xml:space="preserve">: (Le*Ce*(Hit+Et)) - </t>
    </r>
    <r>
      <rPr>
        <b/>
        <sz val="11"/>
        <color theme="1"/>
        <rFont val="Calibri"/>
        <family val="2"/>
        <scheme val="minor"/>
      </rPr>
      <t>Vol. Chaminés</t>
    </r>
    <r>
      <rPr>
        <sz val="11"/>
        <color theme="1"/>
        <rFont val="Calibri"/>
        <family val="2"/>
        <scheme val="minor"/>
      </rPr>
      <t>: {[(pi*(Dch+0,2)²)/4]*4}</t>
    </r>
  </si>
  <si>
    <t>Altura da Chaminé (Hch)</t>
  </si>
  <si>
    <t>Diâmetro Int. da Chaminé (Dch)</t>
  </si>
  <si>
    <t>Bota-Fora</t>
  </si>
  <si>
    <t>Vol. Escavado - Vol. de Reaterro</t>
  </si>
  <si>
    <t>Profundidade Total (Pt)</t>
  </si>
  <si>
    <t>Plantio de gramas</t>
  </si>
  <si>
    <t>Altura Camada Filtrante (ACF)</t>
  </si>
  <si>
    <t>Viga prémoldada de concreto</t>
  </si>
  <si>
    <t>(3 peças de 10x10cm e comprimento de 1,70m)</t>
  </si>
  <si>
    <t>Leito filtrante</t>
  </si>
  <si>
    <t>Li*CiFi*ACF</t>
  </si>
  <si>
    <t>Memória de Cálculo de Quantificação de Materiais e Serviços para execução do Sumidouro</t>
  </si>
  <si>
    <t>Diâmetro Interno do Sumidouro (DIs)</t>
  </si>
  <si>
    <t>[(pi*(DIs+0,2)²)/4]*[Pts]</t>
  </si>
  <si>
    <t>Diâmtero Externo do Sumidouro (DEs)</t>
  </si>
  <si>
    <t>Forma para baldrame e cinta (seção 20x20)</t>
  </si>
  <si>
    <t>{[pi()*(DIs+0,2)]*(0,2*3)}*2</t>
  </si>
  <si>
    <t>Altura Interna Sumidouro (His)</t>
  </si>
  <si>
    <t>Forma para laje de tampo</t>
  </si>
  <si>
    <t>[(pi*(DIs+0,4)²)/4]</t>
  </si>
  <si>
    <t>Espessura da Tampa do Sumidouro (Ets)</t>
  </si>
  <si>
    <t>Concreto para baldrame, cinta e tampa (seção 20x20)</t>
  </si>
  <si>
    <t>Vigas: {[pi()*(DIs+0,2)]*(0,2*0,2)}*2 + Laje: [(pi*(DIs+0,4)²)/4]*[Ets]</t>
  </si>
  <si>
    <t>Altura da Chaminé (Hcs)</t>
  </si>
  <si>
    <t>Tijolo cerâmico maciço comum</t>
  </si>
  <si>
    <t>Adaptado da composição sinapi 98079 (4466 tijolos/25m²)*[(pi*(DIs+0,2)²)/4]*His</t>
  </si>
  <si>
    <t>Diâmetro Int. da Chaminé do Sum. (Dcs)</t>
  </si>
  <si>
    <t>Argamassa para assentar tijolos</t>
  </si>
  <si>
    <t>Adaptado da composição sinapi 98079 (1,72m³/4466 tijolos)*Qtde de tijolos</t>
  </si>
  <si>
    <t>Profundidade Total do Sumidouro (Pts)</t>
  </si>
  <si>
    <t>{[(PI*(DIs+0,4)^2)/4]*Ets}*70</t>
  </si>
  <si>
    <t>Chaminé: (pi*Dcs*Hcs)</t>
  </si>
  <si>
    <t>{[(Pi*(Dcs+0,1)²)/4]*Hcs}</t>
  </si>
  <si>
    <t>1 unidade de chaminé</t>
  </si>
  <si>
    <t>Adaptado da composição sinapi 98079 (64,587h/4466 tijolos)*Qtde de tijolos</t>
  </si>
  <si>
    <t>Servente</t>
  </si>
  <si>
    <t>Brita para o fundo</t>
  </si>
  <si>
    <t>[(PI()*DIs^2)/4]*0,3</t>
  </si>
  <si>
    <t>FOSSA SÉPTICA E FILTRO ANAERÓBIO CONJUGADO EM BLOCO DE CONCRETO</t>
  </si>
  <si>
    <t>ARMAÇÃO BASE E TAMPA:                                                                                                                37,765 * 2 = 75,53</t>
  </si>
  <si>
    <t>193,72 + 9,03(ETE) = 202,75</t>
  </si>
  <si>
    <t>COMP ETE 01</t>
  </si>
  <si>
    <t>ALVENARIA + CHAMINÉ =                                                                                                                                                      18,08+0,62 =18,70 m²</t>
  </si>
  <si>
    <t>COMPOSIÇÕES UNITÁRIAS DE PREÇO DE ESGOTAMENTO SANITÁRIO</t>
  </si>
  <si>
    <t>Lista de Materiais Sanitario</t>
  </si>
  <si>
    <t>Caixas de Passagem</t>
  </si>
  <si>
    <t>Cx  Inspeção Sifon 60X60 cm</t>
  </si>
  <si>
    <t>3 pç</t>
  </si>
  <si>
    <t>CX GORDURA PVC 30 cm</t>
  </si>
  <si>
    <t>1 pç</t>
  </si>
  <si>
    <t>PVC Esgoto</t>
  </si>
  <si>
    <t>Joelho 45  -  100 mm</t>
  </si>
  <si>
    <t>7 pç</t>
  </si>
  <si>
    <t xml:space="preserve">                   -   50 mm</t>
  </si>
  <si>
    <t>4 pç</t>
  </si>
  <si>
    <t>Joelho 90  - 100 mm</t>
  </si>
  <si>
    <t xml:space="preserve">                  - 50 mm</t>
  </si>
  <si>
    <t xml:space="preserve">                   -75 mm</t>
  </si>
  <si>
    <t>2 pç</t>
  </si>
  <si>
    <t xml:space="preserve">                  - 40 mm</t>
  </si>
  <si>
    <t>Junção simples</t>
  </si>
  <si>
    <t xml:space="preserve">                   -   100 mm - 50 mm</t>
  </si>
  <si>
    <t xml:space="preserve">                   -  100 mm- 100 mm</t>
  </si>
  <si>
    <t xml:space="preserve">                   -   50 mm - 50 mm</t>
  </si>
  <si>
    <t>Terminal de ventilação</t>
  </si>
  <si>
    <t xml:space="preserve">                   - 50 mm</t>
  </si>
  <si>
    <t>8 pç</t>
  </si>
  <si>
    <t xml:space="preserve">                   - 75 mm</t>
  </si>
  <si>
    <t>Tubo rígido c/ ponta lisa</t>
  </si>
  <si>
    <t xml:space="preserve">                  - 100 mm - 4"</t>
  </si>
  <si>
    <t>22.94 m</t>
  </si>
  <si>
    <t>9.72 m</t>
  </si>
  <si>
    <t xml:space="preserve">                 - 50 mm - 2"</t>
  </si>
  <si>
    <t>29.38 m</t>
  </si>
  <si>
    <t xml:space="preserve">                - 75 mm - 3"</t>
  </si>
  <si>
    <t>1.84 m</t>
  </si>
  <si>
    <t>Tê sanitário</t>
  </si>
  <si>
    <t xml:space="preserve">                         - 100 mm - 75 mm</t>
  </si>
  <si>
    <t xml:space="preserve">                         - 50 mm - 50 mm</t>
  </si>
  <si>
    <t>5 pç</t>
  </si>
  <si>
    <t>Caixa sifonada</t>
  </si>
  <si>
    <t xml:space="preserve">                        - 100x100x50</t>
  </si>
  <si>
    <t xml:space="preserve">                        - 150x150x50R</t>
  </si>
  <si>
    <t>Sifão de copo p/ pia e lavatório</t>
  </si>
  <si>
    <t xml:space="preserve">                          - 1" - 1.1/2"</t>
  </si>
  <si>
    <t xml:space="preserve">                          - 1" - 2"</t>
  </si>
  <si>
    <t>Válvula p/ lavatório e tanque - 1"</t>
  </si>
  <si>
    <t>Válvula p/ pia - 1"</t>
  </si>
  <si>
    <t xml:space="preserve">                                          20 mm - 1/2"</t>
  </si>
  <si>
    <t xml:space="preserve">                                          25 mm - 3/4"</t>
  </si>
  <si>
    <t xml:space="preserve">                                                      25 mm - 3/4"</t>
  </si>
  <si>
    <t xml:space="preserve">                                        50 mm- 1.1/2"</t>
  </si>
  <si>
    <t xml:space="preserve">                                                    50 mm- 1.1/2"</t>
  </si>
  <si>
    <t xml:space="preserve">                                                 25 mm - 3/4"</t>
  </si>
  <si>
    <t xml:space="preserve">                                                50 mm- 1.1/2"</t>
  </si>
  <si>
    <t xml:space="preserve">                                              25 mm - 3/4"</t>
  </si>
  <si>
    <t xml:space="preserve">                                             25 mm - 3/4"</t>
  </si>
  <si>
    <t xml:space="preserve">                                            50 mm- 1.1/2"</t>
  </si>
  <si>
    <t xml:space="preserve">                                             50 mm- 1.1/2"</t>
  </si>
  <si>
    <t>LISTA DE MATERIAIS - Hidráulico</t>
  </si>
  <si>
    <t>CAIXA SIFONADA PVC, 150 X 150 X 50 MM, COM GRELHA QUADRADA BRANCA (NBR 5688)</t>
  </si>
  <si>
    <t>PASTA LUBRIFICANTE PARA TUBOS E CONEXOES COM JUNTA ELASTICA (USO EM PVC, ACO,POLIETILENO E OUTROS) ( DE *400* G)</t>
  </si>
  <si>
    <t>Composição de referência para os coeficientes de consumo: 89707/ SINAPI - 05/2021</t>
  </si>
  <si>
    <t>Joelho 90 c/ anel  p/ esgoto sanit. - 40mm - 11/2"</t>
  </si>
  <si>
    <t>JUNÇÃO SIMPLES, PVC, SERIE NORMAL, ESGOTO PREDIAL, DN 100 X 50 MM, JUNTA ELÁSTICA, FORNECIDO E INSTALADO EM RAMAL DE DESCARGA OU RAMAL DE ESGOTO SANITÁRIO. AF_12/2014</t>
  </si>
  <si>
    <t xml:space="preserve">                                                              - 40 mm</t>
  </si>
  <si>
    <t xml:space="preserve">TE DE REDUÇÃO, PVC, SOLDÁVEL, DN 100MM X 75MM,FORNECIMENTO E INSTALAÇÃO. </t>
  </si>
  <si>
    <t>15.1.20</t>
  </si>
  <si>
    <t>15.1.21</t>
  </si>
  <si>
    <t>15.1.22</t>
  </si>
  <si>
    <t>15.1.23</t>
  </si>
  <si>
    <t>15.1.24</t>
  </si>
  <si>
    <t>15.1.25</t>
  </si>
  <si>
    <t>15.1.26</t>
  </si>
  <si>
    <t>Bolsa de ligação p/ vaso sanitário - 11/2"</t>
  </si>
  <si>
    <t>COMP HIDR 15</t>
  </si>
  <si>
    <t>JOELHO DE REDUÇÃO 90 GRAUS 40MM X 11/2"</t>
  </si>
  <si>
    <t>Composição de referência para os coeficientes de consumo: 081361/AGETOP CIVIL - 11/2020</t>
  </si>
  <si>
    <t>JOELHO PVC, 90 GRAUS, DN 100 X 50 MM, SERIE NORMAL, PARA ESGOTO PREDIAL</t>
  </si>
  <si>
    <t>COMP HIDR 16</t>
  </si>
  <si>
    <t>ANEL BORRACHA PARA TUBO ESGOTO PREDIAL, DN 100 MM (NBR 5688)</t>
  </si>
  <si>
    <t>JUNCAO DE REDUCAO INVERTIDA, PVC SOLDAVEL, 100 X 50 MM, SERIE NORMAL PARA ESGOTO PREDIAL</t>
  </si>
  <si>
    <t>COMPOSIÇÃO REPRESENTATIVA) DO SERVIÇO DE INST. TUBO PVC, SÉRIE N, ESGOTO PREDIAL, DN 75 MM, (INST. EM RAMAL DE DESCARGA, RAMAL DE ESG. SANITÁRIO, PRUMADA DE ESG. SANITÁRIO OU VENTILAÇÃO), INCL. CONEXÕES, CORTES E FIXAÇÕES, P/ PRÉDIOS. AF_10/2015</t>
  </si>
  <si>
    <t>TÊ DE REDUÇÃO 90 GRAUS, RÍGIDO, SOLDÁVEL,MARROM, DN 100X75 MM</t>
  </si>
  <si>
    <t>Composição de referência para os coeficientes de consumo: 1188/ORSE - 02/2021</t>
  </si>
  <si>
    <t>TE SANITARIO, PVC, DN 100 X 75 MM, SERIE NORMAL PARA ESGOTO PREDIAL</t>
  </si>
  <si>
    <t>VÁLVULA EM PLÁSTICO 1" PARA PIA, TANQUE OU LAVATÓRIO, COM OU SEM LADRÃO - FORNECIMENTO E INSTALAÇÃO. AF_01/2020</t>
  </si>
  <si>
    <t>SIFÃO EM PVC DE 2"</t>
  </si>
  <si>
    <t>SIFAO PLASTICO EXTENSIVEL UNIVERSAL, TIPO COPO</t>
  </si>
  <si>
    <t>SIFÃO DO TIPO FLEXÍVEL EM PVC 1 X 1.1/2 - FORNECIMENTO E INSTALAÇÃO. AF_01/2020</t>
  </si>
  <si>
    <t>BOLSA DE LIGACAO EM PVC FLEXIVEL PARA VASO SANITARIO 1.1/2 " (40 MM)</t>
  </si>
  <si>
    <t>TERMINAL DE VENTILACAO, 50 MM, SERIE NORMAL, ESGOTO PREDIAL</t>
  </si>
  <si>
    <t>TERMINAL DE VENTILACAO, 75 MM, SERIE NORMAL, ESGOTO PREDIAL</t>
  </si>
  <si>
    <t>CAIXA DE GORDURA PEQUENA (CAPACIDADE: 19 L), CIRCULAR, EM PVC, DIÂMETRO INTERNO= 0,3 M. AF_12/2020</t>
  </si>
  <si>
    <t>CAIXA DE INSPEÇÃO EM PVC, DIAMETRO MINIMO 300 MM,  COM TAMPA</t>
  </si>
  <si>
    <t>CUBA DE EMBUTIR OVAL EM LOUÇA BRANCA, 35 X 50CM OU EQUIVALENTE - FORNECIMENTO E INSTALAÇÃO. AF_01/2020</t>
  </si>
  <si>
    <t>CUBA DE EMBUTIR RETANGULAR DE AÇO INOXIDÁVEL, 46 X 30 X 12 CM - FORNECIMENTO E INSTALAÇÃO. AF_01/2020</t>
  </si>
  <si>
    <t>DRENO FRANCÊS</t>
  </si>
  <si>
    <t>ACRESCENTADO COM GRAMA JARDIM</t>
  </si>
  <si>
    <t>LAJE PRE-MOLDADA TRELICADA (LAJOTAS + VIGOTAS) PARA FORRO, UNIDIRECIONAL, SOBRECARGA DE 100 KG/M2, VAO ATE 6,00 M (SEM COLOCACAO)</t>
  </si>
  <si>
    <t>Tampa de caixa - CHAMINÉ - DN 0,60M - ESP=0,10M</t>
  </si>
  <si>
    <t>Composição de referência para os coeficientes de consumo: 1594/ORSE - 02/2021</t>
  </si>
  <si>
    <t>Composição de referência para os coeficientes de consumo: 142106/IOPES -02/2021</t>
  </si>
  <si>
    <t>Composição de referência para os coeficientes de consumo: 4718/ORSE - 02/2021</t>
  </si>
  <si>
    <t>COMPOSIÇÕES UNITÁRIAS DE PREÇO - ESTRUTURA</t>
  </si>
  <si>
    <t>BANCADA EM GRANITO CINZA POLIDO PARA LAVATÓRIOS E PIAS  - FORNECIMENTO E INSTALAÇÃO</t>
  </si>
  <si>
    <t>COMP 30</t>
  </si>
  <si>
    <t>BANCADA EM GRANITO CINZA POLIDO P/ LAVATÓRIOS E PIAS -FORNECIMENTO E INSTALAÇÃO</t>
  </si>
  <si>
    <t>Composição de referência para os coeficientes de consumo: 170220/IOPES - 02/2021</t>
  </si>
  <si>
    <t>CIMENTO PORTLAND DE ALTO FORNO (AF) CP III-40</t>
  </si>
  <si>
    <t xml:space="preserve">BANCADAS, RODABANCADAS, DIVISÓRIAS E REQUADRO EM GRANITO </t>
  </si>
  <si>
    <t>16.2</t>
  </si>
  <si>
    <t>COMP 31</t>
  </si>
  <si>
    <t>COMP 32</t>
  </si>
  <si>
    <t>DIVISORIA SANITÁRIA, TIPO CABINE, EM GRANITO CINZA POLIDO, ESP = 3CM, ASSENTADO COM ARGAMASSA COLANTE AC III-E, EXCLUSIVE FERRAGENS. AF_01/2021</t>
  </si>
  <si>
    <t>SUPORTE MÃO FRANCESA EM ACO, ABAS IGUAIS 40 CM, CAPACIDADE MINIMA 70 KG, BRANCO - FORNECIMENTO E INSTALAÇÃO. AF_01/2020</t>
  </si>
  <si>
    <t>BANCADA DE ATENDIMENTO EM CONCRETO, APOIADA EM ALVENARIA</t>
  </si>
  <si>
    <r>
      <t>Composição de referência para os coeficientes de consumo:</t>
    </r>
    <r>
      <rPr>
        <sz val="10"/>
        <rFont val="Arial"/>
        <family val="2"/>
      </rPr>
      <t xml:space="preserve"> BAN-CON-005/SETOP -04/2021</t>
    </r>
  </si>
  <si>
    <t>CONCRETO FCK = 15MPA, TRAÇO 1:3,4:3,4 (EM MASSA SECA DE CIMENTO/ AREIA MÉDIA/ SEIXO ROLADO) - PREPARO MANUAL. AF_05/2021</t>
  </si>
  <si>
    <t>ARAME GALVANIZADO 18 BWG, D = 1,24MM (0,009 KG/M)</t>
  </si>
  <si>
    <t>16.5</t>
  </si>
  <si>
    <t>16.6</t>
  </si>
  <si>
    <t>LIMPEZA DE PISO CERÂMICO OU PORCELANATO COM PANO ÚMIDO. AF_04/2019</t>
  </si>
  <si>
    <t>LIMPEZA DE REVESTIMENTO CERÂMICO EM PAREDE COM PANO ÚMIDO AF_04/2019</t>
  </si>
  <si>
    <t>CALÇADAS INTERNAS E EXTERNAS</t>
  </si>
  <si>
    <r>
      <t xml:space="preserve">Perímetro = 2 </t>
    </r>
    <r>
      <rPr>
        <sz val="11"/>
        <color theme="1"/>
        <rFont val="Calibri"/>
        <family val="2"/>
      </rPr>
      <t>π R = 2*3,14*0,90 = 5,65m</t>
    </r>
  </si>
  <si>
    <t>Área = 5,65*2,40 = 13,56 m²</t>
  </si>
  <si>
    <t>0,88m²(Chaminé)+13,56(Paredes)= 14,44m²</t>
  </si>
  <si>
    <t>ALVENARIA PAREDES = 13,56 m²</t>
  </si>
  <si>
    <t>CHAPISCO APLICADO EM ALVENARIA (SEM PRESENÇA DE VÃOS) E ESTRUTURAS DE CONCRETO DE FACHADA, COM COLHER DE PEDREIRO. ARGAMASSA TRAÇO 1:3 COM PREPARO MANUAL. AF_06/2014</t>
  </si>
  <si>
    <t>LASTRO COM MATERIAL GRANULAR (AREIA MÉDIA), APLICADO EM PISOS OU LAJES SOBRE SOLO, ESPESSURA DE *10 CM*. AF_07/2019</t>
  </si>
  <si>
    <t xml:space="preserve">CHAPISCO APLICADO EM ALVENARIA (SEM PRESENÇA DE VÃOS) E ESTRUTURAS DECONCRETO DE FACHADA, COM COLHER DE PEDREIRO.  ARGAMASSA TRAÇO 1:3 COMPREPARO MANUAL. AF_06/2014 </t>
  </si>
  <si>
    <r>
      <rPr>
        <b/>
        <sz val="11"/>
        <rFont val="Calibri"/>
        <family val="2"/>
        <scheme val="minor"/>
      </rPr>
      <t>OBS:</t>
    </r>
    <r>
      <rPr>
        <sz val="11"/>
        <rFont val="Calibri"/>
        <family val="2"/>
        <scheme val="minor"/>
      </rPr>
      <t xml:space="preserve"> O CONCRETO ESTÁ INCLUSO NA COMPOSIÇÃO UNITÁRIA POR M²</t>
    </r>
  </si>
  <si>
    <r>
      <t xml:space="preserve">Banheiro PNE Masc.                                         </t>
    </r>
    <r>
      <rPr>
        <sz val="9"/>
        <color indexed="10"/>
        <rFont val="Arial"/>
        <family val="2"/>
      </rPr>
      <t xml:space="preserve">  (</t>
    </r>
    <r>
      <rPr>
        <sz val="9"/>
        <rFont val="Arial"/>
        <family val="2"/>
      </rPr>
      <t>1,85+1,85+1,65+1,65)</t>
    </r>
  </si>
  <si>
    <r>
      <t>Banheiro PNE Fem</t>
    </r>
    <r>
      <rPr>
        <sz val="9"/>
        <color indexed="10"/>
        <rFont val="Arial"/>
        <family val="2"/>
      </rPr>
      <t>.                             (</t>
    </r>
    <r>
      <rPr>
        <sz val="9"/>
        <rFont val="Arial"/>
        <family val="2"/>
      </rPr>
      <t>1,85+1,85+1,65+1,65)</t>
    </r>
  </si>
  <si>
    <t>MASSA ÚNICA PARA PAREDES INTERNAS</t>
  </si>
  <si>
    <t>ÁREA TOTAL MASSA ÚNICA PARA PINTURA</t>
  </si>
  <si>
    <r>
      <t>ÁREA TOTAL DA MASSA ÚNICA</t>
    </r>
    <r>
      <rPr>
        <b/>
        <sz val="9"/>
        <color indexed="10"/>
        <rFont val="Arial"/>
        <family val="2"/>
      </rPr>
      <t xml:space="preserve"> </t>
    </r>
    <r>
      <rPr>
        <b/>
        <sz val="9"/>
        <rFont val="Arial"/>
        <family val="2"/>
      </rPr>
      <t>PARA REVESTIMENTO CERÂMICO</t>
    </r>
  </si>
  <si>
    <t>ÁREA (M³)</t>
  </si>
  <si>
    <t>ÁREA TOTAL CONCRETO (M³)</t>
  </si>
  <si>
    <t>ÁREA TOTAL DO CHAPISCO PARA REVESTIMENTO CERÂMICO</t>
  </si>
  <si>
    <t>ÁREA TOTAL DE REVESTIMENTO CERÂMICO</t>
  </si>
  <si>
    <t>MASSA ÚNICA PARA RECEBIMENTO DE PINTURA - PAREDES EXTERNAS</t>
  </si>
  <si>
    <t xml:space="preserve">MASSA ÚNICA PARA LAJE </t>
  </si>
  <si>
    <t>FRONTÃO = 7m</t>
  </si>
  <si>
    <t>ÁREA TOTAL DO SELADOR PARA PAREDES INTERNAS, UMA DEMÃO.</t>
  </si>
  <si>
    <t>ÁREA TOTAL DO EMASSAMENTO DE PAREDES INTERNAS</t>
  </si>
  <si>
    <t>ÁREA TOTAL DA PINTURA ACRÍLICA EM PAREDES INTERNAS DUAS DEMÃOS</t>
  </si>
  <si>
    <t>ÁREA TOTAL DO SELADOR PARA PAREDES EXTERNAS, UMA DEMÃO</t>
  </si>
  <si>
    <t>ÁREA TOTAL DA TEXTURA PARA PAREDES EXTERNAS, DUAS DEMÃO</t>
  </si>
  <si>
    <r>
      <t xml:space="preserve">15,70+19,2+15,2+12,20+33,60+22,70+13,30 = </t>
    </r>
    <r>
      <rPr>
        <b/>
        <sz val="9"/>
        <rFont val="Arial"/>
        <family val="2"/>
      </rPr>
      <t>131,90</t>
    </r>
  </si>
  <si>
    <t>SEM BEIRAL</t>
  </si>
  <si>
    <t>APLICAÇÃO DE FUNDO SELADOR ACRÍLICO EM TETO, UMA DEMÃO. AF_06/2014</t>
  </si>
  <si>
    <t>APLICAÇÃO MANUAL DE PINTURA COM TINTA LÁTEX ACRÍLICA EM TETO, DUAS DEMÃOS. AF_06/2014</t>
  </si>
  <si>
    <t xml:space="preserve">TEXTURA PARA BEIRAL </t>
  </si>
  <si>
    <t>MASSA TEXTURIZADA ACRÍLICA</t>
  </si>
  <si>
    <t>TINTA ACRÍLICA</t>
  </si>
  <si>
    <t>9.2.4</t>
  </si>
  <si>
    <t>9.2.5</t>
  </si>
  <si>
    <t>BLOCOS DE COROAMENTO DE ESTACA DE CONCRETO</t>
  </si>
  <si>
    <r>
      <t>Composição de referência para os coeficientes de consumo:</t>
    </r>
    <r>
      <rPr>
        <sz val="10"/>
        <rFont val="Arial"/>
        <family val="2"/>
      </rPr>
      <t xml:space="preserve"> 88476/SINAPI - 05/2021</t>
    </r>
  </si>
  <si>
    <t>REGULARIZAÇÃO DE LAJE COM INCLINAÇÃO DE 2%</t>
  </si>
  <si>
    <t>ADITIVO ADESIVO LIQUIDO PARA ARGAMASSAS DE REVESTIMENTOS CIMENTICIOS</t>
  </si>
  <si>
    <t>ARGAMASSA USINADA AUTOADENSAVEL E AUTONIVELANTE PARA CONTRAPISO, INCLUI BOMBEAMENTO</t>
  </si>
  <si>
    <t>15.2.1.8</t>
  </si>
  <si>
    <t>15.2.1.9</t>
  </si>
  <si>
    <t>15.2.1.10</t>
  </si>
  <si>
    <t>ALUPORTE - Com Ind de Esquadrias de Alumínio Ltda</t>
  </si>
  <si>
    <t>ALUMINIA - Esquadrias de Alumínio e PVC</t>
  </si>
  <si>
    <t>4 LETRAS DE 40CM</t>
  </si>
  <si>
    <t>46 LETRAS DE 20CM</t>
  </si>
  <si>
    <t>MASSA ÚNICA TRAÇO 1:4 - MURO</t>
  </si>
  <si>
    <t>1499,19M²*0,2M=299,84M³</t>
  </si>
  <si>
    <t>3.2</t>
  </si>
  <si>
    <t>LIMPEZA TERRENO MAIS ATERRO DE BALDRAME, DE MURETA E DA ETE</t>
  </si>
  <si>
    <t>171,26 m³</t>
  </si>
  <si>
    <t xml:space="preserve">Pedro Miguel Araújo do Santo                                                                                                                                                                                                                                                                                                                                                                                                                                                                                                                                                                                            Engenheiro Civil                                                                                                                                                                                                                                                                                                                                                                                                                                                                                                                                                                                                                                                                                                                                                                                                                                                                                                                                                                                                                                          CREA/MT: 045 990                    </t>
  </si>
  <si>
    <t xml:space="preserve">  Data:  ____ / ____ / _____.</t>
  </si>
  <si>
    <t xml:space="preserve">Renan Paris de Souza                                                                                                                                                                                                                                                                                                                                                                                                                                                                                                                                                                                          Engenheiro Civil                                                                                                                                                                                                                                                                                                                                                                                                                                                                                                                                                                                                                                                                                                                                                                                                                                                                                                                                                                                                                                          CREA/MT: 100728754-3                </t>
  </si>
  <si>
    <t xml:space="preserve">                                                                                                                                                                                                                                                                                </t>
  </si>
  <si>
    <t xml:space="preserve"> Andreia Aragão                                                                                                                                                                                                                                                                                                                                                                                                                                                                                                                                                                                                                                                                                                                                                                                                                                                                                                                                                                                                                                                                                                                                                                                                                                                                                                                                                                                                                                                                                                                                                                                                                                                                                                                                                                                                                                                                                                                                                                                                                                                                                                                                                                                                                                                                                                                                                                                                                                                                                                                                                                                                                                                                                                                                                                                                                                                                                                                                                                                                                                                                                                                                                                                                                                                                                                                                                                                                                                                                                                                                                                                                                                                                                                                                                                                                                                                                                                                                                                                                                                                                                                                                                                                                                                                                                                                                                                                                                                                                                                                                                                                                                                                                                                                                                                                                                                                                                                                                                                                                                                                                                                                                                                                                                                                                         Arquiteta                                                                                                                                                                                                                                                                                                                                                                                                                                                                                                                                                                                                                                                                                                                                                                                                                                                                                                                                                                                                                                                                                                                                                                                             CAU: 79405-8                   </t>
  </si>
  <si>
    <t xml:space="preserve">Adelmo Barros                                                                                                                                                                                                                                                                                                                                                                                                                                                                                                                                                                                                                                                                                                                                                                                                                                                                                                                                                                                                                                                                                                                                                                                                                                                                                                                                                                                                                                                                                                                                                                                                                                                                                                                                                                                                                                                                                                                                                             Engenheiro Sanitarista                                                                                                                                                                                                                                                                                                                                                                                                                                                                                                                                                                                                                                                                                                                                                                                                                                                                                                                                                                                                                                                                                                                                                                                                                                                                                                                                                                                                                                                                                                                                                                                                                                                                                                                                                                                                                                                                                                                                                                                                                                                                                                                                        CREA/MT:                </t>
  </si>
  <si>
    <t xml:space="preserve">Data: </t>
  </si>
  <si>
    <t xml:space="preserve">Murilo Felipe Rebelato                                                                                                                                                                                                                                                                                                                                                                                                                                                                                                                                                                                       Engenheiro Eletricista                                                                                                                                                                                                                                                                                                                                                                                                                                                                                                                                                                                                                                                                                                                                                                                                                                                                                                                                                                                                                               CREA/MT: 120079049-9                </t>
  </si>
  <si>
    <t>PAINEL EM MADEIRA DE ITAÚBA PARA BRISE EM FACHADA</t>
  </si>
  <si>
    <t>36.900.033/0001-35</t>
  </si>
  <si>
    <t>04.076.318/0001-07</t>
  </si>
  <si>
    <t>20.939.127/0003-40</t>
  </si>
  <si>
    <t>PORTAS VIDANY</t>
  </si>
  <si>
    <t>10.355.598/0001-95</t>
  </si>
  <si>
    <t>MANTOVANI Engenharia e Automação</t>
  </si>
  <si>
    <t>PORTÃO DE CORRER DE  3,90X2,45 M,CHAPA MODELO GRADIL</t>
  </si>
  <si>
    <t>FORNECIMENTO E INSTALAÇÃO DE PORTÃO DE CORRER DE  1,50 X 2,45 M,EM CHAPA MODELO GRADIL</t>
  </si>
  <si>
    <t>PORTÃO DE CORRER DE  1,50 X 2,45 M; EM CHAPA MODELO GRADIL</t>
  </si>
  <si>
    <t>17.738.504/0001-06</t>
  </si>
  <si>
    <t>MÓDULO 2,50X2,03m</t>
  </si>
  <si>
    <t>P5 - 2UN</t>
  </si>
  <si>
    <t>MAIS P2</t>
  </si>
  <si>
    <t>SVG Metalúrgica</t>
  </si>
  <si>
    <t>18.979.315/0001-98</t>
  </si>
  <si>
    <t>CONJUNTO DE LETRAS EM CAIXA EM AÇO INOX BRILHANTE</t>
  </si>
  <si>
    <t>PORTAS PARANÁ</t>
  </si>
  <si>
    <t>33.059.676/0001-00</t>
  </si>
  <si>
    <t>Composição de referência para os coeficientes de consumo: 74200/001-SINAPI - 02/2016</t>
  </si>
  <si>
    <t>ARMAÇÃO DE FUNDAÇÕES E ESTRUTURAS DE CONCRETO ARMADO, EXCETO VIGAS, PILARES E LAJES (DE EDIFÍCIOS DE MÚLTIPLOS PAVIMENTOS, EDIFICAÇÃO TÉRREA OU SOBRADO), UTILIZANDO AÇO CA-60 DE 5.0 MM - MONTAGEM. AF_12/2015</t>
  </si>
  <si>
    <t>PREGO DE ACO POLIDO COM CABECA 17 X 27 (2 1/2 X 11)</t>
  </si>
  <si>
    <t>TABUA MADEIRA 2A QUALIDADE 2,5 X 30,0CM (1 X 12") NAO APARELHADA</t>
  </si>
  <si>
    <t>CONCRETO FCK = 20MPA, TRAÇO 1:2,6:2,9 (EM MASSA SECA DE CIMENTO/ AREIA MÉDIA/ SEIXO ROLADO) - PREPARO MECÂNICO COM BETONEIRA 400 L. AF_05/2021</t>
  </si>
  <si>
    <t>VERGA 10X10 CM EM CONCRETO PRÉ- MOLDADO FCK=20MPA</t>
  </si>
  <si>
    <t>3*1,70m = 5,10m</t>
  </si>
  <si>
    <t xml:space="preserve">30,02 Kg de Chumbadores = 200 un </t>
  </si>
  <si>
    <t>17.5.4</t>
  </si>
  <si>
    <t>SIFÃO DO TIPO FLEXÍVEL EM PVC  2" -  FORNECIMENTO E INSTALAÇÃO.</t>
  </si>
  <si>
    <t>INST. SANITÁRIAS</t>
  </si>
  <si>
    <t>18.11</t>
  </si>
  <si>
    <t>17.2.1</t>
  </si>
  <si>
    <t>17.2.2</t>
  </si>
  <si>
    <t>17.2.3</t>
  </si>
  <si>
    <t>ABRACADEIRA EM ACO PARA AMARRACAO DE ELETRODUTOS, TIPO D, COM 3/4" E UNHA DE FIXACAO</t>
  </si>
  <si>
    <t>UPPER SEG - T.T. DOS SANTOS LTDA</t>
  </si>
  <si>
    <t>QUANTITATIVO DO MURO DA SEMA DUDS TANGARA DA SERRA - R01</t>
  </si>
  <si>
    <t>MURO/MURETA COM BLOCO DE CONCRETO 14X19X39</t>
  </si>
  <si>
    <t xml:space="preserve">  Data:  </t>
  </si>
  <si>
    <t>185,78=(1499,19 m² * 0,20 m (altura)* 0,4 empolamento)+40,02(VIGA BALD)+12,08*0,40(ETE)+21m³(MURETA)</t>
  </si>
  <si>
    <t>5573,40m³*Km=185,78m³*30Km</t>
  </si>
  <si>
    <t>BEIRA RIO - FERNANDO CORREA</t>
  </si>
  <si>
    <t>01.426.365/0001-45</t>
  </si>
  <si>
    <t>YAKAO.COM.BR</t>
  </si>
  <si>
    <t>YAKAO - CUIABÁ/MT</t>
  </si>
  <si>
    <t>upperseg.com.br</t>
  </si>
  <si>
    <t>Composição de referência para os coeficientes de consumo:067127/SBC - 04/2018</t>
  </si>
  <si>
    <t>ELETROTÉCNICO COM ENCARGOS COMPLEMENTARES</t>
  </si>
  <si>
    <t>31,95+13,70+66,73+4,46</t>
  </si>
  <si>
    <t xml:space="preserve">CALÇADA INTERNA EM CONCRETO MOLDADO IN LOCO </t>
  </si>
  <si>
    <t>MURO EM BLOCO DE CONCRETO</t>
  </si>
  <si>
    <t>73,76+38,45</t>
  </si>
  <si>
    <t>11.162.692/0001-90</t>
  </si>
  <si>
    <t>LIMPEZA DE PORCELANATO COM PANO ÚMIDO</t>
  </si>
  <si>
    <t>LIMPEZA DE REVESTIMENTO CERÂMICO EM PAREDE COM PANO ÚMIDO</t>
  </si>
  <si>
    <t>COMP ELE 33</t>
  </si>
  <si>
    <t>CONDULETE PVC ENCAIXE TIPO C 3/4"</t>
  </si>
  <si>
    <t>COMP ELE 34</t>
  </si>
  <si>
    <t>CONDULETE PVC ENCAIXE TIPO LL 3/4"</t>
  </si>
  <si>
    <t>COMP ELE 35</t>
  </si>
  <si>
    <t>CONDULETE PVC ENCAIXE TIPO LR 3/4"</t>
  </si>
  <si>
    <t>COMP ELE 36</t>
  </si>
  <si>
    <t>CONDULETE PVC ENCAIXE TIPO LR  1"</t>
  </si>
  <si>
    <t>COMP ELE 37</t>
  </si>
  <si>
    <t>CONDULETE PVC ENCAIXE TIPO T  1"</t>
  </si>
  <si>
    <t>CONDULETE EM PVC, TIPO "C", SEM TAMPA, DE 3/4"</t>
  </si>
  <si>
    <t>BUCHA DE NYLON SEM ABA S6, COM PARAFUSO DE 4,20 X 40 MM EM ACO ZINCADO COM ROSCA SOBERBA, CABECA CHATA E FENDA PHILLIPS</t>
  </si>
  <si>
    <t>CONDULETE EM PVC, TIPO "LR", SEM TAMPA, DE 3/4"</t>
  </si>
  <si>
    <t>CONDULETE EM PVC, TIPO "LR", SEM TAMPA, DE 1"</t>
  </si>
  <si>
    <t>SANTIL - Materiais Elétricos</t>
  </si>
  <si>
    <t>LOJA ELÉTRICA LTDA</t>
  </si>
  <si>
    <t xml:space="preserve">BEIRAL </t>
  </si>
  <si>
    <t>ITEM 13.9 - QTITQTIVO ARQ</t>
  </si>
  <si>
    <t>17.155.342/0010-74</t>
  </si>
  <si>
    <t>www.lojaeletrica.com.br</t>
  </si>
  <si>
    <t>13,91 E 19,33 (FRETE)</t>
  </si>
  <si>
    <t>COM 3 METROS</t>
  </si>
  <si>
    <t>Vlr Unit C/ BDI</t>
  </si>
  <si>
    <t>31,95+13,70+66,73</t>
  </si>
  <si>
    <t>Calçadas do Interior do Terreno</t>
  </si>
  <si>
    <t>Calçadas Rua 24 A e Rua 09</t>
  </si>
  <si>
    <t>VIGIA NOTURNO COM ENCARGOS COMPLEMENTARES</t>
  </si>
  <si>
    <t>COMP 13</t>
  </si>
  <si>
    <t>COMP ESTR 03</t>
  </si>
  <si>
    <t>SWITCH (10/100)BASE TX + (1000)BASE T (24 + 2) PORTAS</t>
  </si>
  <si>
    <t>BANDEJA DESLIZANTE PERFURADA COM ANEL ORGANIZADOR DE CABOS E PÉS NIVELADORES</t>
  </si>
  <si>
    <t>Composição de referência para os coeficientes de consumo: 11417/ORSE-02/2021</t>
  </si>
  <si>
    <t>BANDEJA DESLIZANTE PERFURADA P/ RACK ABERTO</t>
  </si>
  <si>
    <t>BUCHA DE NYLON S-10</t>
  </si>
  <si>
    <t>KIT PÉS NIVELADORES  P/ RACK ABERTO 19"</t>
  </si>
  <si>
    <t>QUADRO DE COTAÇÕES - BANDEJA ( un  )</t>
  </si>
  <si>
    <t xml:space="preserve">UPPER SEG </t>
  </si>
  <si>
    <t>17354.683/0001-88</t>
  </si>
  <si>
    <t>PARAFUSO EM AÇO ZINCADO COM ROSCA SOBERBA, CABEÇA CHATA E FENDA PHILLIPS COM BUCHA DE NYLON S6 - FORNECIMENTO E FIXAÇÃO</t>
  </si>
  <si>
    <t>FIXAÇÃO UTILIZANDO PARAFUSO E BUCHA DE NYLON, SOMENTE MÃO DE OBRA. AF_10/2016</t>
  </si>
  <si>
    <t>49.474.698/0008-63</t>
  </si>
  <si>
    <t>santil.com.br</t>
  </si>
  <si>
    <t>HASTE DE ATERRAMENTO EM ACO COM 3,00 M DE COMPRIMENTO E DN = 5/8", REVESTIDA COM BAIXA CAMADA DE COBRE, COM CONECTOR TIPO GRAMPO</t>
  </si>
  <si>
    <t>DISJUNTOR TERMOMAGNETICO TRIPOLAR 100 A-40KA, FORNECIMENTO E INSTALACAO</t>
  </si>
  <si>
    <t>COMP ELE 26</t>
  </si>
  <si>
    <t>DISJUNTOR TERMOMAGNETICO TRIPOLAR 90 A-10KA, FORNECIMENTO E INSTALACAO</t>
  </si>
  <si>
    <t xml:space="preserve">DISJUNTOR TERMOMAGNETICO TRIPOLAR DIN 90A ,10 KA </t>
  </si>
  <si>
    <t>ABRAÇADEIRA METÁLICA TIPO "D",  COM 3/4" E  UNHA DE FIXAÇÃO</t>
  </si>
  <si>
    <t>CENTRAL TELEFÔNICA PABX 50/300</t>
  </si>
  <si>
    <t>COMP ELE 38</t>
  </si>
  <si>
    <t>COMP ELE 39</t>
  </si>
  <si>
    <t>CONDULETE EM PVC, TIPO "LL", SEM TAMPA, DE 1/2" OU 3/4"</t>
  </si>
  <si>
    <t>CABO DE COBRE FLEXÍVEL ISOLADO, 25 MM², ANTI-CHAMA 0,6/1,0 KV, PARA REDE ENTERRADA DE DISTRIBUIÇÃO DE ENERGIA ELÉTRICA - FORNECIMENTO E INSTALAÇÃO. AF_12/2021</t>
  </si>
  <si>
    <t>CABO DE COBRE FLEXÍVEL ISOLADO, 2,5 MM², ANTI-CHAMA 450/750 V, PARA CIRCUITOS TERMINAIS - FORNECIMENTO E INSTALAÇÃO. AF_12/2015</t>
  </si>
  <si>
    <t>LUVA PARA ELETRODUTO, PVC, ROSCÁVEL, DN 25 MM (3/4"), PARA CIRCUITOS TERMINAIS, INSTALADA EM LAJE - FORNECIMENTO E INSTALAÇÃO. AF_12/2015</t>
  </si>
  <si>
    <t>DISJUNTOR MONOPOLAR TIPO DIN, CORRENTE NOMINAL DE 10A - FORNECIMENTO E INSTALAÇÃO. AF_10/2020</t>
  </si>
  <si>
    <t>DISJUNTOR BIPOLAR TIPO DIN, CORRENTE NOMINAL DE 10A - FORNECIMENTO E INSTALAÇÃO. AF_10/2020</t>
  </si>
  <si>
    <t>DISJUNTOR TERMOMAGNETICO TRIPOLAR DIN 90A ,10 KA FORNECIMENTO E INSTALACAO</t>
  </si>
  <si>
    <t>ELETRODUTO FLEXÍVEL CORRUGADO, PEAD, DN 50 (1 1/2"), PARA REDE ENTERRADA DE DISTRIBUIÇÃO DE ENERGIA ELÉTRICA - FORNECIMENTO E INSTALAÇÃO. AF_12/2021</t>
  </si>
  <si>
    <t>4.2.4</t>
  </si>
  <si>
    <t>ARMAÇÃO DE PILAR OU VIGA DE UMA ESTRUTURA CONVENCIONAL DE CONCRETO ARMADO  UTILIZANDO AÇO CA-60 DE 5,0 MM - MONTAGEM. AF_06/2022</t>
  </si>
  <si>
    <t>ARMAÇÃO DE PILAR OU VIGA DE ESTRUTURA CONVENCIONAL DE CONCRETO ARMADO UTILIZANDO AÇO CA-50 DE 10,0 MM - MONTAGEM. AF_06/2022</t>
  </si>
  <si>
    <t>ARMAÇÃO DE PILAR OU VIGA DE ESTRUTURA CONVENCIONAL DE CONCRETO ARMADO UTILIZANDO AÇO CA-50 DE 16,0 MM - MONTAGEM. AF_06/2022</t>
  </si>
  <si>
    <t>ARMAÇÃO DE PILAR OU VIGA DE ESTRUTURA CONVENCIONAL DE CONCRETO ARMADO UTILIZANDO AÇO CA-50 DE 12,5 MM - MONTAGEM. AF_06/2022</t>
  </si>
  <si>
    <t>ARMAÇÃO DE LAJE DE ESTRUTURA CONVENCIONAL DE CONCRETO ARMADO UTILIZANDO AÇO CA-60 DE 5,0 MM - MONTAGEM. AF_06/2022</t>
  </si>
  <si>
    <t>ARMAÇÃO DE LAJE DE ESTRUTURA CONVENCIONAL DE CONCRETO ARMADO UTILIZANDO AÇO CA-60 DE 6,3 MM - MONTAGEM. AF_06/2022</t>
  </si>
  <si>
    <t>ARMAÇÃO DE LAJE DE ESTRUTURA CONVENCIONAL DE CONCRETO ARMADO UTILIZANDO AÇO CA-50 DE 8,0 MM - MONTAGEM. AF_06/2022</t>
  </si>
  <si>
    <t>HASTE DE ATERRAMENTO EM ACO COM 3,00 M DE COMPRIMENTO E DN = 5/8", REVESTIDA COM BAIXA CAMADA DE COBRE, SEM CONECTOR</t>
  </si>
  <si>
    <t xml:space="preserve">PORTA EM ALUMÍNIO ANODIZADO DE ABRIR, 2 FOLHAS, PARA VIDRO COM GUARNIÇÃO, 1,30X210CM, FIXAÇÃO COM PARAFUSOS, INCLUSIVE VIDROS - FORNECIMENTO E INSTALAÇÃO. </t>
  </si>
  <si>
    <t>'PORTA EM MADEIRA LISA COMUM, ENCABEÇADA DE CORRER COM TRILHO DE ALUMÍNIO - 0,80 X 2,10 M</t>
  </si>
  <si>
    <t>Composição de referência para os coeficientes de consumo: 17 4000100/AGESUL - JAN/21</t>
  </si>
  <si>
    <t>Composição de referência para os coeficientes de consumo:</t>
  </si>
  <si>
    <t>Conjunto de Letras em Caixa,aço inox brilhante, 4 letras tamanho 40 e 40 letras tamanho 20 cm</t>
  </si>
  <si>
    <t>LANÇAMENTO COM USO DE BALDES, ADENSAMENTO E ACABAMENTO DE CONCRETO EM ESTRUTURAS. AF_02/2022</t>
  </si>
  <si>
    <t>CORTE E DOBRA DE AÇO CA-50, DIÂMETRO DE 10,0 MM. AF_06/2022</t>
  </si>
  <si>
    <t>2,50 X 2,03 =5,075 m²</t>
  </si>
  <si>
    <t>SEMA-PRO-2022/00145</t>
  </si>
  <si>
    <t xml:space="preserve">PORTA EM MADEIRA LISA COMUM, 0,80X2,10 M, ENCABEÇADA DE CORRER COM TRILHO DE ALUMÍNIO - FORNECIMENTO E INSTALAÇÃO. </t>
  </si>
  <si>
    <t>(65)9.9813-9645</t>
  </si>
  <si>
    <t>MT BRASIL ESQUADRIAS</t>
  </si>
  <si>
    <t>44.947.797/0001-04</t>
  </si>
  <si>
    <t>LÚCIA                                                              (65)9.9945-1197</t>
  </si>
  <si>
    <t>(65)3686-1297</t>
  </si>
  <si>
    <t>CASTELLI  LOJA</t>
  </si>
  <si>
    <t>11.000.062/0001-10</t>
  </si>
  <si>
    <t>DIEGO          vendas4@castellimateriais.com.br - ramal 3512</t>
  </si>
  <si>
    <t>GUSMAN CONSTRUÇÃO E ACABAMENTO</t>
  </si>
  <si>
    <t>15.960.776/0001-20</t>
  </si>
  <si>
    <t>TODIMO MATERIAIS DE CONSTRUÇÃO</t>
  </si>
  <si>
    <t>15.375.991/0001-64</t>
  </si>
  <si>
    <t>427,98+262,35+126+111,40+36,28+331,29+90,73+65,50/2+INST.=</t>
  </si>
  <si>
    <t>FRETE=65,50</t>
  </si>
  <si>
    <t>480+250+80+150+165+35+350+60+250=1820,00</t>
  </si>
  <si>
    <t xml:space="preserve">ALBATROZ SERVICE </t>
  </si>
  <si>
    <t>32.562.917/0001-76</t>
  </si>
  <si>
    <t>X = R$ 1044,33/m²</t>
  </si>
  <si>
    <t xml:space="preserve"> 5,075 m² ---- R$ 5300,00             1 m²    ----  X                                                                                                      </t>
  </si>
  <si>
    <t>PREVENÇÃO SEGURANÇA ELETRÔNICA</t>
  </si>
  <si>
    <t>11.121.237/0001-47</t>
  </si>
  <si>
    <t>VILA REVESTIMENTOS</t>
  </si>
  <si>
    <t>16.582.200/0001-30</t>
  </si>
  <si>
    <t>RESERVA ACABAMENTOS</t>
  </si>
  <si>
    <t>27.355.436/0001-50</t>
  </si>
  <si>
    <t>6960+6120=13080</t>
  </si>
  <si>
    <t>X-PRINT COMUNICAÇÃO VISUAL</t>
  </si>
  <si>
    <t>22.321.448/0001-40</t>
  </si>
  <si>
    <t>IMPACTO COMUNICAÇÃO VISUAL</t>
  </si>
  <si>
    <t>07.497.061/0001-55</t>
  </si>
  <si>
    <t>R5 - COMUNICAÇÃO VISUAL</t>
  </si>
  <si>
    <t>11.662.375/0001-33</t>
  </si>
  <si>
    <t>PAINEL EM MADEIRA DE ITAÚBA PARA BRISE EM FACHADA - FORNECIMENTO E INSTALAÇÃO</t>
  </si>
  <si>
    <t>ARBUSTO MADEIRAS</t>
  </si>
  <si>
    <t>30.000.438/0001-30</t>
  </si>
  <si>
    <t>REI DO PRGOLADO E DECK</t>
  </si>
  <si>
    <t>32.920.523/0001-42</t>
  </si>
  <si>
    <t>JM DECKS E PERGOLADOS</t>
  </si>
  <si>
    <t>32.642.470/0001-45</t>
  </si>
  <si>
    <t xml:space="preserve"> FONTE: SINAPI OUT/2022(SEM DESONERAÇÃO)</t>
  </si>
  <si>
    <t>CANTONEIRA ALUMINIO ABAS IGUAIS 2 ", E = 1/8 "</t>
  </si>
  <si>
    <t>RACK FORT Soluções em Racks</t>
  </si>
  <si>
    <t>31.690.876/0001-30</t>
  </si>
  <si>
    <t>RACKFORT.COM.BR</t>
  </si>
  <si>
    <t>AZ NET TELECOM</t>
  </si>
  <si>
    <t>13.578.459/0001-23</t>
  </si>
  <si>
    <t>AZNETTELCOM.COM.BR</t>
  </si>
  <si>
    <t>LOJA ELÉTRICA</t>
  </si>
  <si>
    <t>LOJAELETRICA.COM.BR</t>
  </si>
  <si>
    <t>PONTO DIGITAL INFORMÁTICA</t>
  </si>
  <si>
    <t>PONTODIGITALINFO.COM.BR</t>
  </si>
  <si>
    <t>UPPER SEG</t>
  </si>
  <si>
    <t>17.354.683/0001-88</t>
  </si>
  <si>
    <t>UNICASERV</t>
  </si>
  <si>
    <t>unicaserv.com.br</t>
  </si>
  <si>
    <t>CPC</t>
  </si>
  <si>
    <t>27.335.649/0001-10</t>
  </si>
  <si>
    <t>cabospatcord.com.br</t>
  </si>
  <si>
    <t>REDE DISTRIBUIDORA</t>
  </si>
  <si>
    <t>10.878.552/0001-03</t>
  </si>
  <si>
    <t>LOJASREDEDISTRIBUIDORA.COM.BR</t>
  </si>
  <si>
    <t>ELETRORASTRO</t>
  </si>
  <si>
    <t>ELETRORASTRO.COM.BR</t>
  </si>
  <si>
    <t>ELÉTRICA SERPAL</t>
  </si>
  <si>
    <t>03.938.818/0001-48</t>
  </si>
  <si>
    <t>eletricaserpal.com.br</t>
  </si>
  <si>
    <t>85.014.793/0001-50</t>
  </si>
  <si>
    <t>eletrrastro.com.br</t>
  </si>
  <si>
    <t>CASA E OFICINA</t>
  </si>
  <si>
    <t>10.694.290/0001-74</t>
  </si>
  <si>
    <t>casaeoficina.com.br</t>
  </si>
  <si>
    <t>LOJAS REDE DISTRIBUIDORA</t>
  </si>
  <si>
    <t>10.878.552/0001-50</t>
  </si>
  <si>
    <t>lojasrededistribuidora</t>
  </si>
  <si>
    <t>KALUNGA</t>
  </si>
  <si>
    <t>43.283.811/0001-50</t>
  </si>
  <si>
    <t>KALUNGA.COM.BR</t>
  </si>
  <si>
    <t>FERRAGENS FLORESTA</t>
  </si>
  <si>
    <t>21.009.346/0001-20</t>
  </si>
  <si>
    <t>FERAGENSFLORESTA.COM.BR</t>
  </si>
  <si>
    <t>MAXXITACOS</t>
  </si>
  <si>
    <t>28.527.204/0001-02</t>
  </si>
  <si>
    <t>MAXXITACOS.COM.BR</t>
  </si>
  <si>
    <t>MARCENEIRO EXPRESSO</t>
  </si>
  <si>
    <t>24.974.585/0001-09</t>
  </si>
  <si>
    <t>MARCENEIROEXPRESSO.COM.BR</t>
  </si>
  <si>
    <t>ELETROINFO CIA</t>
  </si>
  <si>
    <t>16.605.464/0001-61</t>
  </si>
  <si>
    <t>ELETROINFOCIA.COM.BR</t>
  </si>
  <si>
    <t>DIMENSIONAL</t>
  </si>
  <si>
    <t>06.913.480/0015-63</t>
  </si>
  <si>
    <t>DIMENSIONAL.COM.BR</t>
  </si>
  <si>
    <t>206,81 E 21,82 FRETE</t>
  </si>
  <si>
    <t>74,48 e 16,82 (FRETE)</t>
  </si>
  <si>
    <t>KADRI INFORMÁTICA</t>
  </si>
  <si>
    <t>01.030.685/0001-81</t>
  </si>
  <si>
    <t>KADRIINFORMATICA.COM.BR</t>
  </si>
  <si>
    <t>YAKAO</t>
  </si>
  <si>
    <t xml:space="preserve">PARATEC </t>
  </si>
  <si>
    <t>36.134.420/0001-08</t>
  </si>
  <si>
    <t>vendas@paratec.com.br</t>
  </si>
  <si>
    <t>lojaeletrica.com.br</t>
  </si>
  <si>
    <t>MULTISEG</t>
  </si>
  <si>
    <t>10.498.309/0001-84</t>
  </si>
  <si>
    <t>multiseg.com.br</t>
  </si>
  <si>
    <t>MULTISEG EQUIPAMENTOS DE SEGURANÇA</t>
  </si>
  <si>
    <t>10.498.304/0001-84</t>
  </si>
  <si>
    <t>ZIG FERRAMENTAS</t>
  </si>
  <si>
    <t>20.634.386/0001-09</t>
  </si>
  <si>
    <t>zigferramentas.com.br</t>
  </si>
  <si>
    <t>56.545.742/0007-42</t>
  </si>
  <si>
    <t>dimensional.com.br</t>
  </si>
  <si>
    <t>SANTIL</t>
  </si>
  <si>
    <t>49.474.398/0004-30</t>
  </si>
  <si>
    <t>ANHANGUERA FERRAMENTAS</t>
  </si>
  <si>
    <t>00.565.813/0001-29</t>
  </si>
  <si>
    <t>anhangueraferramentas</t>
  </si>
  <si>
    <t>yakao.com.br</t>
  </si>
  <si>
    <t>eletrorastro.com.br</t>
  </si>
  <si>
    <t>ELETROTRAFO</t>
  </si>
  <si>
    <t>80.224.785/0001-15</t>
  </si>
  <si>
    <t>eletrotrafo.com.br</t>
  </si>
  <si>
    <t>SERPAL</t>
  </si>
  <si>
    <t>AGROMETAL</t>
  </si>
  <si>
    <t>48.539.548/0001-30</t>
  </si>
  <si>
    <t>lojaaagrometal.com.br</t>
  </si>
  <si>
    <t>COMBINADO</t>
  </si>
  <si>
    <t>45.618.763/0001-39</t>
  </si>
  <si>
    <t>combinado.com.br</t>
  </si>
  <si>
    <t>INSPIRE HOME ILUMINAÇÃO</t>
  </si>
  <si>
    <t>24.335.485/0001-32</t>
  </si>
  <si>
    <t>inspirehome.com.br</t>
  </si>
  <si>
    <t>BUCHA DE NYLON SEM ABA S10, COM PARAFUSO DE 6,10 X 65 MM EM ACO ZINCADO COM ROSCA SOBERBA, CABECA CHATA E FENDA PHILLIPS</t>
  </si>
  <si>
    <t>ELÉTRICA SERPAL LTDA</t>
  </si>
  <si>
    <t>DIMENSIONAL BRASIL SOLUÇÕES LTDA</t>
  </si>
  <si>
    <t>OPUS SECURITY</t>
  </si>
  <si>
    <t>32.332.080/0001-79</t>
  </si>
  <si>
    <t>OPUSSECURITY.COM.BR</t>
  </si>
  <si>
    <t>kalunga.com.br</t>
  </si>
  <si>
    <t>05.896.435/0001-80</t>
  </si>
  <si>
    <t xml:space="preserve">V. Unitário 1,193 + (Frete) 71,8/200 = 1,55 </t>
  </si>
  <si>
    <t>CAMADA SEPARADORA PARA EXECUÇÃO DE RADIER, PISO DE CONCRETO OU LAJE SOBRE SOLO, EM LONA PLÁSTICA. AF_09/2021</t>
  </si>
  <si>
    <t>ENCHIMENTO DE BRITA PARA DRENO, LANÇAMENTO MANUAL. AF_07/2021</t>
  </si>
  <si>
    <t>EXECUÇÃO DE RADIER, ESPESSURA DE 15 CM, FCK = 30 MPA, COM USO DE FORMAS EM MADEIRA SERRADA. AF_09/2021</t>
  </si>
  <si>
    <t>ARMAÇÃO DE LAJE DE ESTRUTURA CONVENCIONAL DE CONCRETO ARMADO UTILIZANDO AÇO CA-60 DE 4,2 MM - MONTAGEM. AF_06/2022</t>
  </si>
  <si>
    <t>(COMPOSIÇÃO REPRESENTATIVA) DE ALVENARIA DE BLOCOS DE CONCRETO ESTRUTURAL 14X19X39 CM, (ESPESSURA 14 CM), FBK = 4,5 MPA, UTILIZANDO PALHETA, PARA EDIFICAÇÃO HABITACIONAL. AF_10/2015</t>
  </si>
  <si>
    <t>LANÇAMENTO COM USO DE BOMBA, ADENSAMENTO E ACABAMENTO DE CONCRETO EM ESTRUTURAS. AF_02/2022</t>
  </si>
  <si>
    <t>TAMPA CIRCULAR PARA ESGOTO E DRENAGEM, EM CONCRETO PRÉ-MOLDADO, DIÂMETRO INTERNO = 0,60 M E ALTURA = 0,10 M. AF_12/2020</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</si>
  <si>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</si>
  <si>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</si>
  <si>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20,0 MM - MONTAGEM. AF_06/2022</t>
  </si>
  <si>
    <t>ARMAÇÃO DE PILAR OU VIGA DE UMA ESTRUTURA CONVENCIONAL DE CONCRETO ARMADO UTILIZANDO AÇO CA-50 DE 8,0 MM - MONTAGEM. AF_06/2022</t>
  </si>
  <si>
    <t>204,82+263,29+17,52+69,86 = 555,49</t>
  </si>
  <si>
    <t>ALVENARIA DE VEDAÇÃO DE BLOCOS CERÂMICOS FURADOS NA HORIZONTAL DE 9X14X19 CM (ESPESSURA 9 CM) E ARGAMASSA DE ASSENTAMENTO COM PREPARO EM BETONEIRA. AF_12/2021</t>
  </si>
  <si>
    <t>VERGA MOLDADA IN LOCO EM CONCRETO PARA JANELAS COM MAIS DE 1,5 M DE VÃO. AF_03/2016</t>
  </si>
  <si>
    <t>CONTRAVERGA MOLDADA IN LOCO COM UTILIZAÇÃO DE BLOCOS CANALETA PARA VÃOS DE ATÉ 1,5 M DE COMPRIMENTO. AF_03/2016</t>
  </si>
  <si>
    <t>11.2.27</t>
  </si>
  <si>
    <t>ARMAÇÃO DE PILAR OU VIGA DE ESTRUTURA DE CONCRETO ARMADO EMBUTIDA EM ALVENARIA DE VEDAÇÃO UTILIZANDO AÇO CA-60 DE 5,0 MM - MONTAGEM. AF_06/2022</t>
  </si>
  <si>
    <t>Conforme a LEI COMPLEMENTAR Nº 022/1996   (Código tributário) do município  de TANGARÁ DA SERRA - MT,  a alíquota do ISSQN é de 3%. Entretanto, ela não determina o arbitramento sobre os materiais, apenas menciona que poderá ser deduzido da base de cálculo. Dessa forma, adotou-se por referência um arbitramento de acordo com a capital Cuiabá com o valor de 40% (3% de 40% = 1,8%). Valor do ISS não deve ser menor que  2% e superior a 5%.</t>
  </si>
  <si>
    <t xml:space="preserve">ENGENHEIRO CIVIL  - 15h / semana * 16 semanas = 240 h                                                          ENCARREGADO - 22 dias/mês * 8 h/dia* 4 meses = 704 h                                                                   VIGIA NOTURNO - 12h/dia x 30 dias/mês x 4 meses = 1440 h </t>
  </si>
  <si>
    <t>SE PARA 1m² são 0,003m³ de argamassa, 2,73m² correspondem a 0,00819m³</t>
  </si>
  <si>
    <t xml:space="preserve">SE PARA 1m² gasta 1h de pedreiro,2,73m² correspondem a 2,73h </t>
  </si>
  <si>
    <t xml:space="preserve">SE PARA 1m² gasta 1,5h de servente;2,73m² correspondem a 4,095h </t>
  </si>
  <si>
    <t>KAROLINE ALMEIDA                 3684-6610</t>
  </si>
  <si>
    <t>Guilherme Novack Silva       ( 65)3621-3767</t>
  </si>
  <si>
    <t>Elaine C Silva Reis         2128-9400</t>
  </si>
  <si>
    <t>FEITOSA                    3627-1590</t>
  </si>
  <si>
    <t xml:space="preserve">       Sara Costa            3052-6179/9.9662-8830</t>
  </si>
  <si>
    <t>LÚCIA                                  (65)9.9945-1197</t>
  </si>
  <si>
    <t>Amanda R Gomes Silva              9.8422-8484</t>
  </si>
  <si>
    <t>(65) 9.9990-0505</t>
  </si>
  <si>
    <t>Armando Sérgio             (65)3682-6168/9.927-4934</t>
  </si>
  <si>
    <t>Rafael S Porto                  (65) 9.9964-9791</t>
  </si>
  <si>
    <t>Jesse Albano                          (65)9.8462-8245</t>
  </si>
  <si>
    <t>trinta.shop/segurancaeletronica58.com               (65)3044-4804</t>
  </si>
  <si>
    <t>Anderson de Arruda Dias                  (65)9.9643-6422</t>
  </si>
  <si>
    <t>Elisangela Maciel       (65)3358-3167</t>
  </si>
  <si>
    <t>Marcos Antonio Brotto Jr     9.9933-3569</t>
  </si>
  <si>
    <t>DANIEL        3055-0702</t>
  </si>
  <si>
    <t>WHATSAPP   (65)9.9307-4180</t>
  </si>
  <si>
    <t>FABIANO  (65)9.9929-8238/9978-4470</t>
  </si>
  <si>
    <t>MAYCON      (66)3325-1010/9.8433-1996</t>
  </si>
  <si>
    <r>
      <t xml:space="preserve">ROGER    </t>
    </r>
    <r>
      <rPr>
        <sz val="9"/>
        <rFont val="Arial"/>
        <family val="2"/>
      </rPr>
      <t xml:space="preserve">(65)9.9961-6614      </t>
    </r>
    <r>
      <rPr>
        <sz val="10"/>
        <color theme="1"/>
        <rFont val="Arial"/>
        <family val="2"/>
      </rPr>
      <t xml:space="preserve">                                          </t>
    </r>
  </si>
  <si>
    <t>CONECTOR / TOMADA FEMEA RJ 45, CATEGORIA 6 (CAT 6) PARA CABOS</t>
  </si>
  <si>
    <t>GUIA ORGANIZADOR DE CABO FECHADO HORIZONTAL, 19´ 1 U</t>
  </si>
  <si>
    <t>GUIA ORGANIZADOR DE CABOS HORIZONTAL, 19´ 1 U</t>
  </si>
  <si>
    <t>ANEL ORGANIZADOR DE CABOS EM ESPIRAL</t>
  </si>
  <si>
    <t>QUADRO DE COTAÇÕES - ANEL ORGANIZADOR DE CABOS EM ESPIRAL (m  )</t>
  </si>
  <si>
    <t>QUADRO DE COTAÇÕES - KIT PÉS NIVELADORES  P/ RACK ABERTO 19" (cj )</t>
  </si>
  <si>
    <t>CONECTOR PLUGUE 110 IDC - 4 PARES</t>
  </si>
  <si>
    <t>CONECTOR 110 IDC -CAT 5E - 4 PARES</t>
  </si>
  <si>
    <t>CONECTOR MACHO RJ45 (CM8v)</t>
  </si>
  <si>
    <t>QUADRO DE COTAÇÕES ( m  )</t>
  </si>
  <si>
    <t>CONDULETE EM PVC, TIPO "T", SEM TAMPA, DE 1"</t>
  </si>
  <si>
    <t>PROCESSO:</t>
  </si>
  <si>
    <t>CORTE E DOBRA DE AÇO CA-60, DIÂMETRO DE 5,0 MM. AF_06/2022</t>
  </si>
  <si>
    <t>DILUENTE  AGUARRAS</t>
  </si>
  <si>
    <t>WALSYWA -</t>
  </si>
  <si>
    <t>Thais P Aleixo Santos                                                                                                  (11)5912-1000</t>
  </si>
  <si>
    <t>A COTAÇÃO FOI FEITA DIRETAMENTE COM O FABRICANTE, POIS AS EMPRESAS DO MERCADO LOCAL NÃO POSSUEM O CHUMBADOR ESPECIFICADO NO PROJETO</t>
  </si>
  <si>
    <t>ELETRODUTO RÍGIDO SOLDÁVEL, PVC, DN 25 MM (3/4), APARENTE, INSTALADO EM TETO - FORNECIMENTO E INSTALAÇÃO. AF_11/2016</t>
  </si>
  <si>
    <t>GUIA ORGANIZADORA DE CABOS HORIZONTAL, 19´ 1 U</t>
  </si>
  <si>
    <t>11.1.41</t>
  </si>
  <si>
    <t>12.4</t>
  </si>
  <si>
    <t>11.2.28</t>
  </si>
  <si>
    <t>4.1.5</t>
  </si>
  <si>
    <t>EMPRESA TANGARÁ</t>
  </si>
  <si>
    <t>13.30</t>
  </si>
  <si>
    <t>COMP HIDR 23</t>
  </si>
  <si>
    <t>CAIXA D'AGUA FIBRA DE VIDRO PARA 2000 LITROS, COM TAMPA</t>
  </si>
  <si>
    <t>Composição de referência para os coeficientes de consumo: 48.02.204/CPOS - 02/2022</t>
  </si>
  <si>
    <t>RESERVATÓRIO EM FIBRA DE VIDRO COM TAMPA - CAPACIDADE 2000 LITROS</t>
  </si>
  <si>
    <t>COMP HIDR  23</t>
  </si>
  <si>
    <t>COMP 33</t>
  </si>
  <si>
    <t>PLACA DE INAUGURAÇÃO - FORNECIMENTO E INSTALAÇÃO</t>
  </si>
  <si>
    <t>PLACA DE INAUGURACAO METALICA, *40* CM X *60* CM</t>
  </si>
  <si>
    <r>
      <t>Composição de referência para os coeficientes de consumo:</t>
    </r>
    <r>
      <rPr>
        <sz val="10"/>
        <rFont val="Arial"/>
        <family val="2"/>
      </rPr>
      <t xml:space="preserve"> 270805/AGETOP - 01/2022</t>
    </r>
  </si>
  <si>
    <t>CADERNO DE COMPOSIÇÕES</t>
  </si>
  <si>
    <t>DESCONTO MATERIAIS E EQUIPAMENTOS</t>
  </si>
  <si>
    <t>CONTROLE DE DESCONTO</t>
  </si>
  <si>
    <t>EDITAL</t>
  </si>
  <si>
    <t>PROPOSTA</t>
  </si>
  <si>
    <t>DESCONTO</t>
  </si>
  <si>
    <t>Obra:</t>
  </si>
  <si>
    <t>R$</t>
  </si>
  <si>
    <t>Ref:</t>
  </si>
  <si>
    <t>Local:</t>
  </si>
  <si>
    <t>&lt;- INSIRA SEU DESCONTO AQUI</t>
  </si>
  <si>
    <t>CÓDIGO</t>
  </si>
  <si>
    <t>DESCRIÇÃO DA COMPOSIÇÃO</t>
  </si>
  <si>
    <t>TABELA</t>
  </si>
  <si>
    <t>TIPO DO ÍTEM</t>
  </si>
  <si>
    <t>COEF.</t>
  </si>
  <si>
    <t>OCULTAR</t>
  </si>
  <si>
    <t>CUSTO UNT.</t>
  </si>
  <si>
    <t>CUSTO TOTAL</t>
  </si>
  <si>
    <t>SINAPI</t>
  </si>
  <si>
    <t>TOTAL DO ÍTEM</t>
  </si>
  <si>
    <t>Vlr Unit EMPRESA</t>
  </si>
  <si>
    <t>Insumo</t>
  </si>
  <si>
    <t>JARDINEIRO COM ENCARGOS COMPLEMENTARES</t>
  </si>
  <si>
    <t>TRATOR DE ESTEIRAS, POTÊNCIA 100 HP, PESO OPERACIONAL 9,4 T, COM LÂMINA 2,19 M3 - CHI DIURNO. AF_06/2014</t>
  </si>
  <si>
    <t>TRATOR DE ESTEIRAS, POTÊNCIA 100 HP, PESO OPERACIONAL 9,4 T, COM LÂMINA 2,19 M3 - CHP DIURNO. AF_06/2014</t>
  </si>
  <si>
    <t>ESCAVADEIRA HIDRÁULICA SOBRE ESTEIRAS, CAÇAMBA 0,80 M3, PESO OPERACIONAL 17 T, POTENCIA BRUTA 111 HP - CHP DIURNO. AF_06/2014</t>
  </si>
  <si>
    <t>ESCAVADEIRA HIDRÁULICA SOBRE ESTEIRAS, CAÇAMBA 0,80 M3, PESO OPERACIONAL 17 T, POTENCIA BRUTA 111 HP - CHI DIURNO.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</si>
  <si>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</si>
  <si>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</si>
  <si>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</si>
  <si>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</si>
  <si>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TABUA APARELHADA *2,5 X 30* CM, EM MACARANDUBA, ANGELIM OU EQUIVALENTE DA REGIAO</t>
  </si>
  <si>
    <t>CAIBRO NAO APARELHADO  *7,5 X 7,5* CM, EM MACARANDUBA, ANGELIM OU EQUIVALENTE DA REGIAO -  BRUTA</t>
  </si>
  <si>
    <t xml:space="preserve">PREGO DE ACO POLIDO COM CABECA 18 X 27 (2 1/2 X 10)  </t>
  </si>
  <si>
    <t>TELHA TRAPEZOIDAL EM ACO ZINCADO, SEM PINTURA, ALTURA DE APROXIMADAMENTE 40 MM, ESPESSURA DE 0,50 MM E LARGURA UTIL DE 980 MM</t>
  </si>
  <si>
    <t>SERRA CIRCULAR DE BANCADA COM MOTOR ELÉTRICO POTÊNCIA DE 5HP, COM COIFA PARA DISCO 10" - CHP DIURNO. AF_08/2015</t>
  </si>
  <si>
    <t>SERRA CIRCULAR DE BANCADA COM MOTOR ELÉTRICO POTÊNCIA DE 5HP, COM COIFA PARA DISCO 10" - CHI DIURNO. AF_08/2015</t>
  </si>
  <si>
    <t>CONCRETO MAGRO PARA LASTRO, TRAÇO 1:4,5:4,5 (EM MASSA SECA DE CIMENTO/ AREIA MÉDIA/ BRITA 1) - PREPARO MANUAL. AF_05/2021</t>
  </si>
  <si>
    <t>SARRAFO NAO APARELHADO *2,5 X 7* CM, EM MACARANDUBA, ANGELIM OU EQUIVALENTE DA REGIAO -  BRUTA</t>
  </si>
  <si>
    <t xml:space="preserve">PREGO DE ACO POLIDO COM CABECA 17 X 21 (2 X 11)  </t>
  </si>
  <si>
    <t xml:space="preserve">TINTA LATEX ACRILICA PREMIUM, COR BRANCO FOSCO                                                                                                                                                                                                                                                                                                                                                                                                                                                            </t>
  </si>
  <si>
    <t>TABUA *2,5 X 23* CM EM PINUS, MISTA OU EQUIVALENTE DA REGIAO - BRUTA</t>
  </si>
  <si>
    <t>MARCAÇÃO DE PONTOS EM GABARITO OU CAVALETE. AF_10/2018</t>
  </si>
  <si>
    <t>UN</t>
  </si>
  <si>
    <t>FECHADURA ESPELHO PARA PORTA EXTERNA, EM ACO INOX (MAQUINA, TESTA E CONTRA-TESTA) E EM ZAMAC (MACANETA, LINGUETA E TRINCOS) COM ACABAMENTO CROMADO, MAQUINA DE 40 MM, INCLUINDO CHAVE TIPO CILINDRO</t>
  </si>
  <si>
    <t>CJ</t>
  </si>
  <si>
    <t xml:space="preserve">JUNCAO SIMPLES, PVC, DN 100 X 50 MM, SERIE NORMAL PARA ESGOTO PREDIAL  </t>
  </si>
  <si>
    <t xml:space="preserve">JUNCAO SIMPLES, PVC, 45 GRAUS, DN 100 X 100 MM, SERIE NORMAL PARA ESGOTO PREDIAL  </t>
  </si>
  <si>
    <t>FORRO DE PVC LISO, BRANCO, REGUA DE 10 CM, ESPESSURA DE 8 MM A 10 MM (COM COLOCACAO / SEM ESTRUTURA METALICA)</t>
  </si>
  <si>
    <t xml:space="preserve">MICTORIO COLETIVO ACO INOX (AISI 304), E = 0,8 MM, DE *100 X 40 X 30* CM (C X A X P)  </t>
  </si>
  <si>
    <t xml:space="preserve">CAIXA SIFONADA, PVC, 150 X 150 X 50 MM, COM GRELHA QUADRADA, BRANCA (NBR 5688)                                                                                                                                                                                                                                                                                                                                                                                                                            </t>
  </si>
  <si>
    <t>VALVULA DE DESCARGA EM METAL CROMADO PARA MICTORIO COM ACIONAMENTO POR PRESSAO E FECHAMENTO AUTOMATICO</t>
  </si>
  <si>
    <t>PORTA DE MADEIRA, FOLHA LEVE (NBR 15930), DE 600 X 2100 MM, E = 35 MM, NUCLEO COLMEIA, CAPA LISA EM HDF, ACABAMENTO MELAMINICO EM PADRAO MADEIRA</t>
  </si>
  <si>
    <t xml:space="preserve">UN    </t>
  </si>
  <si>
    <t>VASO SANITÁRIO SIFONADO COM CAIXA ACOPLADA LOUÇA BRANCA - FORNECIMENTO E INSTALAÇÃO. AF_01/2020</t>
  </si>
  <si>
    <t>MASSA ÚNICA, PARA RECEBIMENTO DE PINTURA, EM ARGAMASSA TRAÇO 1:2:8, PREPARO MANUAL, APLICADA MANUALMENTE EM FACES INTERNAS DE PAREDES, ESPESSURA DE 10MM, COM EXECUÇÃO DE TALISCAS. AF_06/2014</t>
  </si>
  <si>
    <t>EMBOÇO OU MASSA ÚNICA EM ARGAMASSA TRAÇO 1:2:8, PREPARO MANUAL, APLICADA MANUALMENTE EM PANOS DE FACHADA COM PRESENÇA DE VÃOS, ESPESSURA DE 25 MM. AF_08/2022</t>
  </si>
  <si>
    <t>CHAPISCO APLICADO NO TETO, COM ROLO PARA TEXTURA ACRÍLICA. ARGAMASSA INDUSTRIALIZADA COM PREPARO EM MISTURADOR 300 KG. AF_06/2014</t>
  </si>
  <si>
    <t>CHAPISCO APLICADO EM ALVENARIA (COM PRESENÇA DE VÃOS) E ESTRUTURAS DE CONCRETO DE FACHADA, COM ROLO PARA TEXTURA ACRÍLICA.  ARGAMASSA INDUSTRIALIZADA COM PREPARO EM MISTURADOR 300 KG. AF_06/2014</t>
  </si>
  <si>
    <t>(COMPOSIÇÃO REPRESENTATIVA) DO SERVIÇO DE REVESTIMENTO CERÂMICO PARA PISO COM PLACAS TIPO ESMALTADA EXTRA DE DIMENSÕES 35X35 CM, PARA EDIFICAÇÃO HABITACIONAL UNIFAMILIAR (CASA) E EDIFICAÇÃO PÚBLICA PADRÃO. AF_11/2014</t>
  </si>
  <si>
    <t>RALO SIFONADO, PVC, DN 100 X 40 MM, JUNTA SOLDÁVEL, FORNECIDO E INSTALADO EM RAMAL DE DESCARGA OU EM RAMAL DE ESGOTO SANITÁRIO. AF_08/2022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</si>
  <si>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</si>
  <si>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</si>
  <si>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100 MM, FORNECIDO E INSTALADO EM RAMAL DE DESCARGA OU RAMAL DE ESGOTO SANITÁRIO. AF_08/2022</t>
  </si>
  <si>
    <t>JOELHO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</si>
  <si>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</si>
  <si>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CURVA CURTA 90 GRAUS, PVC, SERIE NORMAL, ESGOTO PREDIAL, DN 100 MM, JUNTA ELÁSTICA, FORNECIDO E INSTALADO EM RAMAL DE DESCARGA OU RAMAL DE ESGOTO SANITÁRIO. AF_08/2022</t>
  </si>
  <si>
    <t>TE, PVC, SERIE NORMAL, ESGOTO PREDIAL, DN 50 X 50 MM, JUNTA ELÁSTICA, FORNECIDO E INSTALADO EM RAMAL DE DESCARGA OU RAMAL DE ESGOTO SANITÁRIO. AF_08/2022</t>
  </si>
  <si>
    <t>PONTO DE CONSUMO TERMINAL DE ÁGUA FRIA (SUBRAMAL) COM TUBULAÇÃO DE PVC, DN 25 MM, INSTALADO EM RAMAL DE ÁGUA, INCLUSOS RASGO E CHUMBAMENTO EM ALVENARIA. AF_12/2014</t>
  </si>
  <si>
    <t>KIT DE REGISTRO DE PRESSÃO BRUTO DE LATÃO ¾", INCLUSIVE CONEXÕES, ROSCÁVEL, INSTALADO EM RAMAL DE ÁGUA FRIA - FORNECIMENTO E INSTALAÇÃO. AF_12/2014</t>
  </si>
  <si>
    <t>RASGO EM ALVENARIA PARA RAMAIS/ DISTRIBUIÇÃO COM DIAMETROS MENORES OU IGUAIS A 40 MM. AF_05/2015</t>
  </si>
  <si>
    <t>CHUMBAMENTO LINEAR EM ALVENARIA PARA RAMAIS/DISTRIBUIÇÃO COM DIÂMETROS MENORES OU IGUAIS A 40 MM. AF_05/2015</t>
  </si>
  <si>
    <t>PORTA DE MADEIRA PARA PINTURA, SEMI-OCA (LEVE OU MÉDIA), 80X210CM, ESPESSURA DE 3,5CM, INCLUSO DOBRADIÇAS - FORNECIMENTO E INSTALAÇÃO. AF_12/2019</t>
  </si>
  <si>
    <t>FIXAÇÃO DE TUBOS HORIZONTAIS DE PVC, CPVC OU COBRE DIÂMETROS MENORES OU IGUAIS A 40 MM OU ELETROCALHAS ATÉ 150MM DE LARGURA, COM ABRAÇADEIRA METÁLICA RÍGIDA TIPO D 1/2”, FIXADA EM PERFILADO EM LAJE. AF_05/2015</t>
  </si>
  <si>
    <t>FIXAÇÃO DE TUBOS VERTICAIS DE PPR DIÂMETROS MENORES OU IGUAIS A 40 MM COM ABRAÇADEIRA METÁLICA RÍGIDA TIPO D 1/2", FIXADA EM PERFILADO EM ALVENARIA. AF_05/2015</t>
  </si>
  <si>
    <t>FECHADURA DE EMBUTIR PARA PORTA DE BANHEIRO, COMPLETA, ACABAMENTO PADRÃO POPULAR, INCLUSO EXECUÇÃO DE FURO - FORNECIMENTO E INSTALAÇÃO. AF_12/2019</t>
  </si>
  <si>
    <t>ELETRODUTO RÍGIDO ROSCÁVEL, PVC, DN 20 MM (1/2"), PARA CIRCUITOS TERMINAIS, INSTALADO EM FORRO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</si>
  <si>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</si>
  <si>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</si>
  <si>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LUVA PARA ELETRODUTO, PVC, ROSCÁVEL, DN 25 MM (3/4"), PARA CIRCUITOS TERMINAIS, INSTALADA EM FORRO - FORNECIMENTO E INSTALAÇÃO. AF_12/2015</t>
  </si>
  <si>
    <t>LUVA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</si>
  <si>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</si>
  <si>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20 MM (1/2"), PARA CIRCUITOS TERMINAIS, INSTALADA EM PAREDE - FORNECIMENTO E INSTALAÇÃO. AF_12/2015</t>
  </si>
  <si>
    <t>CABO DE COBRE FLEXÍVEL ISOLADO, 1,5 MM², ANTI-CHAMA 450/750 V, PARA CIRCUITOS TERMINAIS - FORNECIMENTO E INSTALAÇÃO. AF_12/2015</t>
  </si>
  <si>
    <t>CABO DE COBRE FLEXÍVEL ISOLADO, 4 MM², ANTI-CHAMA 450/750 V, PARA CIRCUITOS TERMINAIS - FORNECIMENTO E INSTALAÇÃO. AF_12/2015</t>
  </si>
  <si>
    <t>CAIXA OCTOGONAL 3" X 3", PVC, INSTALADA EM LAJE - FORNECIMENTO E INSTALAÇÃO. AF_12/2015</t>
  </si>
  <si>
    <t>TOMADA BAIXA DE EMBUTIR (1 MÓDULO), 2P+T 10 A, INCLUINDO SUPORTE E PLACA - FORNECIMENTO E INSTALAÇÃO. AF_12/2015</t>
  </si>
  <si>
    <t>TRAMA DE MADEIRA COMPOSTA POR TERÇAS PARA TELHADOS DE ATÉ 2 ÁGUAS PARA TELHA ONDULADA DE FIBROCIMENTO, METÁLICA, PLÁSTICA OU TERMOACÚSTICA, INCLUSO TRANSPORTE VERTICAL. AF_07/2019</t>
  </si>
  <si>
    <t>CABO DE COBRE FLEXÍVEL ISOLADO, 16 MM², ANTI-CHAMA 450/750 V, PARA DISTRIBUIÇÃO - FORNECIMENTO E INSTALAÇÃO. AF_12/2015</t>
  </si>
  <si>
    <t>ESCAVAÇÃO MANUAL DE VALA COM PROFUNDIDADE MENOR OU IGUAL A 1,30 M. AF_02/2021</t>
  </si>
  <si>
    <t>TELHAMENTO COM TELHA ONDULADA DE FIBROCIMENTO E = 6 MM, COM RECOBRIMENTO LATERAL DE 1 1/4 DE ONDA PARA TELHADO COM INCLINAÇÃO MÁXIMA DE 10°, COM ATÉ 2 ÁGUAS, INCLUSO IÇAMENTO. AF_07/2019</t>
  </si>
  <si>
    <t>JANELA DE AÇO TIPO BASCULANTE PARA VIDROS, COM BATENTE, FERRAGENS E PINTURA ANTICORROSIVA. EXCLUSIVE VIDROS, ACABAMENTO, ALIZAR E CONTRAMARCO. FORNECIMENTO E INSTALAÇÃO. AF_12/2019</t>
  </si>
  <si>
    <t>LASTRO DE CONCRETO MAGRO, APLICADO EM PISOS, LAJES SOBRE SOLO OU RADIERS, ESPESSURA DE 3 CM. AF_07/2016</t>
  </si>
  <si>
    <t>LASTRO DE CONCRETO MAGRO, APLICADO EM PISOS, LAJES SOBRE SOLO OU RADIERS, ESPESSURA DE 5 CM. AF_07/2016</t>
  </si>
  <si>
    <t>CONDULETE DE PVC, TIPO B, PARA ELETRODUTO DE PVC SOLDÁVEL DN 25 MM (3/4''), APARENTE - FORNECIMENTO E INSTALAÇÃO. AF_11/2016</t>
  </si>
  <si>
    <t>CONDULETE DE PVC, TIPO LB, PARA ELETRODUTO DE PVC SOLDÁVEL DN 25 MM (3/4''), APARENTE - FORNECIMENTO E INSTALAÇÃO. AF_11/2016</t>
  </si>
  <si>
    <t>HASTE DE ATERRAMENTO 5/8  PARA SPDA - FORNECIMENTO E INSTALAÇÃO. AF_12/2017</t>
  </si>
  <si>
    <t>LUMINÁRIA TIPO CALHA, DE SOBREPOR, COM 2 LÂMPADAS TUBULARES FLUORESCENTES DE 36 W, COM REATOR DE PARTIDA RÁPIDA - FORNECIMENTO E INSTALAÇÃO. AF_02/2020</t>
  </si>
  <si>
    <t>CAIXA ENTERRADA ELÉTRICA RETANGULAR, EM ALVENARIA COM TIJOLOS CERÂMICOS MACIÇOS, FUNDO COM BRITA, DIMENSÕES INTERNAS: 0,3X0,3X0,3 M. AF_12/2020</t>
  </si>
  <si>
    <t>CAIXA ENTERRADA HIDRÁULICA RETANGULAR, EM ALVENARIA COM BLOCOS DE CONCRETO, DIMENSÕES INTERNAS: 0,6X0,6X0,6 M PARA REDE DE ESGOTO. AF_12/2020</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</si>
  <si>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</si>
  <si>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</si>
  <si>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</si>
  <si>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</si>
  <si>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</si>
  <si>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</si>
  <si>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</si>
  <si>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</si>
  <si>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PISO CIMENTADO, TRAÇO 1:3 (CIMENTO E AREIA), ACABAMENTO LISO, ESPESSURA 2,0 CM, PREPARO MECÂNICO DA ARGAMASSA. AF_09/2020</t>
  </si>
  <si>
    <t>CHUVEIRO ELÉTRICO COMUM CORPO PLÁSTICO, TIPO DUCHA – FORNECIMENTO E INSTALAÇÃO. AF_01/2020</t>
  </si>
  <si>
    <t>ALVENARIA DE EMBASAMENTO COM BLOCO ESTRUTURAL DE CONCRETO, DE 14X19X29CM E ARGAMASSA DE ASSENTAMENTO COM PREPARO EM BETONEIRA. AF_05/2020</t>
  </si>
  <si>
    <t>QUADRO DE DISTRIBUIÇÃO DE ENERGIA EM PVC, DE EMBUTIR, SEM BARRAMENTO, PARA 6 DISJUNTORES - FORNECIMENTO E INSTALAÇÃO. AF_10/2020</t>
  </si>
  <si>
    <t>DISJUNTOR MONOPOLAR TIPO NEMA, CORRENTE NOMINAL DE 35 ATÉ 50A - FORNECIMENTO E INSTALAÇÃO. AF_10/2020</t>
  </si>
  <si>
    <t>ALVENARIA DE VEDAÇÃO DE BLOCOS CERÂMICOS FURADOS NA HORIZONTAL DE 9X19X19 CM (ESPESSURA 9 CM) E ARGAMASSA DE ASSENTAMENTO COM PREPARO EM BETONEIRA. AF_12/2021</t>
  </si>
  <si>
    <t>CAIBRO 5 X 5 CM EM PINUS, MISTA OU EQUIVALENTE DA REGIAO - BRUTA</t>
  </si>
  <si>
    <t>TABUA  NAO  APARELHADA  *2,5 X 20* CM, EM MACARANDUBA, ANGELIM OU EQUIVALENTE DA REGIAO - BRUTA</t>
  </si>
  <si>
    <t xml:space="preserve">EXTINTOR DE INCENDIO PORTATIL COM CARGA DE AGUA PRESSURIZADA DE 10 L, CLASSE A  </t>
  </si>
  <si>
    <t>EXTINTOR DE INCENDIO PORTATIL COM CARGA DE PO QUIMICO SECO (PQS) DE 4 KG, CLASSE BC</t>
  </si>
  <si>
    <t>FERROLHO COM FECHO / TRINCO REDONDO, EM ACO GALVANIZADO / ZINCADO, DE SOBREPOR, COM COMPRIMENTO DE 8" E ESPESSURA MINIMA DA CHAPA DE 1,50 MM</t>
  </si>
  <si>
    <t>INTERRUPTOR SIMPLES (1 MÓDULO) COM 2 TOMADAS DE EMBUTIR 2P+T 10 A,  INCLUINDO SUPORTE E PLACA - FORNECIMENTO E INSTALAÇÃO. AF_12/2015</t>
  </si>
  <si>
    <t>LUMINÁRIA TIPO SPOT, DE SOBREPOR, COM 1 LÂMPADA FLUORESCENTE DE 15 W, SEM REATOR - FORNECIMENTO E INSTALAÇÃO. AF_02/2020</t>
  </si>
  <si>
    <t>LÂMPADA COMPACTA FLUORESCENTE DE 15 W, BASE E27 - FORNECIMENTO E INSTALAÇÃO. AF_02/2020</t>
  </si>
  <si>
    <t>TELA PLASTICA TECIDA LISTRADA BRANCA E LARANJA, TIPO GUARDA CORPO, EM POLIETILENO MONOFILADO, ROLO 1,20 X 50 M (L X C)</t>
  </si>
  <si>
    <t>BANCADA DE MÁRMORE SINTÉTICO 120 X 60CM, COM CUBA INTEGRADA, INCLUSO SIFÃO TIPO FLEXÍVEL EM PVC, VÁLVULA EM PLÁSTICO CROMADO TIPO AMERICANA E TORNEIRA CROMADA LONGA, DE PAREDE, PADRÃO POPULAR - FORNECIMENTO E INSTALAÇÃO. AF_01/2020</t>
  </si>
  <si>
    <t>TOMADA BAIXA DE EMBUTIR (2 MÓDULOS), 2P+T 10 A, INCLUINDO SUPORTE E PLACA - FORNECIMENTO E INSTALAÇÃO. AF_12/2015</t>
  </si>
  <si>
    <t>INTERRUPTOR SIMPLES (1 MÓDULO) COM 1 TOMADA DE EMBUTIR 2P+T 10 A,  INCLUINDO SUPORTE E PLACA - FORNECIMENTO E INSTALAÇÃO. AF_12/2015</t>
  </si>
  <si>
    <t>CAIXA DE GORDURA SIMPLES, CIRCULAR, EM CONCRETO PRÉ-MOLDADO, DIÂMETRO INTERNO = 0,4 M, ALTURA INTERNA = 0,4 M. AF_12/2020</t>
  </si>
  <si>
    <t>FECHADURA ROSETA REDONDA PARA PORTA DE BANHEIRO, EM ACO INOX (MAQUINA, TESTA E CONTRA-TESTA) E EM ZAMAC (MACANETA, LINGUETA E TRINCOS) COM ACABAMENTO CROMADO, MAQUINA DE 40 MM, INCLUINDO CHAVE TIPO TRANQUETA</t>
  </si>
  <si>
    <t>CAIXA SIFONADA, PVC, DN 100 X 100 X 50 MM, FORNECIDA E INSTALADA EM RAMAIS DE ENCAMINHAMENTO DE ÁGUA PLUVIAL. AF_06/2022</t>
  </si>
  <si>
    <t>JOELHO 45 GRAUS, PVC, SERIE NORMAL, ESGOTO PREDIAL, DN 40 MM, JUNTA SOLDÁVEL, FORNECIDO E INSTALADO EM RAMAL DE DESCARGA OU RAMAL DE ESGOTO SANITÁRIO. AF_08/2022</t>
  </si>
  <si>
    <t>TE, PVC, SERIE NORMAL, ESGOTO PREDIAL, DN 100 X 100 MM, JUNTA ELÁSTICA, FORNECIDO E INSTALADO EM RAMAL DE DESCARGA OU RAMAL DE ESGOTO SANITÁRIO. AF_08/2022</t>
  </si>
  <si>
    <t>PORTA DE MADEIRA PARA PINTURA, SEMI-OCA (LEVE OU MÉDIA), 60X210CM, ESPESSURA DE 3,5CM, INCLUSO DOBRADIÇAS - FORNECIMENTO E INSTALAÇÃO. AF_12/2019</t>
  </si>
  <si>
    <t>SUPORTE PARAFUSADO COM PLACA DE ENCAIXE 4" X 2" ALTO (2,00 M DO PISO) PARA PONTO ELÉTRICO - FORNECIMENTO E INSTALAÇÃO. AF_12/2015</t>
  </si>
  <si>
    <t>LÂMPADA COMPACTA FLUORESCENTE DE 20 W, BASE E27 - FORNECIMENTO E INSTALAÇÃO. AF_02/2020</t>
  </si>
  <si>
    <t>CABO TELEFÔNICO CCI-50 4 PARES, SEM BLINDAGEM, INSTALADO EM DISTRIBUIÇÃO DE EDIFICAÇÃO RESIDENCIAL - FORNECIMENTO E INSTALAÇÃO. AF_11/2019</t>
  </si>
  <si>
    <t>CAIXA DE PASSAGEM PARA TELEFONE 15X15X10CM (SOBREPOR), FORNECIMENTO E INSTALACAO. AF_11/2019</t>
  </si>
  <si>
    <t>JANELA DE MADEIRA - CEDRINHO/ANGELIM OU EQUIVALENTE DA REGIÃO - DE ABRIR COM 4 FOLHAS (2 VENEZIANAS E 2 GUILHOTINAS PARA VIDRO), COM BATENTE, ALIZAR E FERRAGENS. EXCLUSIVE VIDROS, ACABAMENTO E CONTRAMARCO. FORNECIMENTO E INSTALAÇÃO. AF_12/2019</t>
  </si>
  <si>
    <t>QUADRO DE DISTRIBUIÇÃO DE ENERGIA EM CHAPA DE AÇO GALVANIZADO, DE EMBUTIR, COM BARRAMENTO TRIFÁSICO, PARA 12 DISJUNTORES DIN 100A - FORNECIMENTO E INSTALAÇÃO. AF_10/2020</t>
  </si>
  <si>
    <t xml:space="preserve">CAIXA D'AGUA EM POLIETILENO 1000 LITROS, COM TAMPA  </t>
  </si>
  <si>
    <t>JOELHO 90 GRAUS, PVC, SOLDÁVEL, DN 25MM, INSTALADO EM RAMAL DE DISTRIBUIÇÃO DE ÁGUA - FORNECIMENTO E INSTALAÇÃO. AF_06/2022</t>
  </si>
  <si>
    <t>KIT DE REGISTRO DE GAVETA BRUTO DE LATÃO ¾", INCLUSIVE CONEXÕES, ROSCÁVEL, INSTALADO EM RAMAL DE ÁGUA FRIA - FORNECIMENTO E INSTALAÇÃO. AF_12/2014</t>
  </si>
  <si>
    <t>TUBO, PVC, SOLDÁVEL, DN  25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</si>
  <si>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</si>
  <si>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</si>
  <si>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TORNEIRA DE BOIA PARA CAIXA D'ÁGUA, ROSCÁVEL, 3/4" - FORNECIMENTO E INSTALAÇÃO. AF_08/2021</t>
  </si>
  <si>
    <t>ESTRUTURA DE MADEIRA PROVISÓRIA PARA SUPORTE DE CAIXA D ÁGUA ELEVADA DE 1000 LITROS. AF_05/2018_P</t>
  </si>
  <si>
    <t xml:space="preserve">KIT CAVALETE, PVC, COM REGISTRO, PARA HIDROMETRO, BITOLAS 1/2" OU 3/4" - COMPLETO                                                                                                                                                                                                                                                                                                                                                                                                                         </t>
  </si>
  <si>
    <t xml:space="preserve">ADESIVO PLASTICO PARA PVC, FRASCO COM 175 GR  </t>
  </si>
  <si>
    <t xml:space="preserve">SOLUCAO PREPARADORA / LIMPADORA PARA PVC, FRASCO COM 1000 CM3                                                                                                                                                                                                                                                                                                                                                                                                                                             </t>
  </si>
  <si>
    <t xml:space="preserve">LIXA D'AGUA EM FOLHA, GRAO 100 </t>
  </si>
  <si>
    <t xml:space="preserve">FITA VEDA ROSCA EM ROLOS DE 18 MM X 50 M (L X C)  </t>
  </si>
  <si>
    <t xml:space="preserve">HIDROMETRO UNIJATO / MEDIDOR DE AGUA, DN 3/4", VAZAO MAXIMA DE 5 M3/H, PARA AGUA POTAVEL FRIA, RELOJOARIA PLANA, CLASSE B, HORIZONTAL (SEM CONEXOES)0,                                                                                                                                                                                                                                                                                                                                                    </t>
  </si>
  <si>
    <t>CONCRETO USINADO BOMBEAVEL, CLASSE DE RESISTENCIA C25, COM BRITA 0 E 1, SLUMP = 130 +/- 20 MM, EXCLUI SERVICO DE BOMBEAMENTO (NBR 8953)</t>
  </si>
  <si>
    <t>POCEIRO COM ENCARGOS COMPLEMENTARES</t>
  </si>
  <si>
    <t>ENGENHEIRO CIVIL DE OBRA PLENO COM ENCARGOS COMPLEMENTARES</t>
  </si>
  <si>
    <t>TRANSPORTE COM CAMINHÃO BASCULANTE DE 6 M³, EM VIA URBANA EM REVESTIMENTO PRIMÁRIO (UNIDADE: M3XKM). AF_07/2020</t>
  </si>
  <si>
    <t>M3XKM</t>
  </si>
  <si>
    <t>TRANSPORTE HORIZONTAL COM JERICA DE 90 L, DE MASSA/ GRANEL (UNIDADE: M3XKM). AF_07/2019</t>
  </si>
  <si>
    <t>CARGA, MANOBRA E DESCARGA DE SOLOS E MATERIAIS GRANULARES EM CAMINHÃO BASCULANTE 6 M³ - CARGA COM PÁ CARREGADEIRA (CAÇAMBA DE 1,7 A 2,8 M³ / 128 HP) E DESCARGA LIVRE (UNIDADE: M3). AF_07/2020</t>
  </si>
  <si>
    <t xml:space="preserve">PREGO DE ACO POLIDO COM CABECA 17 X 24 (2 1/4 X 11)  </t>
  </si>
  <si>
    <t xml:space="preserve">PREGO DE ACO POLIDO COM CABECA DUPLA 17 X 27 (2 1/2 X 11)  </t>
  </si>
  <si>
    <t xml:space="preserve">AREIA MEDIA - POSTO JAZIDA/FORNECEDOR (RETIRADO NA JAZIDA, SEM TRANSPORTE)  </t>
  </si>
  <si>
    <t xml:space="preserve">CIMENTO PORTLAND COMPOSTO CP II-32  </t>
  </si>
  <si>
    <t xml:space="preserve">PEDRA BRITADA N. 1 (9,5 a 19 MM) POSTO PEDREIRA/FORNECEDOR, SEM FRETE  </t>
  </si>
  <si>
    <t>OPERADOR DE BETONEIRA ESTACIONÁRIA/MISTURADOR COM ENCARGOS COMPLEMENTARES</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</si>
  <si>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</si>
  <si>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</si>
  <si>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VIBRADOR DE IMERSÃO, DIÂMETRO DE PONTEIRA 45MM, MOTOR ELÉTRICO TRIFÁSICO POTÊNCIA DE 2 CV - CHP DIURNO. AF_06/2015</t>
  </si>
  <si>
    <t>VIBRADOR DE IMERSÃO, DIÂMETRO DE PONTEIRA 45MM, MOTOR ELÉTRICO TRIFÁSICO POTÊNCIA DE 2 CV - CHI DIURNO. AF_06/2015</t>
  </si>
  <si>
    <t>ESPACADOR / DISTANCIADOR CIRCULAR COM ENTRADA LATERAL, EM PLASTICO, PARA VERGALHAO *4,2 A 12,5* MM, COBRIMENTO 20 MM</t>
  </si>
  <si>
    <t>ARAME RECOZIDO 16 BWG, D = 1,65 MM (0,016 KG/M) OU 18 BWG, D = 1,25 MM (0,01 KG/M)</t>
  </si>
  <si>
    <t>CORTE E DOBRA DE AÇO CA-50, DIÂMETRO DE 8,0 MM. AF_06/2022</t>
  </si>
  <si>
    <t>CORTE E DOBRA DE AÇO CA-50, DIÂMETRO DE 12,5 MM. AF_06/2022</t>
  </si>
  <si>
    <t>LOCACAO DE ESCORA METALICA TELESCOPICA, COM ALTURA REGULAVEL DE *1,80* A *3,20* M, COM CAPACIDADE DE CARGA DE NO MINIMO 1000 KGF (10 KN), INCLUSO TRIPE E FORCADO</t>
  </si>
  <si>
    <t>MES</t>
  </si>
  <si>
    <t>VIGA DE ESCORAMAENTO H20, DE MADEIRA, PESO DE 5,00 A 5,20 KG/M, COM EXTREMIDADES PLASTICAS</t>
  </si>
  <si>
    <t>FABRICAÇÃO DE FÔRMA PARA LAJES, EM CHAPA DE MADEIRA COMPENSADA RESINADA, E = 17 MM. AF_09/2020</t>
  </si>
  <si>
    <t>CORTE E DOBRA DE AÇO CA-50, DIÂMETRO DE 6,3 MM. AF_06/2022</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</si>
  <si>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</si>
  <si>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</si>
  <si>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</si>
  <si>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FABRICAÇÃO DE FÔRMA PARA PILARES E ESTRUTURAS SIMILARES, EM CHAPA DE MADEIRA COMPENSADA PLASTIFICADA, E = 18 MM. AF_09/2020</t>
  </si>
  <si>
    <t>CORTE E DOBRA DE AÇO CA-50, DIÂMETRO DE 16,0 MM. AF_06/2022</t>
  </si>
  <si>
    <t>FABRICAÇÃO DE FÔRMA PARA VIGAS, EM CHAPA DE MADEIRA COMPENSADA PLASTIFICADA, E = 18 MM. AF_09/2020</t>
  </si>
  <si>
    <t>FABRICAÇÃO DE ESCORAS DE VIGA DO TIPO GARFO, EM MADEIRA. AF_09/2020</t>
  </si>
  <si>
    <t>CORTE E DOBRA DE AÇO CA-50, DIÂMETRO DE 20,0 MM. AF_06/2022</t>
  </si>
  <si>
    <t xml:space="preserve">BLOCO CERAMICO / TIJOLO VAZADO PARA ALVENARIA DE VEDACAO, 6 FUROS NA HORIZONTAL, 9 X 14 X 19 CM (L X A X C)                                                                                                                                                                                                                                                                                                                                                                                               </t>
  </si>
  <si>
    <t>TELA DE ACO SOLDADA GALVANIZADA/ZINCADA PARA ALVENARIA, FIO D = *1,20 A 1,70* MM, MALHA 15 X 15 MM, (C X L) *50 X 7,5* CM</t>
  </si>
  <si>
    <t xml:space="preserve">PINO DE ACO COM FURO, HASTE = 27 MM (ACAO DIRETA)  </t>
  </si>
  <si>
    <t>CENTO</t>
  </si>
  <si>
    <t>ARGAMASSA TRAÇO 1:2:8 (EM VOLUME DE CIMENTO, CAL E AREIA MÉDIA ÚMIDA) PARA EMBOÇO/MASSA ÚNICA/ASSENTAMENTO DE ALVENARIA DE VEDAÇÃO, PREPARO MECÂNICO COM BETONEIRA 400 L. AF_08/2019</t>
  </si>
  <si>
    <t xml:space="preserve">ELEMENTO VAZADO DE CONCRETO, QUADRICULADO, 16 FUROS *50 X 50 X 7* CM  </t>
  </si>
  <si>
    <t>ARGAMASSA TRAÇO 1:3 (EM VOLUME DE CIMENTO E AREIA MÉDIA ÚMIDA), PREPARO MECÂNICO COM BETONEIRA 600 L. AF_08/2019</t>
  </si>
  <si>
    <t>CANALETA DE CONCRETO 19 X 19 X 19 CM (CLASSE C - NBR 6136)</t>
  </si>
  <si>
    <t>ARGAMASSA TRAÇO 1:2:9 (EM VOLUME DE CIMENTO, CAL E AREIA MÉDIA ÚMIDA) PARA EMBOÇO/MASSA ÚNICA/ASSENTAMENTO DE ALVENARIA DE VEDAÇÃO, PREPARO MECÂNICO COM BETONEIRA 600 L. AF_08/2019</t>
  </si>
  <si>
    <t>GRAUTE FGK=20 MPA; TRAÇO 1:0,04:1,8:2,1 (EM MASSA SECA DE CIMENTO/ CAL/ AREIA GROSSA/ BRITA 0) - PREPARO MECÂNICO COM BETONEIRA 400 L. AF_09/2021</t>
  </si>
  <si>
    <t>FABRICAÇÃO DE FÔRMA PARA VIGAS, COM MADEIRA SERRADA, E = 25 MM. AF_09/2020</t>
  </si>
  <si>
    <t>CONCRETO FCK = 20MPA, TRAÇO 1:2,7:3 (EM MASSA SECA DE CIMENTO/ AREIA MÉDIA/ BRITA 1) - PREPARO MECÂNICO COM BETONEIRA 600 L. AF_05/2021</t>
  </si>
  <si>
    <t>CONCRETO MAGRO PARA LASTRO, TRAÇO 1:4,5:4,5 (EM MASSA SECA DE CIMENTO/ AREIA MÉDIA/ BRITA 1) - PREPARO MECÂNICO COM BETONEIRA 600 L. AF_05/2021</t>
  </si>
  <si>
    <t>CONTRAPISO EM ARGAMASSA TRAÇO 1:4 (CIMENTO E AREIA), PREPARO MECÂNICO COM BETONEIRA 400 L, APLICADO EM ÁREAS SECAS SOBRE LAJE, ADERIDO, ACABAMENTO NÃO REFORÇADO, ESPESSURA 3CM. AF_07/2021</t>
  </si>
  <si>
    <t>CONTRAPISO EM ARGAMASSA TRAÇO 1:4 (CIMENTO E AREIA), PREPARO MECÂNICO COM BETONEIRA 400 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</si>
  <si>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</si>
  <si>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 xml:space="preserve">PISO PORCELANATO, BORDA RETA, EXTRA, FORMATO MAIOR QUE 2025 CM2  </t>
  </si>
  <si>
    <t>ARGAMASSA TRAÇO 1:3 (EM VOLUME DE CIMENTO E AREIA GROSSA ÚMIDA) PARA CHAPISCO CONVENCIONAL, PREPARO MANUAL. AF_08/2019</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</si>
  <si>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</si>
  <si>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MANUAL. AF_08/2019</t>
  </si>
  <si>
    <t>EMBOÇO, PARA RECEBIMENTO DE CERÂMICA, EM ARGAMASSA TRAÇO 1:2:8, PREPARO MECÂNICO COM BETONEIRA 400L,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</si>
  <si>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</si>
  <si>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BATENTE PARA PORTA DE MADEIRA, FIXAÇÃO COM ARGAMASSA, PADRÃO MÉDIO - FORNECIMENTO E INSTALAÇÃO. AF_12/2019</t>
  </si>
  <si>
    <t>PORTA DE MADEIRA PARA PINTURA, SEMI-OCA (PESADA OU SUPERPESADA), 80X210CM, ESPESSURA DE 3,5CM, INCLUSO DOBRADIÇAS - FORNECIMENTO E INSTALAÇÃO. AF_12/2019</t>
  </si>
  <si>
    <t>FECHADURA DE EMBUTIR COM CILINDRO, EXTERNA, COMPLETA, ACABAMENTO PADRÃO MÉDIO, INCLUSO EXECUÇÃO DE FURO - FORNECIMENTO E INSTALAÇÃO. AF_12/2019</t>
  </si>
  <si>
    <t>ALIZAR DE 5X1,5CM PARA PORTA FIXADO COM PREGOS, PADRÃO MÉDIO - FORNECIMENTO E INSTALAÇÃO. AF_12/2019</t>
  </si>
  <si>
    <t>PEITORIL EM MARMORE, POLIDO, BRANCO COMUM, L= *15* CM, E=  *2,0* CM, COM PINGADEIRA</t>
  </si>
  <si>
    <t>ARGAMASSA TRAÇO 1:6 (EM VOLUME DE CIMENTO E AREIA MÉDIA ÚMIDA) COM ADIÇÃO DE PLASTIFICANTE PARA EMBOÇO/MASSA ÚNICA/ASSENTAMENTO DE ALVENARIA DE VEDAÇÃO, PREPARO MECÂNICO COM BETONEIRA 400 L. AF_08/2019</t>
  </si>
  <si>
    <t>MARMORISTA/GRANITEIRO COM ENCARGOS COMPLEMENTARES</t>
  </si>
  <si>
    <t>SOLEIRA EM GRANITO, POLIDO, TIPO ANDORINHA/ QUARTZ/ CASTELO/ CORUMBA OU OUTROS EQUIVALENTES DA REGIAO, L= *15* CM, E=  *2,0* CM</t>
  </si>
  <si>
    <t>SELANTE ELASTICO MONOCOMPONENTE A BASE DE POLIURETANO (PU) PARA JUNTAS DIVERSAS</t>
  </si>
  <si>
    <t>310ML</t>
  </si>
  <si>
    <t xml:space="preserve">GUARNICAO / MOLDURA / ARREMATE DE ACABAMENTO PARA ESQUADRIA, EM ALUMINIO PERFIL 25, ACABAMENTO ANODIZADO BRANCO OU BRILHANTE, PARA 1 FACE                                                                                                                                                                                                                                                                                                                                                                 </t>
  </si>
  <si>
    <t>PORTA DE ABRIR EM ALUMINIO TIPO VENEZIANA, ACABAMENTO ANODIZADO NATURAL, SEM GUARNICAO/ALIZAR/VISTA, 87 X 210 CM</t>
  </si>
  <si>
    <t>PARAFUSO DE ACO ZINCADO COM ROSCA SOBERBA, CABECA CHATA E FENDA SIMPLES, DIAMETRO 4,2 MM, COMPRIMENTO * 32 * MM</t>
  </si>
  <si>
    <t xml:space="preserve">JANELA MAXIM AR, EM ALUMINIO PERFIL 25, 60 X 80 CM (A X L), ACABAMENTO BRANCO OU BRILHANTE, BATENTE DE 4 A 5 CM, COM VIDRO, SEM GUARNICAO/ALIZAR                                                                                                                                                                                                                                                                                                                                                          </t>
  </si>
  <si>
    <t xml:space="preserve">SILICONE ACETICO USO GERAL INCOLOR 280 G  </t>
  </si>
  <si>
    <t xml:space="preserve">JANELA DE CORRER, EM ALUMINIO PERFIL 25, 100 X 120 CM (A X L), 2 FLS MOVEIS,  SEM BANDEIRA, ACABAMENTO BRANCO OU BRILHANTE, BATENTE DE 6 A 7 CM, COM VIDRO, SEM GUARNICAO                                                                                                                                                                                                                                                                                                                                 </t>
  </si>
  <si>
    <t xml:space="preserve">LIXA EM FOLHA PARA PAREDE OU MADEIRA, NUMERO 120, COR VERMELHA                                                                                                                                                                                                                                                                                                                                                                                                                                            </t>
  </si>
  <si>
    <t>MASSA ACRILICA PARA SUPERFICIES INTERNAS E EXTERNAS</t>
  </si>
  <si>
    <t xml:space="preserve">SELADOR ACRILICO OPACO PREMIUM INTERIOR/EXTERIOR                                                                                                                                                                                                                                                                                                                                                                                                                                                          </t>
  </si>
  <si>
    <t xml:space="preserve">MASSA PREMIUM PARA TEXTURA LISA DE BASE ACRILICA, USO INTERNO E EXTERNO                                                                                                                                                                                                                                                                                                                                                                                                                                   </t>
  </si>
  <si>
    <t xml:space="preserve">DILUENTE AGUARRAS                                                                                                                                                                                                                                                                                                                                                                                                                                                                                         </t>
  </si>
  <si>
    <t xml:space="preserve">TINTA ESMALTE SINTETICO PREMIUM FOSCO  </t>
  </si>
  <si>
    <t>QUADRO DE DISTRIBUICAO COM BARRAMENTO TRIFASICO, DE EMBUTIR, EM CHAPA DE ACO GALVANIZADO, PARA 30 DISJUNTORES DIN, 150 A</t>
  </si>
  <si>
    <t>ARGAMASSA TRAÇO 1:1:6 (EM VOLUME DE CIMENTO, CAL E AREIA MÉDIA ÚMIDA) PARA EMBOÇO/MASSA ÚNICA/ASSENTAMENTO DE ALVENARIA DE VEDAÇÃO, PREPARO MANUAL. AF_08/2019</t>
  </si>
  <si>
    <t>CABO DE COBRE, FLEXIVEL, CLASSE 4 OU 5, ISOLACAO EM PVC/A, ANTICHAMA BWF-B, COBERTURA PVC-ST1, ANTICHAMA BWF-B, 1 CONDUTOR, 0,6/1 KV, SECAO NOMINAL 16 MM2</t>
  </si>
  <si>
    <t xml:space="preserve">FITA ISOLANTE ADESIVA ANTICHAMA, USO ATE 750 V, EM ROLO DE 19 MM X 5 M  </t>
  </si>
  <si>
    <t>CABO DE COBRE, FLEXIVEL, CLASSE 4 OU 5, ISOLACAO EM PVC/A, ANTICHAMA BWF-B, COBERTURA PVC-ST1, ANTICHAMA BWF-B, 1 CONDUTOR, 0,6/1 KV, SECAO NOMINAL 25 MM2</t>
  </si>
  <si>
    <t>CABO DE COBRE, FLEXIVEL, CLASSE 4 OU 5, ISOLACAO EM PVC/A, ANTICHAMA BWF-B, 1 CONDUTOR, 450/750 V, SECAO NOMINAL 2,5 MM2</t>
  </si>
  <si>
    <t>CABO DE COBRE, FLEXIVEL, CLASSE 4 OU 5, ISOLACAO EM PVC/A, ANTICHAMA BWF-B, 1 CONDUTOR, 450/750 V, SECAO NOMINAL 4 MM2</t>
  </si>
  <si>
    <t>CABO DE COBRE, FLEXIVEL, CLASSE 4 OU 5, ISOLACAO EM PVC/A, ANTICHAMA BWF-B, 1 CONDUTOR, 450/750 V, SECAO NOMINAL 1,5 MM2</t>
  </si>
  <si>
    <t xml:space="preserve">LUVA EM PVC RIGIDO ROSCAVEL, DE 3/4", PARA ELETRODUTO  </t>
  </si>
  <si>
    <t>SUPORTE PARAFUSADO COM PLACA DE ENCAIXE 4" X 2" MÉDIO (1,30 M DO PISO) PARA PONTO ELÉTRICO - FORNECIMENTO E INSTALAÇÃO. AF_12/2015</t>
  </si>
  <si>
    <t>INTERRUPTOR SIMPLES (1 MÓDULO), 10A/250V, SEM SUPORTE E SEM PLACA - FORNECIMENTO E INSTALAÇÃO. AF_12/2015</t>
  </si>
  <si>
    <t>INTERRUPTOR SIMPLES (2 MÓDULOS), 10A/250V, SEM SUPORTE E SEM PLACA - FORNECIMENTO E INSTALAÇÃO. AF_12/2015</t>
  </si>
  <si>
    <t>INTERRUPTOR SIMPLES (3 MÓDULOS), 10A/250V, SEM SUPORTE E SEM PLACA - FORNECIMENTO E INSTALAÇÃO. AF_12/2015</t>
  </si>
  <si>
    <t xml:space="preserve">TOMADA 2P+T 10A, 250V  (APENAS MODULO) </t>
  </si>
  <si>
    <t xml:space="preserve">INTERRUPTOR SIMPLES 10A, 250V (APENAS MODULO) </t>
  </si>
  <si>
    <t xml:space="preserve">INTERRUPTOR PARALELO 10A, 250V (APENAS MODULO) </t>
  </si>
  <si>
    <t>TOMADA BAIXA DE EMBUTIR (1 MÓDULO), 2P+T 10 A, SEM SUPORTE E SEM PLACA - FORNECIMENTO E INSTALAÇÃO. AF_12/2015</t>
  </si>
  <si>
    <t>TOMADA MÉDIA DE EMBUTIR (1 MÓDULO), 2P+T 20 A, SEM SUPORTE E SEM PLACA - FORNECIMENTO E INSTALAÇÃO. AF_12/2015</t>
  </si>
  <si>
    <t>TOMADA ALTA DE EMBUTIR (1 MÓDULO), 2P+T 10 A, SEM SUPORTE E SEM PLACA - FORNECIMENTO E INSTALAÇÃO. AF_12/2015</t>
  </si>
  <si>
    <t>TOMADA BAIXA DE EMBUTIR (2 MÓDULOS), 2P+T 20 A, SEM SUPORTE E SEM PLACA - FORNECIMENTO E INSTALAÇÃO. AF_12/2015</t>
  </si>
  <si>
    <t>TERMINAL A COMPRESSAO EM COBRE ESTANHADO PARA CABO 2,5 MM2, 1 FURO E 1 COMPRESSAO, PARA PARAFUSO DE FIXACAO M5</t>
  </si>
  <si>
    <t xml:space="preserve">DISJUNTOR TIPO DIN/IEC, MONOPOLAR DE 6  ATE  32A  </t>
  </si>
  <si>
    <t xml:space="preserve">DISJUNTOR TIPO DIN/IEC, BIPOLAR DE 6 ATE 32A  </t>
  </si>
  <si>
    <t>TERMINAL A COMPRESSAO EM COBRE ESTANHADO PARA CABO 50 MM2, 1 FURO E 1 COMPRESSAO, PARA PARAFUSO DE FIXACAO M8</t>
  </si>
  <si>
    <t xml:space="preserve">DISJUNTOR TERMOMAGNETICO TRIPOLAR 125A  </t>
  </si>
  <si>
    <t xml:space="preserve">CAIXA DE PASSAGEM, EM PVC, DE 4" X 2", PARA ELETRODUTO FLEXIVEL CORRUGADO  </t>
  </si>
  <si>
    <t>ARGAMASSA TRAÇO 1:3 (EM VOLUME DE CIMENTO E AREIA MÉDIA ÚMIDA), PREPARO MANUAL. AF_08/2019</t>
  </si>
  <si>
    <t xml:space="preserve">ELETRODUTO DE PVC RIGIDO SOLDAVEL, CLASSE B, DE 25 MM  </t>
  </si>
  <si>
    <t xml:space="preserve">ELETRODUTO PVC FLEXIVEL CORRUGADO, COR AMARELA, DE 32 MM  </t>
  </si>
  <si>
    <t xml:space="preserve">ELETRODUTO PVC FLEXIVEL CORRUGADO, COR AMARELA, DE 25 MM  </t>
  </si>
  <si>
    <t xml:space="preserve">ELETRODUTO/DUTO PEAD FLEXIVEL PAREDE SIMPLES, CORRUGACAO HELICOIDAL, COR PRETA, SEM ROSCA, DE 1 1/2", PARA CABEAMENTO SUBTERRANEO (NBR 15715)                                                                                                                                                                                                                                                                                                                                                             </t>
  </si>
  <si>
    <t xml:space="preserve">PATCH PANEL, 24 PORTAS, CATEGORIA 6, COM RACKS DE 19" DE LARGURA E 1 U DE ALTURA                                                                                                                                                                                                                                                                                                                                                                                                                          </t>
  </si>
  <si>
    <t xml:space="preserve">CABO DE REDE, PAR TRANCADO U/UTP, 4 PARES, CATEGORIA 5E (CAT 5E), ISOLAMENTO PVC (LSZH)                                                                                                                                                                                                                                                                                                                                                                                                                   </t>
  </si>
  <si>
    <t>TOMADA RJ45, 8 FIOS, CAT 5E, CONJUNTO MONTADO PARA EMBUTIR 4" X 2" (PLACA + SUPORTE + MODULO)</t>
  </si>
  <si>
    <t xml:space="preserve">CONDULETE DE ALUMINIO TIPO C, PARA ELETRODUTO ROSCAVEL DE 1", COM TAMPA CEGA  </t>
  </si>
  <si>
    <t xml:space="preserve">ELETRODUTO DE PVC RIGIDO ROSCAVEL DE 3/4 ", SEM LUVA  </t>
  </si>
  <si>
    <t>ELETRODUTO FLEXIVEL PLANO EM PEAD, COR PRETA E LARANJA,  DIAMETRO 40 MM</t>
  </si>
  <si>
    <t xml:space="preserve">CAIXA DE INSPECAO PARA ATERRAMENTO E PARA RAIOS, EM POLIPROPILENO,  DIAMETRO = 300 MM X ALTURA = 400 MM                                                                                                                                                                                                                                                                                                                                                                                                   </t>
  </si>
  <si>
    <t>PREPARO DE FUNDO DE VALA COM LARGURA MENOR QUE 1,5 M, COM CAMADA DE AREIA, LANÇAMENTO MANUAL. AF_08/2020</t>
  </si>
  <si>
    <t xml:space="preserve">HASTE DE ATERRAMENTO EM ACO COM 3,00 M DE COMPRIMENTO E DN = 3/4", REVESTIDA COM BAIXA CAMADA DE COBRE, SEM CONECTOR                                                                                                                                                                                                                                                                                                                                                                                      </t>
  </si>
  <si>
    <t xml:space="preserve">CABO DE COBRE NU 25 MM2 MEIO-DURO  </t>
  </si>
  <si>
    <t>SUPORTE ISOLADOR PARA CORDOALHA DE COBRE - FORNECIMENTO E INSTALAÇÃO. AF_12/2017</t>
  </si>
  <si>
    <t xml:space="preserve">CABO DE COBRE NU 35 MM2 MEIO-DURO  </t>
  </si>
  <si>
    <t xml:space="preserve">CABO DE COBRE NU 50 MM2 MEIO-DURO  </t>
  </si>
  <si>
    <t xml:space="preserve">ADESIVO PLASTICO PARA PVC, FRASCO COM *850* GR                                                                                                                                                                                                                                                                                                                                                                                                                                                            </t>
  </si>
  <si>
    <t xml:space="preserve">JOELHO PVC, SOLDAVEL, 90 GRAUS, 25 MM, PARA AGUA FRIA PREDIAL  </t>
  </si>
  <si>
    <t xml:space="preserve">LUVA PVC SOLDAVEL, 25 MM, PARA AGUA FRIA PREDIAL  </t>
  </si>
  <si>
    <t xml:space="preserve">LUVA PVC SOLDAVEL, 50 MM, PARA AGUA FRIA PREDIAL  </t>
  </si>
  <si>
    <t xml:space="preserve">TUBO PVC, SOLDAVEL, DN 25 MM, AGUA FRIA (NBR-5648)  </t>
  </si>
  <si>
    <t xml:space="preserve">VALVULA DE DESCARGA METALICA, BASE 1 1/2 " E ACABAMENTO METALICO CROMADO  </t>
  </si>
  <si>
    <t>REGISTRO GAVETA COM ACABAMENTO E CANOPLA CROMADOS, SIMPLES, BITOLA 3/4 " (REF 1509)</t>
  </si>
  <si>
    <t xml:space="preserve">REGISTRO DE ESFERA, PVC, COM VOLANTE, VS, ROSCAVEL, DN 3/4", COM CORPO DIVIDIDO  </t>
  </si>
  <si>
    <t>REGISTRO GAVETA COM ACABAMENTO E CANOPLA CROMADOS, SIMPLES, BITOLA 1 1/2 " (REF 1509)</t>
  </si>
  <si>
    <t xml:space="preserve">REGISTRO GAVETA BRUTO EM LATAO FORJADO, BITOLA 1 1/2 " (REF 1509)  </t>
  </si>
  <si>
    <t xml:space="preserve">LUVA SOLDAVEL COM ROSCA, PVC, 25 MM X 3/4", PARA AGUA FRIA PREDIAL  </t>
  </si>
  <si>
    <t>ADAPTADOR PVC SOLDAVEL, COM FLANGE E ANEL DE VEDACAO, 25 MM X 3/4", PARA CAIXA D'AGUA</t>
  </si>
  <si>
    <t>ADAPTADOR PVC SOLDAVEL, COM FLANGE E ANEL DE VEDACAO, 50 MM X 1 1/2", PARA CAIXA D'AGUA</t>
  </si>
  <si>
    <t xml:space="preserve">ADAPTADOR PVC SOLDAVEL CURTO COM BOLSA E ROSCA, 25 MM X 3/4", PARA AGUA FRIA  </t>
  </si>
  <si>
    <t xml:space="preserve">TE SOLDAVEL, PVC, 90 GRAUS, 25 MM, PARA AGUA FRIA PREDIAL (NBR 5648)  </t>
  </si>
  <si>
    <t>JOELHO PVC, SOLDAVEL, COM BUCHA DE LATAO, 90 GRAUS, 25 MM X 3/4", PARA AGUA FRIA PREDIAL</t>
  </si>
  <si>
    <t xml:space="preserve">FITA VEDA ROSCA EM ROLOS DE 18 MM X 10 M (L X C)  </t>
  </si>
  <si>
    <t xml:space="preserve">ENGATE/RABICHO FLEXIVEL PLASTICO (PVC OU ABS) BRANCO 1/2 " X 30 CM  </t>
  </si>
  <si>
    <t>ENGATE FLEXÍVEL EM PLÁSTICO BRANCO, 1/2” X 40CM - FORNECIMENTO E INSTALAÇÃO. AF_01/2020</t>
  </si>
  <si>
    <t>VASO SANITARIO SIFONADO CONVENCIONAL PARA PCD SEM FURO FRONTAL COM  LOUÇA BRANCA SEM ASSENTO -  FORNECIMENTO E INSTALAÇÃO. AF_01/2020</t>
  </si>
  <si>
    <t>VÁLVULA EM PLÁSTICO 1” PARA PIA, TANQUE OU LAVATÓRIO, COM OU SEM LADRÃO - FORNECIMENTO E INSTALAÇÃO. AF_01/2020</t>
  </si>
  <si>
    <t>SIFÃO DO TIPO FLEXÍVEL EM PVC 1  X 1.1/2  - FORNECIMENTO E INSTALAÇÃO. AF_01/2020</t>
  </si>
  <si>
    <t>ENGATE FLEXÍVEL EM PLÁSTICO BRANCO, 1/2” X 30CM - FORNECIMENTO E INSTALAÇÃO. AF_01/2020</t>
  </si>
  <si>
    <t>LAVATÓRIO LOUÇA BRANCA SUSPENSO, 29,5 X 39CM OU EQUIVALENTE, PADRÃO POPULAR - FORNECIMENTO E INSTALAÇÃO. AF_01/2020</t>
  </si>
  <si>
    <t>TORNEIRA CROMADA DE MESA, 1/2” OU 3/4”, PARA LAVATÓRIO, PADRÃO POPULAR - FORNECIMENTO E INSTALAÇÃO. AF_01/2020</t>
  </si>
  <si>
    <t xml:space="preserve">LAVATORIO DE LOUCA BRANCA, COM COLUNA, DIMENSOES *54 X 44* CM (L X C)                                                                                                                                                                                                                                                                                                                                                                                                                                     </t>
  </si>
  <si>
    <t>REJUNTE EPOXI, QUALQUER COR</t>
  </si>
  <si>
    <t>MASSA PLASTICA PARA MARMORE/GRANITO</t>
  </si>
  <si>
    <t xml:space="preserve">LAVATORIO / CUBA DE EMBUTIR, OVAL, DE LOUCA BRANCA, SEM LADRAO, DIMENSOES *50 X 35* CM (L X C)                                                                                                                                                                                                                                                                                                                                                                                                            </t>
  </si>
  <si>
    <t xml:space="preserve">CUBA ACO INOX (AISI 304) DE EMBUTIR COM VALVULA 3 1/2 ", DE *46 X 30 X 12* CM  </t>
  </si>
  <si>
    <t xml:space="preserve">TORNEIRA METALICA CROMADA, RETA, DE PAREDE, PARA COZINHA, SEM BICO, SEM AREJADOR, PADRAO POPULAR, 1/2 " OU 3/4 " (REF 1158)                                                                                                                                                                                                                                                                                                                                                                               </t>
  </si>
  <si>
    <t xml:space="preserve">TORNEIRA METALICA CROMADA DE MESA PARA LAVATORIO, BICA ALTA, COM AREJADOR (REF 1195)                                                                                                                                                                                                                                                                                                                                                                                                                      </t>
  </si>
  <si>
    <t xml:space="preserve">TORNEIRA METALICA CROMADA CANO CURTO, SEM BICO, SEM AREJADOR, DE PAREDE, PARA TANQUE E USO GERAL, 1/2 " OU 3/4 " (REF 1143)                                                                                                                                                                                                                                                                                                                                                                               </t>
  </si>
  <si>
    <t>SABONETEIRA PLASTICA TIPO DISPENSER PARA SABONETE LIQUIDO COM RESERVATORIO 800 A 1500 ML</t>
  </si>
  <si>
    <t xml:space="preserve">CAIXA SIFONADA PVC, 100 X 100 X 50 MM, COM GRELHA REDONDA, BRANCA                                                                                                                                                                                                                                                                                                                                                                                                                                         </t>
  </si>
  <si>
    <t xml:space="preserve">ANEL BORRACHA PARA TUBO ESGOTO PREDIAL, DN 50 MM (NBR 5688)                                                                                                                                                                                                                                                                                                                                                                                                                                               </t>
  </si>
  <si>
    <t xml:space="preserve">JOELHO PVC, SOLDAVEL, PB, 45 GRAUS, DN 50 MM, PARA ESGOTO PREDIAL  </t>
  </si>
  <si>
    <t xml:space="preserve">PASTA LUBRIFICANTE PARA TUBOS E CONEXOES COM JUNTA ELASTICA, EMBALAGEM DE *400* GR (USO EM PVC, ACO, POLIETILENO E OUTROS)                                                                                                                                                                                                                                                                                                                                                                                </t>
  </si>
  <si>
    <t xml:space="preserve">ANEL BORRACHA PARA TUBO ESGOTO PREDIAL, DN 100 MM (NBR 5688)  </t>
  </si>
  <si>
    <t xml:space="preserve">JOELHO PVC, SOLDAVEL, PB, 45 GRAUS, DN 100 MM, PARA ESGOTO PREDIAL  </t>
  </si>
  <si>
    <t xml:space="preserve">ANEL BORRACHA PARA TUBO ESGOTO PREDIAL, DN 75 MM (NBR 5688)                                                                                                                                                                                                                                                                                                                                                                                                                                               </t>
  </si>
  <si>
    <t xml:space="preserve">JOELHO PVC, SOLDAVEL, PB, 90 GRAUS, DN 75 MM, PARA ESGOTO PREDIAL  </t>
  </si>
  <si>
    <t xml:space="preserve">JOELHO PVC, SOLDAVEL, BB, 90 GRAUS, DN 40 MM, PARA ESGOTO PREDIAL  </t>
  </si>
  <si>
    <t xml:space="preserve">JOELHO PVC, SOLDAVEL, PB, 90 GRAUS, DN 50 MM, PARA ESGOTO PREDIAL  </t>
  </si>
  <si>
    <t xml:space="preserve">JOELHO PVC, SOLDAVEL, PB, 90 GRAUS, DN 100 MM, PARA ESGOTO PREDIAL  </t>
  </si>
  <si>
    <t xml:space="preserve">JUNCAO SIMPLES, PVC, DN 50 X 50 MM, SERIE NORMAL PARA ESGOTO PREDIAL  </t>
  </si>
  <si>
    <t xml:space="preserve">TUBO PVC  SERIE NORMAL, DN 40 MM, PARA ESGOTO  PREDIAL (NBR 5688)  </t>
  </si>
  <si>
    <t xml:space="preserve">TUBO PVC SERIE NORMAL, DN 50 MM, PARA ESGOTO PREDIAL (NBR 5688)  </t>
  </si>
  <si>
    <t xml:space="preserve">TUBO PVC  SERIE NORMAL, DN 100 MM, PARA ESGOTO  PREDIAL (NBR 5688)  </t>
  </si>
  <si>
    <t>TUBO PVC, SERIE NORMAL, ESGOTO PREDIAL, DN 75 MM, FORNECIDO E INSTALADO EM RAMAL DE DESCARGA OU RAMAL DE ESGOTO SANITÁRIO. AF_08/2022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</si>
  <si>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</si>
  <si>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</si>
  <si>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SIMPLES, PVC, SERIE NORMAL, ESGOTO PREDIAL, DN 75 MM, JUNTA ELÁSTICA, FORNECIDO E INSTALADO EM RAMAL DE DESCARGA OU RAMAL DE ESGOTO SANITÁRIO. AF_08/2022</t>
  </si>
  <si>
    <t>TE, PVC, SERIE NORMAL, ESGOTO PREDIAL, DN 75 X 75 MM, JUNTA ELÁSTICA, FORNECIDO E INSTALADO EM RAMAL DE DESCARGA OU RAMAL DE ESGOTO SANITÁRIO. AF_08/2022</t>
  </si>
  <si>
    <t>JUNÇÃO SIMPLES, PVC, SERIE NORMAL, ESGOTO PREDIAL, DN 75 X 75 MM, JUNTA ELÁSTICA, FORNECIDO E INSTALADO EM RAMAL DE DESCARGA OU RAMAL DE ESGOTO SANITÁRIO. AF_08/2022</t>
  </si>
  <si>
    <t>TUBO PVC, SERIE NORMAL, ESGOTO PREDIAL, DN 75 MM,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</si>
  <si>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</si>
  <si>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</si>
  <si>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LUVA SIMPLES, PVC, SERIE NORMAL, ESGOTO PREDIAL, DN 75 MM, JUNTA ELÁSTICA, FORNECIDO E INSTALADO EM PRUMADA DE ESGOTO SANITÁRIO OU VENTILAÇÃO. AF_08/2022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</si>
  <si>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</si>
  <si>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</si>
  <si>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FURO EM ALVENARIA PARA DIÂMETROS MAIORES QUE 40 MM E MENORES OU IGUAIS A 75 MM. AF_05/2015</t>
  </si>
  <si>
    <t>PASSANTE TIPO TUBO DE DIÂMETRO MAIORES QUE 40 MM E MENORES OU IGUAIS A 75 MM, FIXADO EM LAJE. AF_05/2015</t>
  </si>
  <si>
    <t>FIXAÇÃO DE TUBOS HORIZONTAIS DE PVC, CPVC OU COBRE DIÂMETROS MAIORES QUE 40 MM E MENORES OU IGUAIS A 75 MM COM ABRAÇADEIRA METÁLICA FLEXÍVEL 18 MM, FIXADA DIRETAMENTE NA LAJE. AF_05/2015</t>
  </si>
  <si>
    <t>CHUMBAMENTO PONTUAL EM PASSAGEM DE TUBO COM DIÂMETROS ENTRE 40 MM E 75 MM. AF_05/2015</t>
  </si>
  <si>
    <t xml:space="preserve">TE SANITARIO, PVC, DN 50 X 50 MM, SERIE NORMAL, PARA ESGOTO PREDIAL  </t>
  </si>
  <si>
    <t xml:space="preserve">CAIXA DE GORDURA EM PVC, DIAMETRO MINIMO 300 MM, DIAMETRO DE SAIDA 100 MM, CAPACIDADE  APROXIMADA 18 LITROS, COM TAMPA E CESTO                                                                                                                                                                                                                                                                                                                                                                            </t>
  </si>
  <si>
    <t>SIFAO / TUBO SINFONADO EXTENSIVEL/SANFONADO, UNIVERSAL/ SIMPLES, ENTRE *50 A 70* CM, DE PLASTICO BRANCO</t>
  </si>
  <si>
    <t>VALVULA EM PLASTICO BRANCO PARA TANQUE OU LAVATORIO 1 ", SEM UNHO E SEM LADRAO</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</si>
  <si>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</si>
  <si>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</si>
  <si>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TIJOLO CERAMICO MACICO COMUM *5 X 10 X 20* CM (L X A X C)</t>
  </si>
  <si>
    <t>CORTE E DOBRA DE AÇO CA-60, DIÂMETRO DE 4,2 MM. AF_06/2022</t>
  </si>
  <si>
    <t>PEÇA RETANGULAR PRÉ-MOLDADA, VOLUME DE CONCRETO DE 30 A 100 LITROS, TAXA DE AÇO APROXIMADA DE 30KG/M³. AF_01/2018</t>
  </si>
  <si>
    <t>LONA PLASTICA EXTRA FORTE PRETA, E = 200 MICRA</t>
  </si>
  <si>
    <t xml:space="preserve">M2    </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</si>
  <si>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</si>
  <si>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</si>
  <si>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</si>
  <si>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FABRICAÇÃO, MONTAGEM E DESMONTAGEM DE FORMA PARA RADIER, PISO DE CONCRETO OU LAJE SOBRE SOLO, EM MADEIRA SERRADA, 4 UTILIZAÇÕES. AF_09/2021</t>
  </si>
  <si>
    <t>ARMAÇÃO PARA EXECUÇÃO DE RADIER, PISO DE CONCRETO OU LAJE SOBRE SOLO, COM USO DE TELA Q-138. AF_09/2021</t>
  </si>
  <si>
    <t>CONCRETAGEM DE RADIER, PISO DE CONCRETO OU LAJE SOBRE SOLO, FCK 30 MPA - LANÇAMENTO, ADENSAMENTO E ACABAMENTO. AF_09/2021</t>
  </si>
  <si>
    <t>ALVENARIA DE BLOCOS DE CONCRETO ESTRUTURAL 14X19X39 CM, (ESPESSURA 14 CM), FBK = 4,5 MPA, PARA PAREDES COM ÁREA LÍQUIDA MENOR QUE 6M², SEM VÃOS, UTILIZANDO PALHETA. AF_12/2014</t>
  </si>
  <si>
    <t xml:space="preserve">PEDRA BRITADA N. 2 (19 A 38 MM) POSTO PEDREIRA/FORNECEDOR, SEM FRETE  </t>
  </si>
  <si>
    <t>SUPORTE MAO-FRANCESA EM ACO, ABAS IGUAIS 40 CM, CAPACIDADE MINIMA 70 KG, BRANCO</t>
  </si>
  <si>
    <t>ADESIVO ESTRUTURAL A BASE DE RESINA EPOXI, BICOMPONENTE, PASTOSO (TIXOTROPICO)</t>
  </si>
  <si>
    <t>ARGAMASSA COLANTE TIPO AC III E</t>
  </si>
  <si>
    <t>DIVISORIA EM GRANITO, COM DUAS FACES POLIDAS, TIPO ANDORINHA/ QUARTZ/ CASTELO/ CORUMBA OU OUTROS EQUIVALENTES DA REGIAO, E=  *3,0*  CM</t>
  </si>
  <si>
    <t>ADITIVO IMPERMEABILIZANTE DE PEGA NORMAL PARA ARGAMASSAS E CONCRETOS SEM ARMACAO, LIQUIDO E ISENTO DE CLORETOS</t>
  </si>
  <si>
    <t>ARGAMASSA TRAÇO 1:3 (EM VOLUME DE CIMENTO E AREIA MÉDIA ÚMIDA) PARA CONTRAPISO, PREPARO MECÂNICO COM BETONEIRA 400 L. AF_08/2019</t>
  </si>
  <si>
    <t xml:space="preserve">PREGO DE ACO POLIDO COM CABECA 15 X 18 (1 1/2 X 13)  </t>
  </si>
  <si>
    <t>FABRICAÇÃO DE FÔRMA PARA PILARES E ESTRUTURAS SIMILARES, EM CHAPA DE MADEIRA COMPENSADA RESINADA, E = 17 MM. AF_09/2020</t>
  </si>
  <si>
    <t>TELA DE ACO SOLDADA GALVANIZADA/ZINCADA PARA ALVENARIA, FIO D = *1,24 MM, MALHA 25 X 25 MM</t>
  </si>
  <si>
    <t xml:space="preserve">PO DE PEDRA (POSTO PEDREIRA/FORNECEDOR, SEM FRETE)  </t>
  </si>
  <si>
    <t>BLOQUETE/PISO INTERTRAVADO DE CONCRETO - MODELO ONDA/16 FACES/RETANGULAR/TIJOLINHO/PAVER/HOLANDES/PARALELEPIPEDO, *22 CM X 11* CM, E = 8 CM, RESISTENCIA DE 35 MPA (NBR 9781),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</si>
  <si>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</si>
  <si>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</si>
  <si>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</si>
  <si>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SARRAFO *2,5 X 10* CM EM PINUS, MISTA OU EQUIVALENTE DA REGIAO - BRUTA</t>
  </si>
  <si>
    <t>TELA DE ACO SOLDADA NERVURADA, CA-60, Q-196, (3,11 KG/M2), DIAMETRO DO FIO = 5,0 MM, LARGURA = 2,45 M, ESPACAMENTO DA MALHA = 10 X 10 CM</t>
  </si>
  <si>
    <t>CONCRETO FCK = 20MPA, TRAÇO 1:2,7:3 (EM MASSA SECA DE CIMENTO/ AREIA MÉDIA/ BRITA 1) - PREPARO MECÂNICO COM BETONEIRA 400 L. AF_05/2021</t>
  </si>
  <si>
    <t>CONCRETO USINADO BOMBEAVEL, CLASSE DE RESISTENCIA C20, COM BRITA 0 E 1, SLUMP = 100 +/- 20 MM, EXCLUI SERVICO DE BOMBEAMENTO (NBR 8953)</t>
  </si>
  <si>
    <t>AJUDANTE ESPECIALIZADO COM ENCARGOS COMPLEMENTARES</t>
  </si>
  <si>
    <t>ARGAMASSA TRAÇO 1:4 (EM VOLUME DE CIMENTO E AREIA MÉDIA ÚMIDA), PREPARO MANUAL. AF_08/2019</t>
  </si>
  <si>
    <t>MÁQUINA EXTRUSORA DE CONCRETO PARA GUIAS E SARJETAS, MOTOR A DIESEL, POTÊNCIA 14 CV - CHP DIURNO. AF_12/2015</t>
  </si>
  <si>
    <t>MÁQUINA EXTRUSORA DE CONCRETO PARA GUIAS E SARJETAS, MOTOR A DIESEL, POTÊNCIA 14 CV - CHI DIURNO. AF_12/2015</t>
  </si>
  <si>
    <t xml:space="preserve">GRAMA BATATAIS EM PLACAS, SEM PLANTIO  </t>
  </si>
  <si>
    <t>MUDA DE ARVORE ORNAMENTAL, OITI/AROEIRA SALSA/ANGICO/IPE/JACARANDA OU EQUIVALENTE  DA REGIAO, H= *1* M</t>
  </si>
  <si>
    <t>MUDA DE RASTEIRA/FORRACAO, AMENDOIM RASTEIRO/ONZE HORAS/AZULZINHA/IMPATIENS OU EQUIVALENTE DA REGIAO</t>
  </si>
  <si>
    <t>PISO TATIL DE ALERTA OU DIRECIONAL, DE BORRACHA, COLORIDO, 25 X 25 CM, E = 12 MM, PARA ARGAMASSA</t>
  </si>
  <si>
    <t xml:space="preserve">TINTA ACRILICA PREMIUM PARA PISO  </t>
  </si>
  <si>
    <t>FITA CREPE ROLO DE 25 MM X 50 M</t>
  </si>
  <si>
    <t>LAVADORA DE ALTA PRESSAO (LAVA-JATO) PARA AGUA FRIA, PRESSAO DE OPERACAO ENTRE 1400 E 1900 LIB/POL2, VAZAO MAXIMA ENTRE 400 E 700 L/H - CHP DIURNO. AF_04/2019</t>
  </si>
  <si>
    <t>PRÓPRIO</t>
  </si>
  <si>
    <t>***</t>
  </si>
  <si>
    <t>ENCARGOS SOCIAIS SOBRE A MÃO DE OBRA</t>
  </si>
  <si>
    <t xml:space="preserve">
 Resolução Normativa 018/2017 com base no Acórdão do TCU 2622/2013</t>
  </si>
  <si>
    <t xml:space="preserve">  MATO GROSSO</t>
  </si>
  <si>
    <t>SEM  DESONERAÇÃO</t>
  </si>
  <si>
    <t>HORISTA (%)</t>
  </si>
  <si>
    <t>MENSALISTA (%)</t>
  </si>
  <si>
    <t>GRUPO A</t>
  </si>
  <si>
    <t>A1</t>
  </si>
  <si>
    <t>INSS</t>
  </si>
  <si>
    <t>A2</t>
  </si>
  <si>
    <t>SESI</t>
  </si>
  <si>
    <t>A3</t>
  </si>
  <si>
    <t>SENAI</t>
  </si>
  <si>
    <t>A4</t>
  </si>
  <si>
    <t>INCRA</t>
  </si>
  <si>
    <t>A5</t>
  </si>
  <si>
    <t>SEBRAE</t>
  </si>
  <si>
    <t>A6</t>
  </si>
  <si>
    <t>Salario Educação</t>
  </si>
  <si>
    <t>A7</t>
  </si>
  <si>
    <t>Seguro Contra Acidentes de Trabalho</t>
  </si>
  <si>
    <t>A8</t>
  </si>
  <si>
    <t>FGTS</t>
  </si>
  <si>
    <t>A9</t>
  </si>
  <si>
    <t>SECONCI</t>
  </si>
  <si>
    <t>A</t>
  </si>
  <si>
    <t>GRUPO B</t>
  </si>
  <si>
    <t>B1</t>
  </si>
  <si>
    <t>Repouso Semanal Remunerado</t>
  </si>
  <si>
    <t>Não incide</t>
  </si>
  <si>
    <t>B2</t>
  </si>
  <si>
    <t>Feriados</t>
  </si>
  <si>
    <t>B3</t>
  </si>
  <si>
    <t>Auxilio - Enfermidade</t>
  </si>
  <si>
    <t>B4</t>
  </si>
  <si>
    <t>13º Salario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</si>
  <si>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</si>
  <si>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</si>
  <si>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</si>
  <si>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</si>
  <si>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</si>
  <si>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</si>
  <si>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</si>
  <si>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</si>
  <si>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</si>
  <si>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</si>
  <si>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</si>
  <si>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</si>
  <si>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</si>
  <si>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</si>
  <si>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</si>
  <si>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</si>
  <si>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</si>
  <si>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</si>
  <si>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</si>
  <si>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</si>
  <si>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</si>
  <si>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</si>
  <si>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</si>
  <si>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</si>
  <si>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</si>
  <si>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</si>
  <si>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</si>
  <si>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</si>
  <si>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</si>
  <si>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</si>
  <si>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</si>
  <si>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(A+B+C+D)</t>
  </si>
  <si>
    <t>____________________________</t>
  </si>
  <si>
    <t>PAULO PAZETO MEDEIROS</t>
  </si>
  <si>
    <t>CPF 037.578.081-50</t>
  </si>
  <si>
    <t>CUIABÁ-MT, 15 DE MAIO DE 2023.</t>
  </si>
  <si>
    <t>_______________________________________</t>
  </si>
  <si>
    <t>DIRETOR/ENGENHEIRO CIVIL</t>
  </si>
  <si>
    <t>CREA MT034442</t>
  </si>
  <si>
    <t>CONCRETO FCK = 25MPA, TRAÇO 1:2,3:2,7 (CIMENTO/ AREIA MÉDIA/ BRITA 1)- PREPARO MECÂNICO COM BETONEIRA 400 L. AF_05/2021</t>
  </si>
  <si>
    <t>CONCRETO FCK = 25MPA, TRAÇO 1:2,3:2,7 (EM MASSA SECA DE CIMENTO/ AREIA MÉDIA/ BRITA 1) - PREPARO MECÂNICO COM BETONEIRA 400 L. AF_05/2021</t>
  </si>
  <si>
    <t>ARMAÇÃO DE MURO ALA E MURO TESTA UTILIZANDO AÇO CA-50 DE 10 MM - MONTAGEM. AF_07/2021</t>
  </si>
  <si>
    <t>ARMAÇÃO DE MURO ALA E MURO TESTA UTILIZANDO AÇO CA-50 DE 12,5 MM - MONTAGEM. AF_07/2021</t>
  </si>
  <si>
    <t>MONTAGEM E DESMONTAGEM DE FÔRMA DE PILARES RETANGULARES E ESTRUTURAS SIMILARES, PÉ-DIREITO SIMPLES, EM CHAPA DE MADEIRA COMPENSADA PLASTIFICADA, 10 UTILIZAÇÕES. AF_09/2020</t>
  </si>
  <si>
    <t>ARMAÇÃO DE PILAR OU VIGA DE ESTRUTURA CONVENCIONAL DE CONCRETO ARMADO UTILIZANDO AÇO CA-60 DE 5,0 MM - MONTAGEM. AF_06/2022</t>
  </si>
  <si>
    <t>MONTAGEM E DESMONTAGEM DE FÔRMA DE VIGA, ESCORAMENTO COM GARFO DE MADEIRA, PÉ-DIREITO SIMPLES, EM CHAPA DE MADEIRA PLASTIFICADA, 18 UTILIZAÇÕES. AF_09/2020</t>
  </si>
  <si>
    <t>(COMPOSIÇÃO REPRESENTATIVA) DO SERVIÇO DE CONTRAPISO EM ARGAMASSA TRAÇO 1:4 (CIM E AREIA), EM BETONEIRA 400 L, ESPESSURA 3 CM ÁREAS SECAS E 3 CM ÁREAS MOLHADAS, PARA EDIFICAÇÃO HABITACIONAL UNIFAMILIAR (CASA) E EDIFICAÇÃO PÚBLICA PADRÃO. AF_11/2014</t>
  </si>
  <si>
    <t>REVESTIMENTO CERÂMICO PARA PISO COM PLACAS TIPO PORCELANATO DE DIMENSÕES 60X60 CM APLICADA EM AMBIENTES DE ÁREA ENTRE 5 M²  E 10 M². AF_06/2014</t>
  </si>
  <si>
    <t>EMBOÇO, PARA RECEBIMENTO DE CERÂMICA, EM ARGAMASSA TRAÇO 1:2:8, PREPARO MANUAL, APLICADO MANUALMENTE EM FACES INTERNAS DE PAREDES, PARA AMBIENTE COM ÁREA ENTRE 5M2 E 10M2, ESPESSURA DE 20MM, COM EXECUÇÃO DE TALISCAS. AF_06/201410M2,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</si>
  <si>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</si>
  <si>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 xml:space="preserve">PORTA EM MADEIRA LISA COMUM, ENCABEÇADA DE CORRER COM TRILHO DE ALUMÍNIO - FORNECIMENTO E INSTALAÇÃO. </t>
  </si>
  <si>
    <t>SOLEIRA EM GRANITO, LARGURA 15 CM, ESPESSURA 2,0 CM. AF_09/2020</t>
  </si>
  <si>
    <t>JANELA DE ALUMÍNIO TIPO MAXIM-AR, COM VIDROS, BATENTE E FERRAGENS. EXCLUSIVE ALIZAR, ACABAMENTO E CONTRAMARCO. FORNECIMENTO E INSTALAÇÃO. AF_12/2019</t>
  </si>
  <si>
    <t>FORNECIMENTO E INSTALAÇÃO DE PORTÃO DE CORRER DE  1,50 X 2,45 M.</t>
  </si>
  <si>
    <t>FORNECIMENTO E INSTALAÇÃO DE PORTÃO DE CORRER, 2 FOLHAS, DE  3,90 X 2,45 M, COM ACIONAMENTO ELÉTRICO</t>
  </si>
  <si>
    <t>PORTA DE ABRIR DE FERRO EM CHAPA CORRUGADA, 2 FOLHAS, DE 1,60X2,10 M</t>
  </si>
  <si>
    <t>APLICAÇÃO MANUAL DE MASSA ACRÍLICA EM PAREDES EXTERNAS DE CASAS, DUAS DEMÃOS. AF_05/2017</t>
  </si>
  <si>
    <t>LUVA, PVC, SOLDÁVEL, DN 25MM, INSTALADO EM RAMAL OU SUB-RAMAL DE ÁGUA - FORNECIMENTO E INSTALAÇÃO. AF_06/2022</t>
  </si>
  <si>
    <t>LUVA, PVC, SOLDÁVEL, DN 50MM, INSTALADO EM PRUMADA DE ÁGUA - FORNECIMENTO E INSTALAÇÃO. AF_06/2022</t>
  </si>
  <si>
    <t>TUBO, PVC, SOLDÁVEL, DN 25MM, INSTALADO EM RAMAL OU SUB-RAMAL DE ÁGUA - FORNECIMENTO E INSTALAÇÃO. AF_06/2022</t>
  </si>
  <si>
    <t>VÁLVULA DE DESCARGA METÁLICA, BASE 1 1/2", ACABAMENTO METALICO CROMADO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</si>
  <si>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</si>
  <si>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</si>
  <si>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GAVETA BRUTO, LATÃO, ROSCÁVEL, 1 1/2", COM ACABAMENTO E CANOPLA CROMADOS - FORNECIMENTO E INSTALAÇÃO. AF_08/2021</t>
  </si>
  <si>
    <t>REGISTRO DE GAVETA BRUTO, LATÃO, ROSCÁVEL, 1 1/2" - FORNECIMENTO E INSTALAÇÃO. AF_08/2021</t>
  </si>
  <si>
    <t>LUVA SOLDÁVEL E COM ROSCA, PVC, SOLDÁVEL, DN 25MM X 3/4 , INSTALADO EM RAMAL OU SUB-RAMAL DE ÁGUA - FORNECIMENTO E INSTALAÇÃO. AF_06/2022</t>
  </si>
  <si>
    <t>ADAPTADOR COM FLANGE E ANEL DE VEDAÇÃO, PVC, SOLDÁVEL, DN 25 MM X 3/4 , INSTALADO EM RESERVAÇÃO DE ÁGUA DE EDIFICAÇÃO QUE POSSUA RESERVATÓRIO DE FIBRA/FIBROCIMENTO FORNECIMENTO E INSTALAÇÃO. AF_06/2016</t>
  </si>
  <si>
    <t>ADAPTADOR CURTO COM BOLSA E ROSCA PARA REGISTRO, PVC, SOLDÁVEL, DN 25MM X 3/4 , INSTALADO EM RAMAL OU SUB-RAMAL DE ÁGUA - FORNECIMENTO E INSTALAÇÃO. AF_06/2022</t>
  </si>
  <si>
    <t>TE, PVC, SOLDÁVEL, DN 25MM, INSTALADO EM RAMAL OU SUB-RAMAL DE ÁGUA - FORNECIMENTO E INSTALAÇÃO. AF_06/2022</t>
  </si>
  <si>
    <t>JOELHO 90 GRAUS COM BUCHA DE LATÃO, PVC, SOLDÁVEL, DN 25MM, X 3/4 INSTALADO EM RAMAL OU SUB-RAMAL DE ÁGUA - FORNECIMENTO E INSTALAÇÃO. AF_06/2022</t>
  </si>
  <si>
    <t>ENGATE FLEXÍVEL EM PLÁSTICO BRANCO, 1/2 X 30CM - FORNECIMENTO E INSTALAÇÃO. AF_01/2020</t>
  </si>
  <si>
    <t>TORNEIRA CROMADA LONGA, DE PAREDE, 1/2 OU 3/4, PARA PIA DE COZINHA, PADRÃO POPULAR - FORNECIMENTO E INSTALAÇÃO. AF_01/2020</t>
  </si>
  <si>
    <t>TORNEIRA CROMADA DE MESA, 1/2 OU 3/4, PARA LAVATÓRIO, PADRÃO MÉDIO - FORNECIMENTO E INSTALAÇÃO. AF_01/2020</t>
  </si>
  <si>
    <t>TORNEIRA CROMADA 1/2 OU 3/4 PARA TANQUE, PADRÃO MÉDIO - FORNECIMENTO E INSTALAÇÃO. AF_01/2020</t>
  </si>
  <si>
    <t>CAIXA SIFONADA, PVC, DN 100 X 100 X 50 MM, JUNTA ELÁSTICA, FORNECIDA E INSTALADA EM RAMAL DE DESCARGA OU EM RAMAL DE ESGOTO SANITÁRIO. AF_08/2022</t>
  </si>
  <si>
    <t>JOELHO 45 GRAUS, PVC, SERIE NORMAL, ESGOTO PREDIAL, DN 50 MM, JUNTA ELÁSTICA, FORNECIDO E INSTALADO EM RAMAL DE DESCARGA OU RAMAL DE ESGOTO SANITÁRIO. AF_08/2022</t>
  </si>
  <si>
    <t>JOELHO 45 GRAUS, PVC, SERIE NORMAL, ESGOTO PREDIAL, DN 100 MM, JUNTA ELÁSTICA, FORNECIDO E INSTALADO EM RAMAL DE DESCARGA OU RAMAL DE ESGOTO SANITÁRIO. AF_08/2022</t>
  </si>
  <si>
    <t>OELHO 90 GRAUS, PVC, SERIE NORMAL, ESGOTO PREDIAL, DN 100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</si>
  <si>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</si>
  <si>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</si>
  <si>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COMPACTAÇÃO MECÂNICA DE SOLO PARA EXECUÇÃO DE RADIER, PISO DE CONCRETO OU LAJE SOBRE SOLO, COM COMPACTADOR DE SOLOS TIPO PLACA VIBRATÓRIA. AF_09/2021</t>
  </si>
  <si>
    <t>MURETA COM GRADIL</t>
  </si>
  <si>
    <t>MONTAGEM DE ARMADURA TRANSVERSAL DE ESTACAS DE SEÇÃO CIRCULAR, DIÂMETRO = 5,0 MM. AF_09/2021_P</t>
  </si>
  <si>
    <t>MONTAGEM DE ARMADURA DE ESTACAS, DIÂMETRO = 10,0 MM. AF_09/2021_P</t>
  </si>
  <si>
    <t>PILARES DA MURETA</t>
  </si>
  <si>
    <t>MONTAGEM E DESMONTAGEM DE FÔRMA DE PILARES RETANGULARES E ESTRUTURAS SIMILARES, PÉ-DIREITO SIMPLES, EM CHAPA DE MADEIRA COMPENSADA RESINADA, 8 UTILIZAÇÕES. AF_09/2020</t>
  </si>
  <si>
    <t>FECHAMENTO E REVESTIMENTO DA MURETA</t>
  </si>
  <si>
    <t>EMBOÇO OU MASSA ÚNICA EM ARGAMASSA TRAÇO 1:2:8, PREPARO MECÂNICO COM BETONEIRA 400 L, APLICADA MANUALMENTE EM PANOS CEGOS DE FACHADA (SEM PRESENÇA DE VÃOS), ESPESSURA DE 25 MM. AF_08/2022</t>
  </si>
  <si>
    <t>PINTURA DA MURETA</t>
  </si>
  <si>
    <t>Rua Erichin, esquina com Rua Circular - Bairro Residencial Arco Íris</t>
  </si>
  <si>
    <t>CONFRESA - 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</si>
</sst>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R$&quot;\ * #,##0.00_-;\-&quot;R$&quot;\ * #,##0.00_-;_-&quot;R$&quot;\ * &quot;-&quot;??_-;_-@_-"/>
    <numFmt numFmtId="43" formatCode="_-* #,##0.00_-;\-* #,##0.00_-;_-* &quot;-&quot;??_-;_-@_-"/>
    <numFmt numFmtId="164" formatCode="0.0000"/>
    <numFmt numFmtId="165" formatCode="_(* #,##0.00_);_(* \(#,##0.00\);_(* &quot;-&quot;??_);_(@_)"/>
    <numFmt numFmtId="166" formatCode="000"/>
    <numFmt numFmtId="167" formatCode="#,##0.00;[Red]#,##0.00"/>
    <numFmt numFmtId="168" formatCode="dd/mm/yy"/>
    <numFmt numFmtId="169" formatCode="dd/mm/yy;@"/>
    <numFmt numFmtId="170" formatCode="0.00;[Red]0.00"/>
    <numFmt numFmtId="171" formatCode="#,##0.0000;[Red]#,##0.0000"/>
    <numFmt numFmtId="172" formatCode="#,##0.000;[Red]#,##0.000"/>
    <numFmt numFmtId="173" formatCode="#,##0.000"/>
    <numFmt numFmtId="174" formatCode="#,##0;[Red]#,##0"/>
    <numFmt numFmtId="175" formatCode="0.000"/>
    <numFmt numFmtId="176" formatCode="#,##0.000000;[Red]#,##0.000000"/>
    <numFmt numFmtId="177" formatCode="#,##0.00000"/>
    <numFmt numFmtId="178" formatCode="#,##0.00000;[Red]#,##0.00000"/>
    <numFmt numFmtId="179" formatCode="0.00000"/>
    <numFmt numFmtId="180" formatCode="0.00&quot;m&quot;"/>
    <numFmt numFmtId="181" formatCode="#,##0.0000000;[Red]#,##0.0000000"/>
    <numFmt numFmtId="182" formatCode="&quot;R$&quot;\ #,##0.00"/>
    <numFmt numFmtId="183" formatCode="_(&quot;R$ &quot;* #,##0.00_);_(&quot;R$ &quot;* \(#,##0.00\);_(&quot;R$ &quot;* &quot;-&quot;??_);_(@_)"/>
  </numFmts>
  <fonts count="123">
    <font>
      <sz val="11"/>
      <color theme="1"/>
      <name val="Calibri"/>
      <family val="2"/>
      <scheme val="minor"/>
    </font>
    <font>
      <sz val="11"/>
      <color theme="1"/>
      <name val="Calibri"/>
      <family val="2"/>
      <scheme val="minor"/>
    </font>
    <font>
      <b/>
      <sz val="24"/>
      <name val="Arial"/>
      <family val="2"/>
    </font>
    <font>
      <b/>
      <sz val="26"/>
      <name val="Arial"/>
      <family val="2"/>
    </font>
    <font>
      <sz val="26"/>
      <name val="Arial"/>
      <family val="2"/>
    </font>
    <font>
      <b/>
      <sz val="22"/>
      <name val="Arial"/>
      <family val="2"/>
    </font>
    <font>
      <sz val="22"/>
      <name val="Arial"/>
      <family val="2"/>
    </font>
    <font>
      <b/>
      <sz val="12"/>
      <name val="Arial"/>
      <family val="2"/>
    </font>
    <font>
      <sz val="12"/>
      <name val="Arial"/>
      <family val="2"/>
    </font>
    <font>
      <sz val="10"/>
      <name val="Arial"/>
      <family val="2"/>
    </font>
    <font>
      <sz val="11"/>
      <name val="Arial"/>
      <family val="2"/>
    </font>
    <font>
      <b/>
      <sz val="18"/>
      <name val="Arial"/>
      <family val="2"/>
    </font>
    <font>
      <b/>
      <sz val="20"/>
      <name val="Arial"/>
      <family val="2"/>
    </font>
    <font>
      <sz val="18"/>
      <name val="Arial"/>
      <family val="2"/>
    </font>
    <font>
      <sz val="12"/>
      <color theme="1"/>
      <name val="Arial"/>
      <family val="2"/>
    </font>
    <font>
      <sz val="11"/>
      <color theme="1"/>
      <name val="Arial"/>
      <family val="2"/>
    </font>
    <font>
      <sz val="10"/>
      <color theme="1"/>
      <name val="Calibri"/>
      <family val="2"/>
      <scheme val="minor"/>
    </font>
    <font>
      <b/>
      <sz val="11"/>
      <name val="Arial"/>
      <family val="2"/>
    </font>
    <font>
      <sz val="9"/>
      <name val="Arial"/>
      <family val="2"/>
    </font>
    <font>
      <sz val="12"/>
      <name val="Apple Chancery"/>
      <family val="4"/>
    </font>
    <font>
      <sz val="12"/>
      <color rgb="FFFF0000"/>
      <name val="Arial"/>
      <family val="2"/>
    </font>
    <font>
      <b/>
      <sz val="11"/>
      <color theme="1"/>
      <name val="Arial"/>
      <family val="2"/>
    </font>
    <font>
      <b/>
      <sz val="10"/>
      <name val="Arial"/>
      <family val="2"/>
    </font>
    <font>
      <sz val="10"/>
      <color theme="1"/>
      <name val="Arial"/>
      <family val="2"/>
    </font>
    <font>
      <b/>
      <sz val="10"/>
      <color theme="1"/>
      <name val="Arial"/>
      <family val="2"/>
    </font>
    <font>
      <sz val="10"/>
      <color rgb="FF000000"/>
      <name val="Arial"/>
      <family val="2"/>
    </font>
    <font>
      <b/>
      <sz val="12"/>
      <color theme="1"/>
      <name val="Arial"/>
      <family val="2"/>
    </font>
    <font>
      <sz val="12"/>
      <color indexed="8"/>
      <name val="Arial"/>
      <family val="2"/>
    </font>
    <font>
      <sz val="11"/>
      <color rgb="FFFF0000"/>
      <name val="Calibri"/>
      <family val="2"/>
      <scheme val="minor"/>
    </font>
    <font>
      <b/>
      <sz val="14"/>
      <name val="Arial"/>
      <family val="2"/>
    </font>
    <font>
      <sz val="11"/>
      <color indexed="8"/>
      <name val="Arial"/>
      <family val="2"/>
    </font>
    <font>
      <sz val="10"/>
      <color indexed="8"/>
      <name val="Arial"/>
      <family val="2"/>
    </font>
    <font>
      <sz val="11"/>
      <color indexed="8"/>
      <name val="Calibri"/>
      <family val="2"/>
    </font>
    <font>
      <b/>
      <sz val="12"/>
      <color indexed="8"/>
      <name val="Arial"/>
      <family val="2"/>
    </font>
    <font>
      <sz val="11"/>
      <color rgb="FFFF0000"/>
      <name val="Arial"/>
      <family val="2"/>
    </font>
    <font>
      <sz val="9"/>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b/>
      <sz val="18"/>
      <color indexed="62"/>
      <name val="Cambria"/>
      <family val="2"/>
    </font>
    <font>
      <b/>
      <sz val="12"/>
      <color rgb="FFFF0000"/>
      <name val="Arial"/>
      <family val="2"/>
    </font>
    <font>
      <sz val="12"/>
      <color theme="1"/>
      <name val="Times New Roman"/>
      <family val="1"/>
    </font>
    <font>
      <b/>
      <sz val="11"/>
      <name val="Times New Roman"/>
      <family val="1"/>
    </font>
    <font>
      <b/>
      <sz val="12"/>
      <name val="Times New Roman"/>
      <family val="1"/>
    </font>
    <font>
      <b/>
      <sz val="10"/>
      <name val="Times New Roman"/>
      <family val="1"/>
    </font>
    <font>
      <b/>
      <sz val="14"/>
      <color rgb="FFFF0000"/>
      <name val="Calibri"/>
      <family val="2"/>
      <scheme val="minor"/>
    </font>
    <font>
      <sz val="10"/>
      <color rgb="FFFF0000"/>
      <name val="Arial"/>
      <family val="2"/>
    </font>
    <font>
      <sz val="9"/>
      <color theme="1"/>
      <name val="Calibri"/>
      <family val="2"/>
      <scheme val="minor"/>
    </font>
    <font>
      <sz val="10"/>
      <name val="Calibri"/>
      <family val="2"/>
      <scheme val="minor"/>
    </font>
    <font>
      <b/>
      <sz val="9"/>
      <color rgb="FFFF0000"/>
      <name val="Arial"/>
      <family val="2"/>
    </font>
    <font>
      <b/>
      <sz val="11"/>
      <color rgb="FFFF0000"/>
      <name val="Arial"/>
      <family val="2"/>
    </font>
    <font>
      <b/>
      <sz val="10"/>
      <color rgb="FFFF0000"/>
      <name val="Arial"/>
      <family val="2"/>
    </font>
    <font>
      <b/>
      <sz val="11"/>
      <color theme="1"/>
      <name val="Calibri"/>
      <family val="2"/>
      <scheme val="minor"/>
    </font>
    <font>
      <sz val="9"/>
      <color theme="1"/>
      <name val="Times New Roman"/>
      <family val="1"/>
    </font>
    <font>
      <b/>
      <sz val="9"/>
      <name val="Arial"/>
      <family val="2"/>
    </font>
    <font>
      <b/>
      <sz val="10"/>
      <color rgb="FFFF0000"/>
      <name val="Calibri"/>
      <family val="2"/>
      <scheme val="minor"/>
    </font>
    <font>
      <sz val="12"/>
      <color rgb="FFFF0000"/>
      <name val="Calibri"/>
      <family val="2"/>
      <scheme val="minor"/>
    </font>
    <font>
      <sz val="11"/>
      <name val="Calibri"/>
      <family val="2"/>
      <scheme val="minor"/>
    </font>
    <font>
      <sz val="12"/>
      <name val="Calibri"/>
      <family val="2"/>
      <scheme val="minor"/>
    </font>
    <font>
      <sz val="8"/>
      <color indexed="8"/>
      <name val="Courier"/>
      <family val="3"/>
    </font>
    <font>
      <sz val="8"/>
      <color rgb="FFFF0000"/>
      <name val="Courier"/>
      <family val="3"/>
    </font>
    <font>
      <b/>
      <sz val="11"/>
      <color rgb="FFFF0000"/>
      <name val="Calibri"/>
      <family val="2"/>
      <scheme val="minor"/>
    </font>
    <font>
      <b/>
      <sz val="10"/>
      <color rgb="FF333333"/>
      <name val="Arial"/>
      <family val="2"/>
    </font>
    <font>
      <sz val="10"/>
      <color rgb="FF333333"/>
      <name val="Arial"/>
      <family val="2"/>
    </font>
    <font>
      <b/>
      <sz val="12"/>
      <name val="Calibri"/>
      <family val="2"/>
      <scheme val="minor"/>
    </font>
    <font>
      <sz val="8"/>
      <name val="Arial"/>
      <family val="2"/>
    </font>
    <font>
      <b/>
      <sz val="16"/>
      <color theme="1"/>
      <name val="Calibri"/>
      <family val="2"/>
      <scheme val="minor"/>
    </font>
    <font>
      <sz val="20"/>
      <color theme="1"/>
      <name val="Calibri"/>
      <family val="2"/>
      <scheme val="minor"/>
    </font>
    <font>
      <b/>
      <sz val="13"/>
      <color theme="1"/>
      <name val="Calibri"/>
      <family val="2"/>
      <scheme val="minor"/>
    </font>
    <font>
      <sz val="13"/>
      <color theme="1"/>
      <name val="Calibri"/>
      <family val="2"/>
      <scheme val="minor"/>
    </font>
    <font>
      <sz val="11"/>
      <color rgb="FF333333"/>
      <name val="Arial"/>
      <family val="2"/>
    </font>
    <font>
      <sz val="9"/>
      <color rgb="FF663D14"/>
      <name val="Arial"/>
      <family val="2"/>
    </font>
    <font>
      <sz val="9"/>
      <color rgb="FF333333"/>
      <name val="Arial"/>
      <family val="2"/>
    </font>
    <font>
      <b/>
      <sz val="10"/>
      <color theme="1"/>
      <name val="Calibri"/>
      <family val="2"/>
      <scheme val="minor"/>
    </font>
    <font>
      <sz val="9"/>
      <color theme="1"/>
      <name val="Calibri"/>
      <family val="2"/>
    </font>
    <font>
      <sz val="11"/>
      <color theme="1"/>
      <name val="Calibri"/>
      <family val="2"/>
    </font>
    <font>
      <b/>
      <sz val="11"/>
      <name val="Calibri"/>
      <family val="2"/>
      <scheme val="minor"/>
    </font>
    <font>
      <sz val="11"/>
      <color indexed="10"/>
      <name val="Arial"/>
      <family val="2"/>
    </font>
    <font>
      <sz val="9"/>
      <color indexed="8"/>
      <name val="Calibri"/>
      <family val="2"/>
      <scheme val="minor"/>
    </font>
    <font>
      <sz val="9"/>
      <color indexed="10"/>
      <name val="Arial"/>
      <family val="2"/>
    </font>
    <font>
      <b/>
      <sz val="9"/>
      <color indexed="10"/>
      <name val="Arial"/>
      <family val="2"/>
    </font>
    <font>
      <sz val="11"/>
      <color rgb="FFFF0000"/>
      <name val="Calibri"/>
      <family val="2"/>
    </font>
    <font>
      <b/>
      <sz val="11"/>
      <color indexed="10"/>
      <name val="Arial"/>
      <family val="2"/>
    </font>
    <font>
      <b/>
      <sz val="9"/>
      <color indexed="10"/>
      <name val="Calibri"/>
      <family val="2"/>
    </font>
    <font>
      <b/>
      <sz val="10"/>
      <color indexed="10"/>
      <name val="Arial"/>
      <family val="2"/>
    </font>
    <font>
      <b/>
      <sz val="9"/>
      <color indexed="22"/>
      <name val="Arial"/>
      <family val="2"/>
    </font>
    <font>
      <sz val="11"/>
      <name val="Calibri"/>
      <family val="2"/>
    </font>
    <font>
      <b/>
      <sz val="10"/>
      <color indexed="8"/>
      <name val="Arial"/>
      <family val="2"/>
    </font>
    <font>
      <b/>
      <sz val="9"/>
      <color theme="1"/>
      <name val="Arial"/>
      <family val="2"/>
    </font>
    <font>
      <u/>
      <sz val="11"/>
      <color theme="10"/>
      <name val="Calibri"/>
      <family val="2"/>
      <scheme val="minor"/>
    </font>
    <font>
      <sz val="12"/>
      <color rgb="FF222222"/>
      <name val="Arial"/>
      <family val="2"/>
    </font>
    <font>
      <sz val="9"/>
      <color rgb="FFFF0000"/>
      <name val="Arial"/>
      <family val="2"/>
    </font>
    <font>
      <b/>
      <sz val="9"/>
      <color rgb="FFFF0000"/>
      <name val="Calibri"/>
      <family val="2"/>
      <scheme val="minor"/>
    </font>
    <font>
      <u/>
      <sz val="9"/>
      <color theme="10"/>
      <name val="Calibri"/>
      <family val="2"/>
      <scheme val="minor"/>
    </font>
    <font>
      <sz val="8"/>
      <color theme="1"/>
      <name val="Arial"/>
      <family val="2"/>
    </font>
    <font>
      <sz val="11"/>
      <color theme="10"/>
      <name val="Calibri"/>
      <family val="2"/>
      <scheme val="minor"/>
    </font>
    <font>
      <u/>
      <sz val="10"/>
      <color theme="10"/>
      <name val="Arial"/>
      <family val="2"/>
    </font>
    <font>
      <u/>
      <sz val="9"/>
      <color theme="10"/>
      <name val="Arial"/>
      <family val="2"/>
    </font>
    <font>
      <b/>
      <sz val="9"/>
      <color theme="1"/>
      <name val="Calibri Light"/>
      <family val="2"/>
    </font>
    <font>
      <sz val="9"/>
      <color theme="1"/>
      <name val="Calibri Light"/>
      <family val="2"/>
    </font>
    <font>
      <b/>
      <sz val="12"/>
      <color theme="0"/>
      <name val="Trebuchet MS"/>
      <family val="2"/>
    </font>
    <font>
      <sz val="10"/>
      <name val="Arial"/>
      <family val="2"/>
      <charset val="1"/>
    </font>
    <font>
      <b/>
      <sz val="12"/>
      <color theme="0"/>
      <name val="Calibri Light"/>
      <family val="2"/>
    </font>
    <font>
      <sz val="11"/>
      <name val="Trebuchet MS"/>
      <family val="2"/>
    </font>
    <font>
      <b/>
      <sz val="11"/>
      <name val="Trebuchet MS"/>
      <family val="2"/>
    </font>
    <font>
      <b/>
      <sz val="11"/>
      <color theme="0"/>
      <name val="Trebuchet MS"/>
      <family val="2"/>
    </font>
    <font>
      <sz val="11"/>
      <color rgb="FF000000"/>
      <name val="Trebuchet MS"/>
      <family val="2"/>
    </font>
    <font>
      <b/>
      <sz val="11"/>
      <color rgb="FF000000"/>
      <name val="Trebuchet MS"/>
      <family val="2"/>
    </font>
    <font>
      <sz val="8"/>
      <name val="Calibri"/>
      <family val="2"/>
      <scheme val="minor"/>
    </font>
  </fonts>
  <fills count="4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8"/>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2060"/>
        <bgColor indexed="64"/>
      </patternFill>
    </fill>
    <fill>
      <patternFill patternType="solid">
        <fgColor theme="2" tint="-0.499984740745262"/>
        <bgColor indexed="64"/>
      </patternFill>
    </fill>
    <fill>
      <patternFill patternType="solid">
        <fgColor theme="4" tint="-0.249977111117893"/>
        <bgColor indexed="64"/>
      </patternFill>
    </fill>
  </fills>
  <borders count="140">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hair">
        <color indexed="64"/>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D9D9D9"/>
      </bottom>
      <diagonal/>
    </border>
    <border>
      <left/>
      <right style="medium">
        <color indexed="64"/>
      </right>
      <top style="medium">
        <color rgb="FF000000"/>
      </top>
      <bottom style="medium">
        <color rgb="FFD9D9D9"/>
      </bottom>
      <diagonal/>
    </border>
    <border>
      <left style="medium">
        <color indexed="64"/>
      </left>
      <right style="medium">
        <color rgb="FFD9D9D9"/>
      </right>
      <top/>
      <bottom style="medium">
        <color rgb="FFD9D9D9"/>
      </bottom>
      <diagonal/>
    </border>
    <border>
      <left/>
      <right style="medium">
        <color indexed="64"/>
      </right>
      <top/>
      <bottom style="medium">
        <color rgb="FFD9D9D9"/>
      </bottom>
      <diagonal/>
    </border>
    <border>
      <left style="medium">
        <color indexed="64"/>
      </left>
      <right/>
      <top/>
      <bottom style="medium">
        <color rgb="FFD9D9D9"/>
      </bottom>
      <diagonal/>
    </border>
    <border>
      <left style="medium">
        <color indexed="64"/>
      </left>
      <right/>
      <top style="medium">
        <color rgb="FFD9D9D9"/>
      </top>
      <bottom style="medium">
        <color rgb="FFD9D9D9"/>
      </bottom>
      <diagonal/>
    </border>
    <border>
      <left/>
      <right style="medium">
        <color indexed="64"/>
      </right>
      <top style="medium">
        <color rgb="FFD9D9D9"/>
      </top>
      <bottom style="medium">
        <color rgb="FFD9D9D9"/>
      </bottom>
      <diagonal/>
    </border>
    <border>
      <left style="medium">
        <color indexed="64"/>
      </left>
      <right style="medium">
        <color rgb="FFD9D9D9"/>
      </right>
      <top/>
      <bottom style="medium">
        <color indexed="64"/>
      </bottom>
      <diagonal/>
    </border>
    <border>
      <left style="medium">
        <color indexed="64"/>
      </left>
      <right/>
      <top style="medium">
        <color indexed="64"/>
      </top>
      <bottom style="medium">
        <color rgb="FFD9D9D9"/>
      </bottom>
      <diagonal/>
    </border>
    <border>
      <left/>
      <right style="medium">
        <color indexed="64"/>
      </right>
      <top style="medium">
        <color indexed="64"/>
      </top>
      <bottom style="medium">
        <color rgb="FFD9D9D9"/>
      </bottom>
      <diagonal/>
    </border>
    <border>
      <left style="medium">
        <color indexed="64"/>
      </left>
      <right/>
      <top style="medium">
        <color rgb="FFD9D9D9"/>
      </top>
      <bottom style="medium">
        <color indexed="64"/>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s>
  <cellStyleXfs count="6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32" fillId="0" borderId="0"/>
    <xf numFmtId="0" fontId="32" fillId="0" borderId="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3" borderId="0" applyNumberFormat="0" applyBorder="0" applyAlignment="0" applyProtection="0"/>
    <xf numFmtId="0" fontId="37" fillId="8" borderId="0" applyNumberFormat="0" applyBorder="0" applyAlignment="0" applyProtection="0"/>
    <xf numFmtId="0" fontId="38" fillId="27" borderId="60" applyNumberFormat="0" applyAlignment="0" applyProtection="0"/>
    <xf numFmtId="0" fontId="52" fillId="28" borderId="60" applyNumberFormat="0" applyAlignment="0" applyProtection="0"/>
    <xf numFmtId="0" fontId="39" fillId="29" borderId="61" applyNumberFormat="0" applyAlignment="0" applyProtection="0"/>
    <xf numFmtId="0" fontId="45" fillId="18" borderId="60" applyNumberFormat="0" applyAlignment="0" applyProtection="0"/>
    <xf numFmtId="0" fontId="40" fillId="0" borderId="0" applyNumberFormat="0" applyFill="0" applyBorder="0" applyAlignment="0" applyProtection="0"/>
    <xf numFmtId="0" fontId="41" fillId="9" borderId="0" applyNumberFormat="0" applyBorder="0" applyAlignment="0" applyProtection="0"/>
    <xf numFmtId="0" fontId="42" fillId="0" borderId="62" applyNumberFormat="0" applyFill="0" applyAlignment="0" applyProtection="0"/>
    <xf numFmtId="0" fontId="43" fillId="0" borderId="63" applyNumberFormat="0" applyFill="0" applyAlignment="0" applyProtection="0"/>
    <xf numFmtId="0" fontId="44" fillId="0" borderId="64" applyNumberFormat="0" applyFill="0" applyAlignment="0" applyProtection="0"/>
    <xf numFmtId="0" fontId="44" fillId="0" borderId="0" applyNumberFormat="0" applyFill="0" applyBorder="0" applyAlignment="0" applyProtection="0"/>
    <xf numFmtId="0" fontId="37" fillId="10" borderId="0" applyNumberFormat="0" applyBorder="0" applyAlignment="0" applyProtection="0"/>
    <xf numFmtId="0" fontId="45" fillId="12" borderId="60" applyNumberFormat="0" applyAlignment="0" applyProtection="0"/>
    <xf numFmtId="0" fontId="46" fillId="0" borderId="65" applyNumberFormat="0" applyFill="0" applyAlignment="0" applyProtection="0"/>
    <xf numFmtId="0" fontId="47" fillId="18" borderId="0" applyNumberFormat="0" applyBorder="0" applyAlignment="0" applyProtection="0"/>
    <xf numFmtId="0" fontId="9" fillId="15" borderId="66" applyNumberFormat="0" applyFont="0" applyAlignment="0" applyProtection="0"/>
    <xf numFmtId="0" fontId="32" fillId="15" borderId="66" applyNumberFormat="0" applyFont="0" applyAlignment="0" applyProtection="0"/>
    <xf numFmtId="0" fontId="48" fillId="27" borderId="67" applyNumberFormat="0" applyAlignment="0" applyProtection="0"/>
    <xf numFmtId="0" fontId="48" fillId="28" borderId="67" applyNumberFormat="0" applyAlignment="0" applyProtection="0"/>
    <xf numFmtId="0" fontId="51" fillId="0" borderId="0" applyNumberFormat="0" applyFill="0" applyBorder="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53" fillId="0" borderId="0" applyNumberFormat="0" applyFill="0" applyBorder="0" applyAlignment="0" applyProtection="0"/>
    <xf numFmtId="0" fontId="50" fillId="0" borderId="68" applyNumberFormat="0" applyFill="0" applyAlignment="0" applyProtection="0"/>
    <xf numFmtId="0" fontId="51" fillId="0" borderId="0" applyNumberFormat="0" applyFill="0" applyBorder="0" applyAlignment="0" applyProtection="0"/>
    <xf numFmtId="0" fontId="32" fillId="0" borderId="0"/>
    <xf numFmtId="0" fontId="103"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0" fontId="115" fillId="0" borderId="0"/>
    <xf numFmtId="0" fontId="115" fillId="0" borderId="0"/>
    <xf numFmtId="9" fontId="115" fillId="0" borderId="0" applyBorder="0" applyProtection="0"/>
  </cellStyleXfs>
  <cellXfs count="2476">
    <xf numFmtId="0" fontId="0" fillId="0" borderId="0" xfId="0"/>
    <xf numFmtId="0" fontId="8" fillId="0" borderId="0" xfId="0" applyFont="1" applyBorder="1" applyAlignment="1">
      <alignment horizontal="center" vertical="center" wrapText="1"/>
    </xf>
    <xf numFmtId="2" fontId="8" fillId="0" borderId="0" xfId="0" applyNumberFormat="1" applyFont="1" applyBorder="1" applyAlignment="1">
      <alignment vertical="center" wrapText="1"/>
    </xf>
    <xf numFmtId="0" fontId="8" fillId="0" borderId="0" xfId="0" applyFont="1" applyBorder="1" applyAlignment="1">
      <alignment vertical="center"/>
    </xf>
    <xf numFmtId="0" fontId="7" fillId="0" borderId="0" xfId="0" applyFont="1" applyBorder="1" applyAlignment="1">
      <alignment horizontal="justify" vertical="center" wrapText="1"/>
    </xf>
    <xf numFmtId="4" fontId="7" fillId="0" borderId="6" xfId="0" applyNumberFormat="1" applyFont="1" applyBorder="1" applyAlignment="1">
      <alignment horizontal="right" vertical="center"/>
    </xf>
    <xf numFmtId="4" fontId="7" fillId="0" borderId="13" xfId="2" applyNumberFormat="1" applyFont="1" applyFill="1" applyBorder="1" applyAlignment="1">
      <alignment horizontal="center" vertical="center" wrapText="1"/>
    </xf>
    <xf numFmtId="39" fontId="7" fillId="4" borderId="5" xfId="0" applyNumberFormat="1" applyFont="1" applyFill="1" applyBorder="1" applyAlignment="1">
      <alignment horizontal="right" vertical="center" wrapText="1"/>
    </xf>
    <xf numFmtId="10" fontId="8" fillId="0" borderId="0" xfId="0" applyNumberFormat="1" applyFont="1" applyBorder="1" applyAlignment="1">
      <alignment vertical="center"/>
    </xf>
    <xf numFmtId="2" fontId="8" fillId="0" borderId="17" xfId="0" applyNumberFormat="1" applyFont="1" applyBorder="1" applyAlignment="1">
      <alignment horizontal="center" vertical="center"/>
    </xf>
    <xf numFmtId="0" fontId="14" fillId="0" borderId="4" xfId="0" applyFont="1" applyBorder="1" applyAlignment="1">
      <alignment horizontal="center" vertical="center" wrapText="1"/>
    </xf>
    <xf numFmtId="0" fontId="7" fillId="0" borderId="0" xfId="0" applyFont="1" applyBorder="1" applyAlignment="1">
      <alignment horizontal="center" vertical="center" wrapText="1"/>
    </xf>
    <xf numFmtId="0" fontId="17" fillId="0" borderId="10" xfId="0" applyFont="1" applyBorder="1" applyAlignment="1">
      <alignment vertical="center" wrapText="1"/>
    </xf>
    <xf numFmtId="0" fontId="13" fillId="0" borderId="31" xfId="0" applyFont="1" applyBorder="1" applyAlignment="1">
      <alignment horizontal="center" vertical="center"/>
    </xf>
    <xf numFmtId="10" fontId="7" fillId="0" borderId="11" xfId="1" applyNumberFormat="1" applyFont="1" applyBorder="1" applyAlignment="1">
      <alignment vertical="center" wrapText="1"/>
    </xf>
    <xf numFmtId="0" fontId="16" fillId="0" borderId="0" xfId="0" applyFont="1" applyBorder="1" applyAlignment="1">
      <alignment horizontal="left" vertical="center"/>
    </xf>
    <xf numFmtId="0" fontId="0" fillId="0" borderId="0" xfId="0" applyBorder="1"/>
    <xf numFmtId="0" fontId="7" fillId="4" borderId="5" xfId="0" applyFont="1" applyFill="1" applyBorder="1" applyAlignment="1">
      <alignment horizontal="right" vertical="center"/>
    </xf>
    <xf numFmtId="4" fontId="8" fillId="0" borderId="0" xfId="0" applyNumberFormat="1" applyFont="1" applyFill="1" applyBorder="1" applyAlignment="1">
      <alignment horizontal="center" vertical="center"/>
    </xf>
    <xf numFmtId="0" fontId="15" fillId="0" borderId="0" xfId="0" applyFont="1" applyFill="1" applyBorder="1" applyAlignment="1">
      <alignment vertical="center"/>
    </xf>
    <xf numFmtId="0" fontId="0" fillId="0" borderId="0" xfId="0" applyFill="1" applyBorder="1"/>
    <xf numFmtId="0" fontId="15" fillId="0" borderId="0" xfId="0" applyFont="1" applyBorder="1" applyAlignment="1">
      <alignment vertical="center" wrapText="1"/>
    </xf>
    <xf numFmtId="0" fontId="6" fillId="0" borderId="0" xfId="0" applyFont="1" applyBorder="1" applyAlignment="1">
      <alignment vertical="center" wrapText="1"/>
    </xf>
    <xf numFmtId="0" fontId="4" fillId="0" borderId="0" xfId="0" applyFont="1" applyBorder="1" applyAlignment="1">
      <alignment vertical="center"/>
    </xf>
    <xf numFmtId="0" fontId="6" fillId="0" borderId="0" xfId="0" applyFont="1" applyBorder="1" applyAlignment="1">
      <alignment vertical="center"/>
    </xf>
    <xf numFmtId="0" fontId="8" fillId="0" borderId="31" xfId="0" applyFont="1" applyBorder="1" applyAlignment="1">
      <alignment horizontal="center" vertical="center" wrapText="1"/>
    </xf>
    <xf numFmtId="2" fontId="8" fillId="0" borderId="31" xfId="0" applyNumberFormat="1" applyFont="1" applyBorder="1" applyAlignment="1">
      <alignment vertical="center" wrapText="1"/>
    </xf>
    <xf numFmtId="0" fontId="8" fillId="0" borderId="31" xfId="0" applyFont="1" applyBorder="1" applyAlignment="1">
      <alignment vertical="center" wrapText="1"/>
    </xf>
    <xf numFmtId="0" fontId="17" fillId="0" borderId="4" xfId="0" applyFont="1" applyBorder="1" applyAlignment="1">
      <alignment horizontal="center" vertical="center" wrapText="1"/>
    </xf>
    <xf numFmtId="171" fontId="17" fillId="0" borderId="4" xfId="0" applyNumberFormat="1" applyFont="1" applyBorder="1" applyAlignment="1">
      <alignment horizontal="center" vertical="center" wrapText="1"/>
    </xf>
    <xf numFmtId="167" fontId="17" fillId="0" borderId="14" xfId="0" applyNumberFormat="1" applyFont="1" applyBorder="1" applyAlignment="1">
      <alignment horizontal="center" vertical="center" wrapText="1"/>
    </xf>
    <xf numFmtId="167" fontId="10" fillId="0" borderId="4" xfId="0" applyNumberFormat="1" applyFont="1" applyBorder="1" applyAlignment="1">
      <alignment horizontal="center" vertical="center"/>
    </xf>
    <xf numFmtId="167" fontId="10" fillId="0" borderId="14" xfId="0" applyNumberFormat="1" applyFont="1" applyBorder="1" applyAlignment="1">
      <alignment horizontal="center" vertical="center"/>
    </xf>
    <xf numFmtId="167" fontId="17" fillId="0" borderId="14" xfId="0" applyNumberFormat="1" applyFont="1" applyBorder="1" applyAlignment="1">
      <alignment horizontal="center" vertical="center"/>
    </xf>
    <xf numFmtId="0" fontId="15" fillId="0" borderId="22" xfId="0" applyFont="1" applyBorder="1" applyAlignment="1">
      <alignment vertical="center"/>
    </xf>
    <xf numFmtId="0" fontId="21" fillId="0" borderId="4" xfId="0" applyFont="1" applyBorder="1" applyAlignment="1">
      <alignment horizontal="justify" vertical="center" wrapText="1"/>
    </xf>
    <xf numFmtId="0" fontId="21" fillId="0" borderId="4" xfId="0" applyFont="1" applyBorder="1" applyAlignment="1">
      <alignment horizontal="center" vertical="center" wrapText="1"/>
    </xf>
    <xf numFmtId="171" fontId="21" fillId="0" borderId="4" xfId="0" applyNumberFormat="1" applyFont="1" applyBorder="1" applyAlignment="1">
      <alignment horizontal="center" vertical="center" wrapText="1"/>
    </xf>
    <xf numFmtId="167" fontId="21" fillId="0" borderId="14" xfId="0" applyNumberFormat="1" applyFont="1" applyBorder="1" applyAlignment="1">
      <alignment horizontal="center" vertical="center" wrapText="1"/>
    </xf>
    <xf numFmtId="0" fontId="15" fillId="0" borderId="22" xfId="0" applyFont="1" applyBorder="1" applyAlignment="1">
      <alignment horizontal="center" vertical="center"/>
    </xf>
    <xf numFmtId="0" fontId="15" fillId="0" borderId="4" xfId="0" applyFont="1" applyBorder="1" applyAlignment="1">
      <alignment horizontal="justify" vertical="center" wrapText="1"/>
    </xf>
    <xf numFmtId="0" fontId="15" fillId="0" borderId="4" xfId="0" applyFont="1" applyBorder="1" applyAlignment="1">
      <alignment horizontal="center" vertical="center" wrapText="1"/>
    </xf>
    <xf numFmtId="171" fontId="15" fillId="0" borderId="4"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10" fillId="2" borderId="16" xfId="3" applyFont="1" applyFill="1" applyBorder="1" applyAlignment="1">
      <alignment horizontal="center" vertical="center"/>
    </xf>
    <xf numFmtId="14" fontId="20" fillId="0" borderId="26" xfId="0" applyNumberFormat="1" applyFont="1" applyBorder="1" applyAlignment="1">
      <alignment vertical="center" wrapText="1"/>
    </xf>
    <xf numFmtId="0" fontId="17" fillId="6" borderId="4" xfId="0" applyFont="1" applyFill="1" applyBorder="1" applyAlignment="1">
      <alignment horizontal="center" vertical="center" wrapText="1"/>
    </xf>
    <xf numFmtId="0" fontId="0" fillId="0" borderId="44" xfId="0" applyBorder="1" applyAlignment="1">
      <alignment vertical="center" wrapText="1"/>
    </xf>
    <xf numFmtId="0" fontId="11" fillId="0" borderId="31" xfId="0" applyFont="1" applyFill="1" applyBorder="1" applyAlignment="1">
      <alignment horizontal="center" vertical="center"/>
    </xf>
    <xf numFmtId="0" fontId="7" fillId="0" borderId="10" xfId="0" applyFont="1" applyBorder="1" applyAlignment="1">
      <alignment vertical="center" wrapText="1"/>
    </xf>
    <xf numFmtId="0" fontId="7" fillId="0" borderId="45" xfId="0" applyFont="1" applyBorder="1" applyAlignment="1">
      <alignment vertical="center" wrapText="1"/>
    </xf>
    <xf numFmtId="0" fontId="7" fillId="0" borderId="10" xfId="0" applyFont="1" applyFill="1" applyBorder="1" applyAlignment="1">
      <alignment vertical="center" wrapText="1"/>
    </xf>
    <xf numFmtId="0" fontId="10" fillId="0" borderId="12" xfId="0" applyFont="1" applyBorder="1" applyAlignment="1">
      <alignment horizontal="center" vertical="center"/>
    </xf>
    <xf numFmtId="2" fontId="0" fillId="0" borderId="0" xfId="0" applyNumberFormat="1" applyFill="1" applyBorder="1"/>
    <xf numFmtId="0" fontId="0" fillId="0" borderId="0" xfId="0" applyAlignment="1">
      <alignment horizontal="left" vertical="center"/>
    </xf>
    <xf numFmtId="0" fontId="0" fillId="0" borderId="10" xfId="0" applyBorder="1"/>
    <xf numFmtId="0" fontId="0" fillId="0" borderId="11" xfId="0" applyBorder="1"/>
    <xf numFmtId="0" fontId="0" fillId="0" borderId="44" xfId="0" applyBorder="1"/>
    <xf numFmtId="0" fontId="0" fillId="0" borderId="24" xfId="0" applyBorder="1"/>
    <xf numFmtId="0" fontId="0" fillId="0" borderId="31" xfId="0" applyBorder="1"/>
    <xf numFmtId="0" fontId="0" fillId="0" borderId="26" xfId="0" applyBorder="1"/>
    <xf numFmtId="0" fontId="9" fillId="0" borderId="2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1" xfId="0" applyFont="1" applyBorder="1"/>
    <xf numFmtId="2" fontId="24" fillId="0" borderId="12" xfId="0" applyNumberFormat="1" applyFont="1" applyBorder="1" applyAlignment="1">
      <alignment horizontal="center" vertical="center"/>
    </xf>
    <xf numFmtId="0" fontId="23" fillId="0" borderId="17" xfId="0" applyFont="1" applyBorder="1"/>
    <xf numFmtId="0" fontId="10" fillId="0" borderId="4" xfId="0" applyFont="1" applyBorder="1" applyAlignment="1">
      <alignment horizontal="center" vertical="center"/>
    </xf>
    <xf numFmtId="4" fontId="7" fillId="2" borderId="46" xfId="0" applyNumberFormat="1" applyFont="1" applyFill="1" applyBorder="1" applyAlignment="1">
      <alignment horizontal="center" vertical="center" wrapText="1"/>
    </xf>
    <xf numFmtId="166" fontId="17" fillId="0" borderId="28" xfId="0" applyNumberFormat="1" applyFont="1" applyBorder="1" applyAlignment="1">
      <alignment horizontal="center" vertical="center"/>
    </xf>
    <xf numFmtId="0" fontId="10" fillId="0" borderId="22" xfId="0" applyFont="1" applyBorder="1" applyAlignment="1">
      <alignment horizontal="center" vertical="center"/>
    </xf>
    <xf numFmtId="0" fontId="17" fillId="2" borderId="42" xfId="0" applyFont="1" applyFill="1" applyBorder="1" applyAlignment="1">
      <alignment horizontal="center" vertical="center"/>
    </xf>
    <xf numFmtId="167" fontId="17" fillId="2" borderId="18" xfId="0" applyNumberFormat="1" applyFont="1" applyFill="1" applyBorder="1" applyAlignment="1">
      <alignment horizontal="center" vertical="center"/>
    </xf>
    <xf numFmtId="0" fontId="17" fillId="5" borderId="18" xfId="3" applyFont="1" applyFill="1" applyBorder="1" applyAlignment="1">
      <alignment vertical="center"/>
    </xf>
    <xf numFmtId="0" fontId="17" fillId="5" borderId="18" xfId="3" applyFont="1" applyFill="1" applyBorder="1" applyAlignment="1">
      <alignment horizontal="right" vertical="center"/>
    </xf>
    <xf numFmtId="2" fontId="17" fillId="5" borderId="46" xfId="3" applyNumberFormat="1" applyFont="1" applyFill="1" applyBorder="1" applyAlignment="1">
      <alignment vertical="center"/>
    </xf>
    <xf numFmtId="0" fontId="24" fillId="0" borderId="22" xfId="0" applyFont="1" applyBorder="1" applyAlignment="1">
      <alignment horizontal="center" vertical="center" wrapText="1"/>
    </xf>
    <xf numFmtId="0" fontId="24" fillId="0" borderId="14" xfId="0" applyFont="1" applyBorder="1" applyAlignment="1">
      <alignment horizontal="center" vertical="center" wrapText="1"/>
    </xf>
    <xf numFmtId="4" fontId="10" fillId="0" borderId="14" xfId="0" applyNumberFormat="1" applyFont="1" applyBorder="1" applyAlignment="1">
      <alignment horizontal="right" vertical="center"/>
    </xf>
    <xf numFmtId="0" fontId="10" fillId="0" borderId="21" xfId="0" quotePrefix="1" applyFont="1" applyBorder="1" applyAlignment="1">
      <alignment horizontal="center" vertical="center"/>
    </xf>
    <xf numFmtId="4" fontId="17" fillId="0" borderId="17" xfId="0" applyNumberFormat="1" applyFont="1" applyBorder="1" applyAlignment="1">
      <alignment horizontal="right" vertical="center"/>
    </xf>
    <xf numFmtId="2" fontId="0" fillId="0" borderId="0" xfId="0" applyNumberFormat="1" applyFont="1" applyFill="1" applyBorder="1" applyAlignment="1">
      <alignment horizontal="right" vertical="center"/>
    </xf>
    <xf numFmtId="2" fontId="16" fillId="0" borderId="0" xfId="0" applyNumberFormat="1" applyFont="1" applyBorder="1" applyAlignment="1">
      <alignment horizontal="right" vertical="center"/>
    </xf>
    <xf numFmtId="167" fontId="17" fillId="2" borderId="34" xfId="0" applyNumberFormat="1" applyFont="1" applyFill="1" applyBorder="1" applyAlignment="1">
      <alignment horizontal="center" vertical="center"/>
    </xf>
    <xf numFmtId="0" fontId="10" fillId="2" borderId="33" xfId="3" applyFont="1" applyFill="1" applyBorder="1" applyAlignment="1">
      <alignment horizontal="center" vertical="center"/>
    </xf>
    <xf numFmtId="167" fontId="17" fillId="2" borderId="36" xfId="3" applyNumberFormat="1" applyFont="1" applyFill="1" applyBorder="1" applyAlignment="1">
      <alignment horizontal="center" vertical="center" wrapText="1"/>
    </xf>
    <xf numFmtId="0" fontId="25" fillId="0" borderId="4" xfId="0" applyFont="1" applyBorder="1" applyAlignment="1">
      <alignment wrapText="1"/>
    </xf>
    <xf numFmtId="2" fontId="15" fillId="0" borderId="4" xfId="0" applyNumberFormat="1" applyFont="1" applyBorder="1" applyAlignment="1">
      <alignment horizontal="center" vertical="center"/>
    </xf>
    <xf numFmtId="0" fontId="10" fillId="2" borderId="33" xfId="0" applyFont="1" applyFill="1" applyBorder="1" applyAlignment="1">
      <alignment horizontal="center" vertical="center"/>
    </xf>
    <xf numFmtId="0" fontId="10" fillId="2" borderId="15" xfId="3" applyFont="1" applyFill="1" applyBorder="1" applyAlignment="1">
      <alignment horizontal="center" vertical="center"/>
    </xf>
    <xf numFmtId="167" fontId="17" fillId="2" borderId="59" xfId="3" applyNumberFormat="1" applyFont="1" applyFill="1" applyBorder="1" applyAlignment="1">
      <alignment horizontal="center" vertical="center" wrapText="1"/>
    </xf>
    <xf numFmtId="167" fontId="17" fillId="2" borderId="36" xfId="0" applyNumberFormat="1" applyFont="1" applyFill="1" applyBorder="1" applyAlignment="1">
      <alignment horizontal="center" vertical="center" wrapText="1"/>
    </xf>
    <xf numFmtId="0" fontId="25" fillId="0" borderId="53" xfId="0" applyFont="1" applyBorder="1" applyAlignment="1">
      <alignment wrapText="1"/>
    </xf>
    <xf numFmtId="0" fontId="10" fillId="0" borderId="37" xfId="0" applyFont="1" applyBorder="1" applyAlignment="1">
      <alignment horizontal="center" vertical="center"/>
    </xf>
    <xf numFmtId="167" fontId="21" fillId="0" borderId="54" xfId="0" applyNumberFormat="1" applyFont="1" applyBorder="1" applyAlignment="1">
      <alignment horizontal="center" vertical="center" wrapText="1"/>
    </xf>
    <xf numFmtId="0" fontId="23" fillId="0" borderId="0" xfId="0" applyFont="1" applyBorder="1" applyAlignment="1">
      <alignment horizontal="center"/>
    </xf>
    <xf numFmtId="2" fontId="9" fillId="0" borderId="4" xfId="0" applyNumberFormat="1" applyFont="1" applyBorder="1" applyAlignment="1">
      <alignment horizontal="center" vertical="center"/>
    </xf>
    <xf numFmtId="2" fontId="9" fillId="0" borderId="0" xfId="0" applyNumberFormat="1" applyFont="1" applyBorder="1" applyAlignment="1">
      <alignment horizontal="center" vertical="center"/>
    </xf>
    <xf numFmtId="0" fontId="9" fillId="0" borderId="4" xfId="0" applyFont="1" applyBorder="1" applyAlignment="1">
      <alignment horizontal="left" vertical="center" wrapText="1"/>
    </xf>
    <xf numFmtId="2" fontId="0" fillId="0" borderId="0" xfId="0" applyNumberFormat="1"/>
    <xf numFmtId="0" fontId="9" fillId="0" borderId="21" xfId="0" applyFont="1" applyBorder="1" applyAlignment="1">
      <alignment horizontal="center" vertical="center" wrapText="1"/>
    </xf>
    <xf numFmtId="166" fontId="7" fillId="2" borderId="42" xfId="0" quotePrefix="1" applyNumberFormat="1" applyFont="1" applyFill="1" applyBorder="1" applyAlignment="1">
      <alignment horizontal="center" vertical="center"/>
    </xf>
    <xf numFmtId="0" fontId="10" fillId="0" borderId="22" xfId="0" quotePrefix="1" applyFont="1" applyBorder="1" applyAlignment="1">
      <alignment horizontal="center" vertical="center"/>
    </xf>
    <xf numFmtId="0" fontId="19" fillId="0" borderId="35" xfId="0" applyFont="1" applyBorder="1" applyAlignment="1">
      <alignment vertical="center" wrapText="1"/>
    </xf>
    <xf numFmtId="0" fontId="22" fillId="0" borderId="10" xfId="0" applyFont="1" applyBorder="1" applyAlignment="1">
      <alignment vertical="center" wrapText="1"/>
    </xf>
    <xf numFmtId="0" fontId="22" fillId="0" borderId="45" xfId="0" applyFont="1" applyBorder="1" applyAlignment="1">
      <alignment vertical="center" wrapText="1"/>
    </xf>
    <xf numFmtId="0" fontId="11" fillId="0" borderId="24" xfId="0" applyFont="1" applyFill="1" applyBorder="1" applyAlignment="1">
      <alignment vertical="center"/>
    </xf>
    <xf numFmtId="167" fontId="34" fillId="0" borderId="4" xfId="0" applyNumberFormat="1" applyFont="1" applyBorder="1" applyAlignment="1">
      <alignment horizontal="center" vertical="center"/>
    </xf>
    <xf numFmtId="167" fontId="10" fillId="2" borderId="34" xfId="0" applyNumberFormat="1" applyFont="1" applyFill="1" applyBorder="1" applyAlignment="1">
      <alignment vertical="center"/>
    </xf>
    <xf numFmtId="167" fontId="10" fillId="2" borderId="36" xfId="0" applyNumberFormat="1" applyFont="1" applyFill="1" applyBorder="1" applyAlignment="1">
      <alignment horizontal="center" vertical="center"/>
    </xf>
    <xf numFmtId="2" fontId="0" fillId="0" borderId="0" xfId="0" applyNumberFormat="1" applyFont="1" applyFill="1" applyBorder="1" applyAlignment="1">
      <alignment horizontal="left" vertical="center"/>
    </xf>
    <xf numFmtId="167" fontId="9" fillId="0" borderId="4" xfId="0" applyNumberFormat="1" applyFont="1" applyBorder="1" applyAlignment="1">
      <alignment horizontal="center" vertical="center"/>
    </xf>
    <xf numFmtId="167" fontId="23" fillId="0" borderId="14" xfId="0" applyNumberFormat="1" applyFont="1" applyBorder="1" applyAlignment="1">
      <alignment horizontal="center" vertical="center" wrapText="1"/>
    </xf>
    <xf numFmtId="171" fontId="9" fillId="0" borderId="4" xfId="0" applyNumberFormat="1" applyFont="1" applyBorder="1" applyAlignment="1">
      <alignment horizontal="center" vertical="center"/>
    </xf>
    <xf numFmtId="172" fontId="9" fillId="0" borderId="4" xfId="0" applyNumberFormat="1" applyFont="1" applyBorder="1" applyAlignment="1">
      <alignment horizontal="center" vertical="center"/>
    </xf>
    <xf numFmtId="2" fontId="15" fillId="0" borderId="53" xfId="0" applyNumberFormat="1" applyFont="1" applyBorder="1" applyAlignment="1">
      <alignment horizontal="center" vertical="center"/>
    </xf>
    <xf numFmtId="4" fontId="17" fillId="6" borderId="53" xfId="0" applyNumberFormat="1" applyFont="1" applyFill="1" applyBorder="1" applyAlignment="1">
      <alignment horizontal="right" vertical="center"/>
    </xf>
    <xf numFmtId="0" fontId="33" fillId="5" borderId="18" xfId="0" applyFont="1" applyFill="1" applyBorder="1" applyAlignment="1">
      <alignment horizontal="left" vertical="center" wrapText="1"/>
    </xf>
    <xf numFmtId="2" fontId="10" fillId="0" borderId="0" xfId="0" applyNumberFormat="1" applyFont="1" applyFill="1" applyBorder="1" applyAlignment="1">
      <alignment horizontal="center" vertical="center"/>
    </xf>
    <xf numFmtId="0" fontId="8" fillId="0" borderId="0" xfId="0" applyFont="1" applyFill="1" applyBorder="1" applyAlignment="1">
      <alignment vertical="center"/>
    </xf>
    <xf numFmtId="2" fontId="16" fillId="0" borderId="0" xfId="0" applyNumberFormat="1" applyFont="1" applyFill="1" applyBorder="1" applyAlignment="1">
      <alignment horizontal="left" vertical="center"/>
    </xf>
    <xf numFmtId="2" fontId="0" fillId="0" borderId="0" xfId="0" applyNumberFormat="1" applyFill="1" applyBorder="1" applyAlignment="1">
      <alignment horizontal="center" vertical="center"/>
    </xf>
    <xf numFmtId="0" fontId="26" fillId="0" borderId="0" xfId="0" applyFont="1" applyBorder="1" applyAlignment="1">
      <alignment vertical="center"/>
    </xf>
    <xf numFmtId="2" fontId="17" fillId="5" borderId="26" xfId="3" applyNumberFormat="1" applyFont="1" applyFill="1" applyBorder="1" applyAlignment="1">
      <alignment vertical="center"/>
    </xf>
    <xf numFmtId="0" fontId="17" fillId="5" borderId="18" xfId="0" applyFont="1" applyFill="1" applyBorder="1" applyAlignment="1">
      <alignment wrapText="1"/>
    </xf>
    <xf numFmtId="0" fontId="24" fillId="0" borderId="24" xfId="0" applyFont="1" applyBorder="1"/>
    <xf numFmtId="0" fontId="24" fillId="0" borderId="31" xfId="0" applyFont="1" applyBorder="1" applyAlignment="1">
      <alignment horizontal="right" vertical="center"/>
    </xf>
    <xf numFmtId="0" fontId="8" fillId="0" borderId="47" xfId="0" applyFont="1" applyBorder="1" applyAlignment="1">
      <alignment horizontal="center" vertical="center"/>
    </xf>
    <xf numFmtId="0" fontId="0" fillId="0" borderId="14" xfId="0" applyBorder="1" applyAlignment="1">
      <alignment vertical="center"/>
    </xf>
    <xf numFmtId="0" fontId="22" fillId="5" borderId="25" xfId="0" quotePrefix="1" applyFont="1" applyFill="1" applyBorder="1" applyAlignment="1">
      <alignment horizontal="left" vertical="center" wrapText="1"/>
    </xf>
    <xf numFmtId="0" fontId="15" fillId="0" borderId="15" xfId="0" applyFont="1" applyBorder="1" applyAlignment="1">
      <alignment vertical="center"/>
    </xf>
    <xf numFmtId="0" fontId="21" fillId="0" borderId="0" xfId="0" applyFont="1" applyBorder="1" applyAlignment="1">
      <alignment horizontal="justify" vertical="center" wrapText="1"/>
    </xf>
    <xf numFmtId="0" fontId="21" fillId="0" borderId="6" xfId="0" applyFont="1" applyBorder="1" applyAlignment="1">
      <alignment horizontal="center" vertical="center" wrapText="1"/>
    </xf>
    <xf numFmtId="171" fontId="21" fillId="0" borderId="6" xfId="0" applyNumberFormat="1" applyFont="1" applyBorder="1" applyAlignment="1">
      <alignment horizontal="center" vertical="center" wrapText="1"/>
    </xf>
    <xf numFmtId="0" fontId="17" fillId="6" borderId="6" xfId="0" applyFont="1" applyFill="1" applyBorder="1" applyAlignment="1">
      <alignment horizontal="center" vertical="center" wrapText="1"/>
    </xf>
    <xf numFmtId="167" fontId="21" fillId="0" borderId="11" xfId="0" applyNumberFormat="1" applyFont="1" applyBorder="1" applyAlignment="1">
      <alignment horizontal="center" vertical="center" wrapText="1"/>
    </xf>
    <xf numFmtId="0" fontId="57" fillId="0" borderId="10" xfId="0" applyFont="1" applyBorder="1" applyAlignment="1">
      <alignment horizontal="center" vertical="center"/>
    </xf>
    <xf numFmtId="0" fontId="57" fillId="0" borderId="0" xfId="0" applyFont="1" applyBorder="1" applyAlignment="1">
      <alignment horizontal="center" vertical="center"/>
    </xf>
    <xf numFmtId="0" fontId="57" fillId="0" borderId="11" xfId="0" applyFont="1" applyBorder="1" applyAlignment="1">
      <alignment horizontal="center" vertical="center"/>
    </xf>
    <xf numFmtId="0" fontId="56" fillId="0" borderId="10" xfId="0" applyFont="1" applyBorder="1" applyAlignment="1">
      <alignment horizontal="center" vertical="center"/>
    </xf>
    <xf numFmtId="0" fontId="56" fillId="0" borderId="0" xfId="0" applyFont="1" applyBorder="1" applyAlignment="1">
      <alignment horizontal="right" vertical="center"/>
    </xf>
    <xf numFmtId="17" fontId="56" fillId="0" borderId="11" xfId="0" applyNumberFormat="1" applyFont="1" applyBorder="1" applyAlignment="1">
      <alignment horizontal="center" vertical="center"/>
    </xf>
    <xf numFmtId="0" fontId="56" fillId="0" borderId="0" xfId="0" applyFont="1" applyBorder="1" applyAlignment="1">
      <alignment horizontal="center" vertical="center"/>
    </xf>
    <xf numFmtId="0" fontId="58" fillId="0" borderId="36" xfId="0" applyFont="1" applyBorder="1" applyAlignment="1">
      <alignment horizontal="center" vertical="center"/>
    </xf>
    <xf numFmtId="0" fontId="0" fillId="0" borderId="28" xfId="0" applyBorder="1" applyAlignment="1">
      <alignment vertical="center"/>
    </xf>
    <xf numFmtId="0" fontId="0" fillId="0" borderId="6" xfId="0" applyBorder="1" applyAlignment="1">
      <alignment vertical="center"/>
    </xf>
    <xf numFmtId="10" fontId="0" fillId="0" borderId="13" xfId="2" applyNumberFormat="1" applyFont="1" applyBorder="1" applyAlignment="1">
      <alignment vertical="center"/>
    </xf>
    <xf numFmtId="0" fontId="0" fillId="0" borderId="22" xfId="0" applyBorder="1" applyAlignment="1">
      <alignment vertical="center"/>
    </xf>
    <xf numFmtId="0" fontId="0" fillId="0" borderId="4" xfId="0" applyBorder="1" applyAlignment="1">
      <alignment vertical="center"/>
    </xf>
    <xf numFmtId="10" fontId="0" fillId="0" borderId="14" xfId="2" applyNumberFormat="1" applyFont="1" applyBorder="1" applyAlignment="1">
      <alignment vertical="center"/>
    </xf>
    <xf numFmtId="0" fontId="0" fillId="0" borderId="29" xfId="0" applyBorder="1" applyAlignment="1">
      <alignment vertical="center"/>
    </xf>
    <xf numFmtId="0" fontId="0" fillId="0" borderId="7" xfId="0" applyBorder="1" applyAlignment="1">
      <alignment vertical="center"/>
    </xf>
    <xf numFmtId="10" fontId="0" fillId="0" borderId="32" xfId="2" applyNumberFormat="1" applyFont="1" applyBorder="1" applyAlignment="1">
      <alignment vertical="center"/>
    </xf>
    <xf numFmtId="0" fontId="0" fillId="0" borderId="50" xfId="0" applyBorder="1" applyAlignment="1">
      <alignment vertical="center"/>
    </xf>
    <xf numFmtId="0" fontId="22" fillId="0" borderId="52" xfId="0" applyFont="1" applyBorder="1" applyAlignment="1">
      <alignment horizontal="right" vertical="center"/>
    </xf>
    <xf numFmtId="10" fontId="22" fillId="0" borderId="36" xfId="2" applyNumberFormat="1" applyFont="1" applyBorder="1" applyAlignment="1">
      <alignment vertical="center"/>
    </xf>
    <xf numFmtId="10" fontId="9" fillId="0" borderId="14" xfId="2" applyNumberFormat="1" applyFont="1" applyBorder="1" applyAlignment="1">
      <alignment vertical="center"/>
    </xf>
    <xf numFmtId="10" fontId="0" fillId="0" borderId="4" xfId="0" applyNumberFormat="1" applyBorder="1" applyAlignment="1">
      <alignment horizontal="left" vertical="center"/>
    </xf>
    <xf numFmtId="0" fontId="22" fillId="0" borderId="40" xfId="0" applyFont="1" applyBorder="1" applyAlignment="1">
      <alignment horizontal="right" vertical="center"/>
    </xf>
    <xf numFmtId="10" fontId="22" fillId="0" borderId="51" xfId="2" applyNumberFormat="1" applyFont="1" applyBorder="1" applyAlignment="1">
      <alignment vertical="center"/>
    </xf>
    <xf numFmtId="10" fontId="22" fillId="0" borderId="38" xfId="2" applyNumberFormat="1" applyFont="1" applyBorder="1" applyAlignment="1">
      <alignment vertical="center"/>
    </xf>
    <xf numFmtId="0" fontId="58" fillId="0" borderId="69" xfId="0" applyFont="1" applyBorder="1" applyAlignment="1">
      <alignment vertical="center"/>
    </xf>
    <xf numFmtId="0" fontId="58" fillId="0" borderId="39" xfId="0" applyFont="1" applyBorder="1" applyAlignment="1">
      <alignment horizontal="right" vertical="center"/>
    </xf>
    <xf numFmtId="10" fontId="22" fillId="0" borderId="17" xfId="2" applyNumberFormat="1" applyFont="1" applyBorder="1" applyAlignment="1">
      <alignment vertical="center"/>
    </xf>
    <xf numFmtId="0" fontId="0" fillId="0" borderId="0" xfId="0" applyNumberFormat="1" applyFill="1" applyBorder="1" applyAlignment="1">
      <alignment horizontal="left" vertical="center"/>
    </xf>
    <xf numFmtId="0" fontId="21" fillId="0" borderId="4" xfId="0" applyFont="1" applyBorder="1" applyAlignment="1">
      <alignment horizontal="center" vertical="center"/>
    </xf>
    <xf numFmtId="4" fontId="17" fillId="6" borderId="4" xfId="0" applyNumberFormat="1" applyFont="1" applyFill="1" applyBorder="1" applyAlignment="1">
      <alignment horizontal="right" vertical="center"/>
    </xf>
    <xf numFmtId="0" fontId="15" fillId="0" borderId="0" xfId="0" applyFont="1" applyBorder="1" applyAlignment="1">
      <alignment horizontal="center" vertical="center" wrapText="1"/>
    </xf>
    <xf numFmtId="0" fontId="0" fillId="0" borderId="0" xfId="0" applyBorder="1" applyAlignment="1"/>
    <xf numFmtId="0" fontId="23" fillId="0" borderId="0" xfId="0" applyFont="1" applyBorder="1"/>
    <xf numFmtId="10" fontId="0" fillId="0" borderId="0" xfId="0" applyNumberFormat="1" applyAlignment="1">
      <alignment vertical="center"/>
    </xf>
    <xf numFmtId="2" fontId="16" fillId="0" borderId="0" xfId="0" applyNumberFormat="1" applyFont="1" applyFill="1" applyBorder="1" applyAlignment="1">
      <alignment horizontal="right" vertical="center"/>
    </xf>
    <xf numFmtId="2" fontId="61" fillId="0" borderId="0" xfId="0" applyNumberFormat="1" applyFont="1" applyFill="1" applyBorder="1" applyAlignment="1">
      <alignment horizontal="right" vertical="center" wrapText="1"/>
    </xf>
    <xf numFmtId="0" fontId="7" fillId="0" borderId="10" xfId="0" applyFont="1" applyBorder="1" applyAlignment="1">
      <alignment vertical="center"/>
    </xf>
    <xf numFmtId="168" fontId="7" fillId="0" borderId="11" xfId="1" applyNumberFormat="1" applyFont="1" applyBorder="1" applyAlignment="1">
      <alignment horizontal="right" vertical="center"/>
    </xf>
    <xf numFmtId="0" fontId="24" fillId="0" borderId="12" xfId="0" applyFont="1" applyBorder="1" applyAlignment="1">
      <alignment horizontal="right" vertical="center"/>
    </xf>
    <xf numFmtId="10" fontId="20" fillId="0" borderId="11" xfId="0" applyNumberFormat="1" applyFont="1" applyBorder="1" applyAlignment="1">
      <alignment horizontal="right" vertical="center" wrapText="1"/>
    </xf>
    <xf numFmtId="4" fontId="10" fillId="32" borderId="14" xfId="0" applyNumberFormat="1" applyFont="1" applyFill="1" applyBorder="1" applyAlignment="1">
      <alignment horizontal="right" vertical="center"/>
    </xf>
    <xf numFmtId="0" fontId="0" fillId="0" borderId="0" xfId="0" applyAlignment="1">
      <alignment horizontal="center" vertical="center"/>
    </xf>
    <xf numFmtId="167" fontId="22" fillId="0" borderId="1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16" xfId="0" applyFont="1" applyFill="1" applyBorder="1" applyAlignment="1">
      <alignment horizontal="center" vertical="center"/>
    </xf>
    <xf numFmtId="2" fontId="0" fillId="0" borderId="0" xfId="0" applyNumberFormat="1" applyAlignment="1">
      <alignment horizontal="left" vertical="center"/>
    </xf>
    <xf numFmtId="2" fontId="70" fillId="0" borderId="0" xfId="0" applyNumberFormat="1" applyFont="1" applyAlignment="1">
      <alignment horizontal="left" vertical="center"/>
    </xf>
    <xf numFmtId="0" fontId="22" fillId="5" borderId="31" xfId="0" applyFont="1" applyFill="1" applyBorder="1" applyAlignment="1">
      <alignment horizontal="left" vertical="center" wrapText="1"/>
    </xf>
    <xf numFmtId="0" fontId="17" fillId="5" borderId="25" xfId="0" quotePrefix="1" applyFont="1" applyFill="1" applyBorder="1" applyAlignment="1">
      <alignment horizontal="left" vertical="center" wrapText="1"/>
    </xf>
    <xf numFmtId="0" fontId="10" fillId="0" borderId="4" xfId="0" applyFont="1" applyBorder="1" applyAlignment="1">
      <alignment horizontal="center" vertical="center" wrapText="1"/>
    </xf>
    <xf numFmtId="0" fontId="15" fillId="0" borderId="0" xfId="0" applyFont="1" applyBorder="1" applyAlignment="1">
      <alignment horizontal="left" vertical="center" wrapText="1"/>
    </xf>
    <xf numFmtId="0" fontId="22" fillId="5" borderId="20" xfId="0" applyFont="1" applyFill="1" applyBorder="1" applyAlignment="1">
      <alignment horizontal="center" vertical="center"/>
    </xf>
    <xf numFmtId="0" fontId="9" fillId="0" borderId="22" xfId="0" applyFont="1" applyBorder="1" applyAlignment="1">
      <alignment horizontal="center" vertical="center"/>
    </xf>
    <xf numFmtId="175" fontId="9"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171" fontId="10" fillId="0" borderId="4" xfId="0" applyNumberFormat="1" applyFont="1" applyBorder="1" applyAlignment="1">
      <alignment horizontal="center" vertical="center" wrapText="1"/>
    </xf>
    <xf numFmtId="0" fontId="9" fillId="0" borderId="53" xfId="0" applyFont="1" applyBorder="1" applyAlignment="1">
      <alignment wrapText="1"/>
    </xf>
    <xf numFmtId="0" fontId="22" fillId="0" borderId="4" xfId="0" applyFont="1" applyBorder="1" applyAlignment="1">
      <alignment horizontal="center" vertical="center" wrapText="1"/>
    </xf>
    <xf numFmtId="2" fontId="0" fillId="0" borderId="0" xfId="0" applyNumberFormat="1" applyFill="1"/>
    <xf numFmtId="2" fontId="71" fillId="0" borderId="0" xfId="0" applyNumberFormat="1" applyFont="1" applyFill="1" applyBorder="1" applyAlignment="1">
      <alignment horizontal="center" vertical="center"/>
    </xf>
    <xf numFmtId="0" fontId="0" fillId="0" borderId="0" xfId="0" applyFill="1"/>
    <xf numFmtId="2" fontId="71" fillId="0" borderId="0" xfId="0" applyNumberFormat="1" applyFont="1" applyFill="1" applyBorder="1" applyAlignment="1">
      <alignment horizontal="left" vertical="center"/>
    </xf>
    <xf numFmtId="2" fontId="72" fillId="0" borderId="0" xfId="0" applyNumberFormat="1" applyFont="1" applyAlignment="1">
      <alignment horizontal="left" vertical="center"/>
    </xf>
    <xf numFmtId="0" fontId="62" fillId="0" borderId="0" xfId="0" applyFont="1" applyBorder="1" applyAlignment="1">
      <alignment horizontal="left" vertical="center"/>
    </xf>
    <xf numFmtId="2" fontId="0" fillId="0" borderId="0" xfId="0" applyNumberFormat="1" applyFill="1" applyBorder="1" applyAlignment="1">
      <alignment horizontal="left" vertical="center"/>
    </xf>
    <xf numFmtId="0" fontId="7" fillId="2" borderId="20" xfId="0" quotePrefix="1" applyFont="1" applyFill="1" applyBorder="1" applyAlignment="1">
      <alignment horizontal="center" vertical="center"/>
    </xf>
    <xf numFmtId="0" fontId="23" fillId="0" borderId="22" xfId="0" applyFont="1" applyBorder="1" applyAlignment="1">
      <alignment horizontal="center" vertical="center"/>
    </xf>
    <xf numFmtId="167" fontId="23" fillId="0" borderId="4" xfId="0" applyNumberFormat="1" applyFont="1" applyBorder="1" applyAlignment="1">
      <alignment horizontal="center" vertical="center" wrapText="1"/>
    </xf>
    <xf numFmtId="167" fontId="21" fillId="0" borderId="0" xfId="0" applyNumberFormat="1" applyFont="1" applyFill="1" applyBorder="1" applyAlignment="1">
      <alignment horizontal="center" vertical="center" wrapText="1"/>
    </xf>
    <xf numFmtId="0" fontId="17" fillId="5" borderId="46" xfId="3" applyFont="1" applyFill="1" applyBorder="1" applyAlignment="1">
      <alignment horizontal="right" vertical="center"/>
    </xf>
    <xf numFmtId="0" fontId="23" fillId="0" borderId="10" xfId="0" applyFont="1" applyBorder="1" applyAlignment="1">
      <alignment horizontal="center" vertical="center"/>
    </xf>
    <xf numFmtId="0" fontId="23" fillId="0" borderId="4" xfId="0" applyFont="1" applyBorder="1" applyAlignment="1">
      <alignment horizontal="left" vertical="center" wrapText="1"/>
    </xf>
    <xf numFmtId="0" fontId="23" fillId="0" borderId="31" xfId="0" applyFont="1" applyBorder="1"/>
    <xf numFmtId="0" fontId="16" fillId="0" borderId="31" xfId="0" applyFont="1" applyBorder="1"/>
    <xf numFmtId="0" fontId="16" fillId="0" borderId="0" xfId="0" applyFont="1" applyBorder="1"/>
    <xf numFmtId="0" fontId="9" fillId="0" borderId="0" xfId="0" applyFont="1" applyBorder="1"/>
    <xf numFmtId="167" fontId="24" fillId="0" borderId="14" xfId="0" applyNumberFormat="1" applyFont="1" applyBorder="1" applyAlignment="1">
      <alignment horizontal="center" vertical="center" wrapText="1"/>
    </xf>
    <xf numFmtId="167" fontId="22" fillId="2" borderId="41" xfId="3" applyNumberFormat="1" applyFont="1" applyFill="1" applyBorder="1" applyAlignment="1">
      <alignment horizontal="center" vertical="center" wrapText="1"/>
    </xf>
    <xf numFmtId="167" fontId="22" fillId="0" borderId="17" xfId="0" applyNumberFormat="1" applyFont="1" applyBorder="1" applyAlignment="1">
      <alignment horizontal="center" vertical="center" wrapText="1"/>
    </xf>
    <xf numFmtId="0" fontId="9" fillId="0" borderId="0" xfId="0" applyFont="1" applyFill="1" applyBorder="1" applyAlignment="1">
      <alignment vertical="center"/>
    </xf>
    <xf numFmtId="2" fontId="59" fillId="0" borderId="0" xfId="0" applyNumberFormat="1" applyFont="1" applyFill="1" applyBorder="1" applyAlignment="1">
      <alignment horizontal="left" vertical="center"/>
    </xf>
    <xf numFmtId="176" fontId="23" fillId="0" borderId="4" xfId="0" applyNumberFormat="1" applyFont="1" applyBorder="1" applyAlignment="1">
      <alignment horizontal="center" vertical="center" wrapText="1"/>
    </xf>
    <xf numFmtId="2" fontId="15" fillId="0" borderId="0" xfId="0" applyNumberFormat="1" applyFont="1" applyAlignment="1">
      <alignment horizontal="center" vertical="center"/>
    </xf>
    <xf numFmtId="0" fontId="15" fillId="0" borderId="0" xfId="1" applyNumberFormat="1" applyFont="1" applyFill="1" applyBorder="1" applyAlignment="1">
      <alignment horizontal="center" vertical="center"/>
    </xf>
    <xf numFmtId="173" fontId="15" fillId="0" borderId="0" xfId="1" applyNumberFormat="1" applyFont="1" applyFill="1" applyBorder="1" applyAlignment="1">
      <alignment horizontal="left" vertical="center" wrapText="1"/>
    </xf>
    <xf numFmtId="0" fontId="64" fillId="0" borderId="0" xfId="0" applyFont="1" applyAlignment="1">
      <alignment horizontal="center" vertical="center"/>
    </xf>
    <xf numFmtId="2" fontId="10" fillId="0" borderId="0" xfId="1" applyNumberFormat="1" applyFont="1" applyFill="1" applyBorder="1" applyAlignment="1" applyProtection="1">
      <alignment horizontal="center" vertical="center"/>
      <protection locked="0"/>
    </xf>
    <xf numFmtId="0" fontId="22" fillId="5" borderId="20" xfId="0" applyFont="1" applyFill="1" applyBorder="1" applyAlignment="1">
      <alignment horizontal="justify" vertical="center" wrapText="1"/>
    </xf>
    <xf numFmtId="0" fontId="22" fillId="5" borderId="2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22" fillId="2" borderId="42" xfId="0" applyFont="1" applyFill="1" applyBorder="1" applyAlignment="1">
      <alignment horizontal="center" vertical="center"/>
    </xf>
    <xf numFmtId="0" fontId="31" fillId="30" borderId="22" xfId="5" applyFont="1" applyFill="1" applyBorder="1" applyAlignment="1">
      <alignment horizontal="center" vertical="center" wrapText="1"/>
    </xf>
    <xf numFmtId="167" fontId="9" fillId="0" borderId="6" xfId="0" applyNumberFormat="1" applyFont="1" applyBorder="1" applyAlignment="1">
      <alignment horizontal="center" vertical="center"/>
    </xf>
    <xf numFmtId="2" fontId="60" fillId="0" borderId="0" xfId="0" applyNumberFormat="1" applyFont="1" applyAlignment="1">
      <alignment horizontal="center" vertical="center"/>
    </xf>
    <xf numFmtId="0" fontId="26" fillId="0" borderId="0" xfId="0" applyFont="1" applyAlignment="1">
      <alignment horizontal="center" vertical="center"/>
    </xf>
    <xf numFmtId="0" fontId="61" fillId="0" borderId="0" xfId="0" applyFont="1" applyAlignment="1">
      <alignment horizontal="center" vertical="center"/>
    </xf>
    <xf numFmtId="167" fontId="22" fillId="2" borderId="18" xfId="0" applyNumberFormat="1" applyFont="1" applyFill="1" applyBorder="1" applyAlignment="1">
      <alignment horizontal="center" vertical="center"/>
    </xf>
    <xf numFmtId="0" fontId="24" fillId="0" borderId="0" xfId="0" applyFont="1" applyBorder="1" applyAlignment="1">
      <alignment horizontal="justify" vertical="center" wrapText="1"/>
    </xf>
    <xf numFmtId="0" fontId="24" fillId="0" borderId="6" xfId="0" applyFont="1" applyBorder="1" applyAlignment="1">
      <alignment horizontal="center" vertical="center" wrapText="1"/>
    </xf>
    <xf numFmtId="171" fontId="24" fillId="0" borderId="6" xfId="0" applyNumberFormat="1" applyFont="1" applyBorder="1" applyAlignment="1">
      <alignment horizontal="center" vertical="center" wrapText="1"/>
    </xf>
    <xf numFmtId="0" fontId="22" fillId="6" borderId="6" xfId="0" applyFont="1" applyFill="1" applyBorder="1" applyAlignment="1">
      <alignment horizontal="center" vertical="center" wrapText="1"/>
    </xf>
    <xf numFmtId="167" fontId="24" fillId="0" borderId="11" xfId="0" applyNumberFormat="1" applyFont="1" applyBorder="1" applyAlignment="1">
      <alignment horizontal="center" vertical="center" wrapText="1"/>
    </xf>
    <xf numFmtId="0" fontId="31" fillId="30" borderId="4" xfId="5" applyFont="1" applyFill="1" applyBorder="1" applyAlignment="1">
      <alignment horizontal="left" vertical="center" wrapText="1"/>
    </xf>
    <xf numFmtId="175" fontId="23" fillId="0" borderId="4" xfId="0" applyNumberFormat="1" applyFont="1" applyBorder="1" applyAlignment="1">
      <alignment horizontal="center" vertical="center"/>
    </xf>
    <xf numFmtId="171" fontId="9" fillId="0" borderId="4" xfId="0" applyNumberFormat="1" applyFont="1" applyBorder="1" applyAlignment="1">
      <alignment horizontal="center" vertical="center" wrapText="1"/>
    </xf>
    <xf numFmtId="4" fontId="22" fillId="6" borderId="4" xfId="0" applyNumberFormat="1" applyFont="1" applyFill="1" applyBorder="1" applyAlignment="1">
      <alignment horizontal="right" vertical="center"/>
    </xf>
    <xf numFmtId="171" fontId="22" fillId="0" borderId="4" xfId="0" applyNumberFormat="1" applyFont="1" applyBorder="1" applyAlignment="1">
      <alignment horizontal="center" vertical="center" wrapText="1"/>
    </xf>
    <xf numFmtId="0" fontId="22" fillId="6" borderId="4" xfId="0" applyFont="1" applyFill="1" applyBorder="1" applyAlignment="1">
      <alignment horizontal="center" vertical="center" wrapText="1"/>
    </xf>
    <xf numFmtId="173" fontId="23" fillId="0" borderId="4" xfId="0" applyNumberFormat="1" applyFont="1" applyBorder="1" applyAlignment="1">
      <alignment horizontal="center" vertical="center"/>
    </xf>
    <xf numFmtId="4" fontId="0" fillId="0" borderId="0" xfId="0" applyNumberFormat="1" applyBorder="1" applyAlignment="1"/>
    <xf numFmtId="4" fontId="0" fillId="0" borderId="0" xfId="0" applyNumberFormat="1" applyFill="1" applyBorder="1" applyAlignment="1"/>
    <xf numFmtId="2" fontId="9" fillId="0" borderId="53" xfId="0" applyNumberFormat="1" applyFont="1" applyBorder="1" applyAlignment="1">
      <alignment horizontal="center" vertical="center"/>
    </xf>
    <xf numFmtId="4" fontId="22" fillId="6" borderId="53" xfId="0" applyNumberFormat="1" applyFont="1" applyFill="1" applyBorder="1" applyAlignment="1">
      <alignment horizontal="right" vertical="center"/>
    </xf>
    <xf numFmtId="0" fontId="31" fillId="0" borderId="0" xfId="5" applyFont="1" applyFill="1" applyBorder="1" applyAlignment="1">
      <alignment horizontal="center" vertical="center" wrapText="1"/>
    </xf>
    <xf numFmtId="0" fontId="73" fillId="0" borderId="0" xfId="5" applyFont="1" applyBorder="1" applyAlignment="1">
      <alignment horizontal="center" vertical="center" wrapText="1"/>
    </xf>
    <xf numFmtId="4" fontId="73" fillId="0" borderId="0" xfId="5" applyNumberFormat="1" applyFont="1" applyFill="1" applyBorder="1" applyAlignment="1">
      <alignment horizontal="center" vertical="center" wrapText="1"/>
    </xf>
    <xf numFmtId="4" fontId="73" fillId="0" borderId="0" xfId="5" applyNumberFormat="1" applyFont="1" applyFill="1" applyBorder="1" applyAlignment="1" applyProtection="1">
      <alignment horizontal="center" vertical="center" wrapText="1"/>
      <protection locked="0"/>
    </xf>
    <xf numFmtId="0" fontId="0" fillId="0" borderId="0" xfId="0" applyAlignment="1"/>
    <xf numFmtId="164" fontId="23" fillId="0" borderId="4" xfId="0" applyNumberFormat="1" applyFont="1" applyBorder="1" applyAlignment="1">
      <alignment horizontal="center" vertical="center"/>
    </xf>
    <xf numFmtId="0" fontId="54" fillId="0" borderId="0" xfId="0" applyFont="1" applyAlignment="1">
      <alignment horizontal="center" vertical="center"/>
    </xf>
    <xf numFmtId="0" fontId="75" fillId="0" borderId="0" xfId="0" applyFont="1" applyAlignment="1">
      <alignment horizontal="left" vertical="center"/>
    </xf>
    <xf numFmtId="164" fontId="9" fillId="0" borderId="4" xfId="0" applyNumberFormat="1" applyFont="1" applyBorder="1" applyAlignment="1">
      <alignment horizontal="center" vertical="center"/>
    </xf>
    <xf numFmtId="0" fontId="22" fillId="2" borderId="33" xfId="0" applyFont="1" applyFill="1" applyBorder="1" applyAlignment="1">
      <alignment horizontal="center" vertical="center"/>
    </xf>
    <xf numFmtId="0" fontId="22" fillId="5" borderId="34" xfId="0" applyFont="1" applyFill="1" applyBorder="1" applyAlignment="1">
      <alignment vertical="center" wrapText="1"/>
    </xf>
    <xf numFmtId="0" fontId="21" fillId="0" borderId="0" xfId="0" applyFont="1" applyAlignment="1">
      <alignment horizontal="center" vertical="center"/>
    </xf>
    <xf numFmtId="167" fontId="9" fillId="0" borderId="14" xfId="0" applyNumberFormat="1" applyFont="1" applyBorder="1" applyAlignment="1">
      <alignment horizontal="center" vertical="center"/>
    </xf>
    <xf numFmtId="167" fontId="22" fillId="0" borderId="14" xfId="0" applyNumberFormat="1" applyFont="1" applyBorder="1" applyAlignment="1">
      <alignment horizontal="center" vertical="center"/>
    </xf>
    <xf numFmtId="0" fontId="10" fillId="0" borderId="0" xfId="0" applyFont="1" applyAlignment="1">
      <alignment horizontal="left" vertical="center" wrapText="1" indent="1"/>
    </xf>
    <xf numFmtId="167" fontId="22" fillId="2" borderId="36" xfId="0" applyNumberFormat="1" applyFont="1" applyFill="1" applyBorder="1" applyAlignment="1">
      <alignment horizontal="center" vertical="center" wrapText="1"/>
    </xf>
    <xf numFmtId="0" fontId="22" fillId="5" borderId="40" xfId="0" applyFont="1" applyFill="1" applyBorder="1" applyAlignment="1">
      <alignment horizontal="left" vertical="center" wrapText="1" indent="1"/>
    </xf>
    <xf numFmtId="0" fontId="23" fillId="0" borderId="4" xfId="0" applyFont="1" applyBorder="1" applyAlignment="1">
      <alignment horizontal="center" vertical="center" wrapText="1"/>
    </xf>
    <xf numFmtId="0" fontId="10" fillId="2" borderId="42" xfId="3" applyFont="1" applyFill="1" applyBorder="1" applyAlignment="1">
      <alignment horizontal="center" vertical="center"/>
    </xf>
    <xf numFmtId="167" fontId="17" fillId="2" borderId="46" xfId="3" applyNumberFormat="1" applyFont="1" applyFill="1" applyBorder="1" applyAlignment="1">
      <alignment horizontal="center" vertical="center" wrapText="1"/>
    </xf>
    <xf numFmtId="0" fontId="23" fillId="0" borderId="0" xfId="0" applyFont="1" applyAlignment="1">
      <alignment horizontal="left" vertical="center"/>
    </xf>
    <xf numFmtId="0" fontId="22" fillId="5" borderId="33" xfId="0" applyFont="1" applyFill="1" applyBorder="1" applyAlignment="1">
      <alignment horizontal="center" vertical="center"/>
    </xf>
    <xf numFmtId="0" fontId="22" fillId="5" borderId="34" xfId="0" applyFont="1" applyFill="1" applyBorder="1" applyAlignment="1">
      <alignment horizontal="left" vertical="center" wrapText="1"/>
    </xf>
    <xf numFmtId="167" fontId="17" fillId="5" borderId="34" xfId="0" applyNumberFormat="1" applyFont="1" applyFill="1" applyBorder="1" applyAlignment="1">
      <alignment horizontal="center" vertical="center"/>
    </xf>
    <xf numFmtId="167" fontId="10" fillId="5" borderId="34" xfId="0" applyNumberFormat="1" applyFont="1" applyFill="1" applyBorder="1" applyAlignment="1">
      <alignment vertical="center"/>
    </xf>
    <xf numFmtId="167" fontId="10" fillId="5" borderId="36" xfId="0" applyNumberFormat="1" applyFont="1" applyFill="1" applyBorder="1" applyAlignment="1">
      <alignment horizontal="center" vertical="center"/>
    </xf>
    <xf numFmtId="0" fontId="9" fillId="0" borderId="22" xfId="0"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22" fillId="0" borderId="14" xfId="0" applyNumberFormat="1" applyFont="1" applyFill="1" applyBorder="1" applyAlignment="1">
      <alignment horizontal="center" vertical="center"/>
    </xf>
    <xf numFmtId="167" fontId="24" fillId="0" borderId="14" xfId="0" applyNumberFormat="1" applyFont="1" applyFill="1" applyBorder="1" applyAlignment="1">
      <alignment horizontal="center" vertical="center" wrapText="1"/>
    </xf>
    <xf numFmtId="0" fontId="23" fillId="0" borderId="0" xfId="0" applyFont="1"/>
    <xf numFmtId="0" fontId="0" fillId="0" borderId="0" xfId="0" applyAlignment="1">
      <alignment horizontal="left"/>
    </xf>
    <xf numFmtId="0" fontId="22" fillId="5" borderId="20" xfId="0" quotePrefix="1" applyFont="1" applyFill="1" applyBorder="1" applyAlignment="1">
      <alignment horizontal="left" vertical="center" wrapText="1"/>
    </xf>
    <xf numFmtId="0" fontId="9" fillId="0" borderId="8" xfId="0" applyFont="1" applyBorder="1" applyAlignment="1">
      <alignment horizontal="justify" vertical="center" wrapText="1"/>
    </xf>
    <xf numFmtId="0" fontId="9" fillId="0" borderId="28" xfId="0" applyFont="1" applyBorder="1" applyAlignment="1">
      <alignment horizontal="center" vertical="center" wrapText="1"/>
    </xf>
    <xf numFmtId="0" fontId="25" fillId="0" borderId="0" xfId="0" applyFont="1" applyFill="1" applyBorder="1" applyAlignment="1">
      <alignment wrapText="1"/>
    </xf>
    <xf numFmtId="0" fontId="10" fillId="0" borderId="0" xfId="0" applyFont="1" applyFill="1" applyBorder="1" applyAlignment="1">
      <alignment horizontal="center" vertical="center"/>
    </xf>
    <xf numFmtId="2" fontId="15" fillId="0" borderId="0" xfId="0" applyNumberFormat="1" applyFont="1" applyFill="1" applyBorder="1" applyAlignment="1">
      <alignment horizontal="center" vertical="center"/>
    </xf>
    <xf numFmtId="167" fontId="24"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7" fontId="9" fillId="0" borderId="0" xfId="0" applyNumberFormat="1" applyFont="1" applyFill="1" applyBorder="1" applyAlignment="1">
      <alignment horizontal="center" vertical="center"/>
    </xf>
    <xf numFmtId="171" fontId="23" fillId="0" borderId="4" xfId="0" applyNumberFormat="1" applyFont="1" applyBorder="1" applyAlignment="1">
      <alignment horizontal="center" vertical="center" wrapText="1"/>
    </xf>
    <xf numFmtId="167" fontId="24" fillId="0" borderId="54" xfId="0" applyNumberFormat="1" applyFont="1" applyBorder="1" applyAlignment="1">
      <alignment horizontal="center" vertical="center" wrapText="1"/>
    </xf>
    <xf numFmtId="167" fontId="22" fillId="2" borderId="36"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14"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2"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2" fontId="14" fillId="0" borderId="0" xfId="0" applyNumberFormat="1" applyFont="1" applyFill="1" applyBorder="1" applyAlignment="1">
      <alignment horizontal="left" vertical="center"/>
    </xf>
    <xf numFmtId="2" fontId="14" fillId="0" borderId="0" xfId="0" applyNumberFormat="1" applyFont="1" applyAlignment="1">
      <alignment horizontal="left" vertical="center"/>
    </xf>
    <xf numFmtId="2" fontId="75" fillId="0" borderId="0" xfId="0" applyNumberFormat="1" applyFont="1" applyFill="1" applyBorder="1" applyAlignment="1">
      <alignment horizontal="left" vertical="center"/>
    </xf>
    <xf numFmtId="2" fontId="14" fillId="0" borderId="0" xfId="0" applyNumberFormat="1" applyFont="1" applyFill="1" applyBorder="1" applyAlignment="1">
      <alignment horizontal="left" vertical="center" wrapText="1"/>
    </xf>
    <xf numFmtId="2" fontId="20" fillId="0" borderId="0" xfId="0" applyNumberFormat="1" applyFont="1" applyFill="1" applyBorder="1" applyAlignment="1">
      <alignment horizontal="left" vertical="center" wrapText="1"/>
    </xf>
    <xf numFmtId="0" fontId="15" fillId="0" borderId="0" xfId="0" applyFont="1" applyAlignment="1">
      <alignment horizontal="center" vertical="center"/>
    </xf>
    <xf numFmtId="0" fontId="10" fillId="0" borderId="0" xfId="0" applyFont="1" applyAlignment="1">
      <alignment horizontal="center" vertical="center"/>
    </xf>
    <xf numFmtId="2" fontId="15" fillId="0" borderId="0" xfId="0" applyNumberFormat="1" applyFont="1" applyFill="1" applyBorder="1" applyAlignment="1">
      <alignment horizontal="left" vertical="center"/>
    </xf>
    <xf numFmtId="0" fontId="8" fillId="0" borderId="0" xfId="0" applyFont="1" applyBorder="1" applyAlignment="1">
      <alignment vertical="center" wrapText="1"/>
    </xf>
    <xf numFmtId="0" fontId="15" fillId="0" borderId="0" xfId="0" applyFont="1" applyBorder="1" applyAlignment="1">
      <alignment horizontal="center" vertical="center"/>
    </xf>
    <xf numFmtId="0" fontId="71" fillId="0" borderId="0" xfId="0" applyFont="1" applyFill="1" applyBorder="1" applyAlignment="1">
      <alignment horizontal="left" vertical="center"/>
    </xf>
    <xf numFmtId="0" fontId="17" fillId="0" borderId="24" xfId="0" applyFont="1" applyBorder="1" applyAlignment="1">
      <alignment horizontal="left" vertical="center" wrapText="1"/>
    </xf>
    <xf numFmtId="0" fontId="17" fillId="0" borderId="10" xfId="0" applyFont="1" applyBorder="1" applyAlignment="1">
      <alignment horizontal="left" vertical="center" wrapText="1"/>
    </xf>
    <xf numFmtId="0" fontId="17" fillId="0" borderId="45" xfId="0" applyFont="1" applyBorder="1" applyAlignment="1">
      <alignment horizontal="left" vertical="center" wrapText="1"/>
    </xf>
    <xf numFmtId="0" fontId="17" fillId="0" borderId="0" xfId="0" applyFont="1" applyBorder="1" applyAlignment="1">
      <alignment vertical="center" wrapText="1"/>
    </xf>
    <xf numFmtId="10" fontId="10" fillId="0" borderId="11" xfId="0" applyNumberFormat="1" applyFont="1" applyBorder="1" applyAlignment="1">
      <alignment horizontal="right" vertical="center" wrapText="1"/>
    </xf>
    <xf numFmtId="164" fontId="17" fillId="0" borderId="0" xfId="0" applyNumberFormat="1" applyFont="1" applyBorder="1" applyAlignment="1">
      <alignment vertical="center" wrapText="1"/>
    </xf>
    <xf numFmtId="2" fontId="15" fillId="0" borderId="0" xfId="0" applyNumberFormat="1" applyFont="1" applyAlignment="1">
      <alignment horizontal="left" vertical="center"/>
    </xf>
    <xf numFmtId="2" fontId="34" fillId="0" borderId="0" xfId="0" applyNumberFormat="1" applyFont="1" applyFill="1" applyBorder="1" applyAlignment="1">
      <alignment horizontal="center" vertical="center"/>
    </xf>
    <xf numFmtId="1" fontId="71" fillId="0" borderId="0" xfId="0" applyNumberFormat="1" applyFont="1" applyFill="1" applyBorder="1" applyAlignment="1">
      <alignment horizontal="center" vertical="center"/>
    </xf>
    <xf numFmtId="0" fontId="71" fillId="0" borderId="0" xfId="0" applyFont="1" applyFill="1" applyBorder="1" applyAlignment="1">
      <alignment horizontal="center" vertical="center"/>
    </xf>
    <xf numFmtId="4" fontId="71" fillId="0" borderId="0" xfId="0" applyNumberFormat="1" applyFont="1" applyFill="1" applyBorder="1" applyAlignment="1">
      <alignment horizontal="center" vertical="center"/>
    </xf>
    <xf numFmtId="2" fontId="0" fillId="0" borderId="0" xfId="0" applyNumberFormat="1" applyAlignment="1">
      <alignment horizontal="center" vertical="center"/>
    </xf>
    <xf numFmtId="2" fontId="20" fillId="0" borderId="0" xfId="0" applyNumberFormat="1" applyFont="1" applyAlignment="1">
      <alignment horizontal="center" vertical="center" wrapText="1"/>
    </xf>
    <xf numFmtId="0" fontId="10" fillId="0" borderId="0" xfId="0" quotePrefix="1" applyFont="1" applyFill="1" applyBorder="1" applyAlignment="1">
      <alignment horizontal="center" vertical="center"/>
    </xf>
    <xf numFmtId="2" fontId="8" fillId="0" borderId="0" xfId="0" applyNumberFormat="1" applyFont="1" applyFill="1" applyBorder="1" applyAlignment="1">
      <alignment horizontal="left" vertical="center" wrapText="1"/>
    </xf>
    <xf numFmtId="0" fontId="23" fillId="0" borderId="0" xfId="0" applyFont="1" applyAlignment="1">
      <alignment horizontal="center" vertical="center"/>
    </xf>
    <xf numFmtId="2" fontId="9" fillId="0" borderId="0" xfId="0" applyNumberFormat="1" applyFont="1" applyAlignment="1">
      <alignment horizontal="center" vertical="center"/>
    </xf>
    <xf numFmtId="2" fontId="9" fillId="0" borderId="0" xfId="0" applyNumberFormat="1" applyFont="1" applyFill="1" applyBorder="1" applyAlignment="1">
      <alignment horizontal="center" vertical="center"/>
    </xf>
    <xf numFmtId="0" fontId="17" fillId="36" borderId="24" xfId="0" quotePrefix="1" applyFont="1" applyFill="1" applyBorder="1" applyAlignment="1">
      <alignment horizontal="center" vertical="center"/>
    </xf>
    <xf numFmtId="0" fontId="7" fillId="36" borderId="20" xfId="0" quotePrefix="1" applyFont="1" applyFill="1" applyBorder="1" applyAlignment="1">
      <alignment horizontal="center" vertical="center"/>
    </xf>
    <xf numFmtId="0" fontId="17" fillId="36" borderId="74" xfId="0" applyFont="1" applyFill="1" applyBorder="1" applyAlignment="1">
      <alignment horizontal="left" vertical="center" wrapText="1"/>
    </xf>
    <xf numFmtId="0" fontId="10" fillId="36" borderId="20" xfId="0" quotePrefix="1" applyFont="1" applyFill="1" applyBorder="1" applyAlignment="1">
      <alignment horizontal="center" vertical="center"/>
    </xf>
    <xf numFmtId="4" fontId="7" fillId="36" borderId="38" xfId="0" applyNumberFormat="1" applyFont="1" applyFill="1" applyBorder="1" applyAlignment="1">
      <alignment horizontal="center" vertical="center" wrapText="1"/>
    </xf>
    <xf numFmtId="0" fontId="7" fillId="33" borderId="6" xfId="0" quotePrefix="1" applyFont="1" applyFill="1" applyBorder="1" applyAlignment="1">
      <alignment horizontal="center" vertical="center"/>
    </xf>
    <xf numFmtId="0" fontId="10" fillId="33" borderId="6" xfId="0" quotePrefix="1" applyFont="1" applyFill="1" applyBorder="1" applyAlignment="1">
      <alignment horizontal="center" vertical="center"/>
    </xf>
    <xf numFmtId="4" fontId="7" fillId="33" borderId="13" xfId="0" applyNumberFormat="1" applyFont="1" applyFill="1" applyBorder="1" applyAlignment="1">
      <alignment horizontal="center" vertical="center" wrapText="1"/>
    </xf>
    <xf numFmtId="173" fontId="15" fillId="0" borderId="0" xfId="1" applyNumberFormat="1" applyFont="1" applyBorder="1" applyAlignment="1">
      <alignment horizontal="center" vertical="center"/>
    </xf>
    <xf numFmtId="0" fontId="15" fillId="0" borderId="0" xfId="0" applyFont="1" applyFill="1" applyAlignment="1">
      <alignment horizontal="center" vertical="center"/>
    </xf>
    <xf numFmtId="0" fontId="15" fillId="0" borderId="0" xfId="1" applyNumberFormat="1" applyFont="1" applyFill="1" applyBorder="1" applyAlignment="1">
      <alignment horizontal="left" vertical="center"/>
    </xf>
    <xf numFmtId="0" fontId="7" fillId="5" borderId="18" xfId="0" quotePrefix="1" applyFont="1" applyFill="1" applyBorder="1" applyAlignment="1">
      <alignment horizontal="center" vertical="center"/>
    </xf>
    <xf numFmtId="4" fontId="15" fillId="0" borderId="0" xfId="0" applyNumberFormat="1" applyFont="1" applyBorder="1" applyAlignment="1">
      <alignment horizontal="center" vertical="center"/>
    </xf>
    <xf numFmtId="2" fontId="0" fillId="0" borderId="0" xfId="0" applyNumberFormat="1" applyFont="1" applyBorder="1" applyAlignment="1">
      <alignment horizontal="left" vertical="center"/>
    </xf>
    <xf numFmtId="2" fontId="15" fillId="0" borderId="0" xfId="0" applyNumberFormat="1" applyFont="1" applyBorder="1" applyAlignment="1">
      <alignment horizontal="left" vertical="center"/>
    </xf>
    <xf numFmtId="167" fontId="15" fillId="0" borderId="0" xfId="0" applyNumberFormat="1" applyFont="1" applyAlignment="1">
      <alignment horizontal="center" vertical="center"/>
    </xf>
    <xf numFmtId="0" fontId="17" fillId="0" borderId="18" xfId="0" applyFont="1" applyBorder="1" applyAlignment="1">
      <alignment horizontal="center" vertical="center" wrapText="1"/>
    </xf>
    <xf numFmtId="0" fontId="17" fillId="0" borderId="42" xfId="0" applyFont="1" applyBorder="1" applyAlignment="1">
      <alignment horizontal="center" vertical="center"/>
    </xf>
    <xf numFmtId="0" fontId="17" fillId="0" borderId="25" xfId="0" applyFont="1" applyBorder="1" applyAlignment="1">
      <alignment horizontal="center" vertical="center" wrapText="1"/>
    </xf>
    <xf numFmtId="2" fontId="17" fillId="0" borderId="18" xfId="0" applyNumberFormat="1" applyFont="1" applyBorder="1" applyAlignment="1">
      <alignment horizontal="center" vertical="center" wrapText="1"/>
    </xf>
    <xf numFmtId="4" fontId="17" fillId="0" borderId="18" xfId="0" applyNumberFormat="1" applyFont="1" applyBorder="1" applyAlignment="1">
      <alignment horizontal="center" vertical="center" wrapText="1"/>
    </xf>
    <xf numFmtId="4" fontId="17" fillId="0" borderId="46" xfId="0" applyNumberFormat="1" applyFont="1" applyBorder="1" applyAlignment="1">
      <alignment horizontal="center" vertical="center" wrapText="1"/>
    </xf>
    <xf numFmtId="166" fontId="17" fillId="2" borderId="42" xfId="0" quotePrefix="1" applyNumberFormat="1" applyFont="1" applyFill="1" applyBorder="1" applyAlignment="1">
      <alignment horizontal="center" vertical="center"/>
    </xf>
    <xf numFmtId="0" fontId="17" fillId="2" borderId="18" xfId="0" quotePrefix="1" applyFont="1" applyFill="1" applyBorder="1" applyAlignment="1">
      <alignment horizontal="center" vertical="center"/>
    </xf>
    <xf numFmtId="0" fontId="17" fillId="2" borderId="18" xfId="0" applyFont="1" applyFill="1" applyBorder="1" applyAlignment="1">
      <alignment horizontal="left" vertical="center" wrapText="1"/>
    </xf>
    <xf numFmtId="0" fontId="17" fillId="2" borderId="18" xfId="0" applyFont="1" applyFill="1" applyBorder="1" applyAlignment="1">
      <alignment horizontal="center" vertical="center" wrapText="1"/>
    </xf>
    <xf numFmtId="2" fontId="17" fillId="2" borderId="18" xfId="0" applyNumberFormat="1" applyFont="1" applyFill="1" applyBorder="1" applyAlignment="1">
      <alignment horizontal="center" vertical="center" wrapText="1"/>
    </xf>
    <xf numFmtId="4" fontId="17" fillId="2" borderId="18" xfId="0" applyNumberFormat="1" applyFont="1" applyFill="1" applyBorder="1" applyAlignment="1">
      <alignment horizontal="center" vertical="center" wrapText="1"/>
    </xf>
    <xf numFmtId="4" fontId="17" fillId="2" borderId="46" xfId="0" applyNumberFormat="1" applyFont="1" applyFill="1" applyBorder="1" applyAlignment="1">
      <alignment horizontal="center" vertical="center" wrapText="1"/>
    </xf>
    <xf numFmtId="4" fontId="17" fillId="0" borderId="38" xfId="0" applyNumberFormat="1" applyFont="1" applyBorder="1" applyAlignment="1">
      <alignment horizontal="right" vertical="center"/>
    </xf>
    <xf numFmtId="0" fontId="23" fillId="0" borderId="0" xfId="0" applyFont="1" applyFill="1" applyBorder="1"/>
    <xf numFmtId="0" fontId="24" fillId="0" borderId="0" xfId="0" applyFont="1" applyFill="1" applyBorder="1" applyAlignment="1">
      <alignment horizontal="right" vertical="center"/>
    </xf>
    <xf numFmtId="2" fontId="24" fillId="0" borderId="0" xfId="0" applyNumberFormat="1" applyFont="1" applyFill="1" applyBorder="1" applyAlignment="1">
      <alignment horizontal="center" vertical="center"/>
    </xf>
    <xf numFmtId="0" fontId="23" fillId="0" borderId="0" xfId="0" applyFont="1" applyFill="1" applyBorder="1" applyAlignment="1">
      <alignment horizontal="center"/>
    </xf>
    <xf numFmtId="14" fontId="9" fillId="0" borderId="26" xfId="0" applyNumberFormat="1" applyFont="1" applyBorder="1" applyAlignment="1">
      <alignment horizontal="center" vertical="center"/>
    </xf>
    <xf numFmtId="167" fontId="17" fillId="5" borderId="18" xfId="0" applyNumberFormat="1" applyFont="1" applyFill="1" applyBorder="1" applyAlignment="1">
      <alignment horizontal="center" vertical="center"/>
    </xf>
    <xf numFmtId="167" fontId="21" fillId="0" borderId="14" xfId="0" applyNumberFormat="1" applyFont="1" applyFill="1" applyBorder="1" applyAlignment="1">
      <alignment horizontal="center" vertical="center" wrapText="1"/>
    </xf>
    <xf numFmtId="167" fontId="23" fillId="0" borderId="14" xfId="0" applyNumberFormat="1" applyFont="1" applyFill="1" applyBorder="1" applyAlignment="1">
      <alignment horizontal="center" vertical="center" wrapText="1"/>
    </xf>
    <xf numFmtId="0" fontId="10" fillId="0" borderId="16" xfId="3" applyFont="1" applyFill="1" applyBorder="1" applyAlignment="1">
      <alignment horizontal="center" vertical="center"/>
    </xf>
    <xf numFmtId="0" fontId="0" fillId="0" borderId="0" xfId="0" applyFill="1" applyAlignment="1">
      <alignment horizontal="center" vertical="center" wrapText="1"/>
    </xf>
    <xf numFmtId="0" fontId="71" fillId="0" borderId="0" xfId="0" applyFont="1" applyAlignment="1">
      <alignment horizontal="left" vertical="center"/>
    </xf>
    <xf numFmtId="0" fontId="78" fillId="0" borderId="0" xfId="0" applyFont="1" applyAlignment="1">
      <alignment horizontal="left" vertical="center"/>
    </xf>
    <xf numFmtId="0" fontId="15" fillId="0" borderId="0" xfId="1" applyNumberFormat="1" applyFont="1" applyFill="1" applyBorder="1" applyAlignment="1">
      <alignment horizontal="center" vertical="center" wrapText="1"/>
    </xf>
    <xf numFmtId="2" fontId="0" fillId="0" borderId="0" xfId="0" applyNumberFormat="1" applyFill="1" applyBorder="1" applyAlignment="1">
      <alignment horizontal="center" vertical="center" wrapText="1"/>
    </xf>
    <xf numFmtId="4" fontId="17" fillId="0" borderId="0" xfId="0" applyNumberFormat="1" applyFont="1" applyBorder="1" applyAlignment="1">
      <alignment horizontal="right" vertical="center"/>
    </xf>
    <xf numFmtId="168" fontId="17" fillId="0" borderId="11" xfId="0" applyNumberFormat="1" applyFont="1" applyBorder="1" applyAlignment="1">
      <alignment horizontal="right" vertical="center"/>
    </xf>
    <xf numFmtId="0" fontId="17" fillId="0" borderId="24" xfId="0" applyFont="1" applyBorder="1" applyAlignment="1">
      <alignment horizontal="left" vertical="center"/>
    </xf>
    <xf numFmtId="0" fontId="17" fillId="0" borderId="31" xfId="0" applyFont="1" applyBorder="1" applyAlignment="1">
      <alignment horizontal="center" vertical="center" wrapText="1"/>
    </xf>
    <xf numFmtId="0" fontId="17" fillId="0" borderId="26" xfId="0" applyFont="1" applyBorder="1" applyAlignment="1">
      <alignment vertical="center" wrapText="1"/>
    </xf>
    <xf numFmtId="0" fontId="7" fillId="0" borderId="28" xfId="0" applyFont="1" applyBorder="1" applyAlignment="1">
      <alignment horizontal="center" vertical="center" wrapText="1"/>
    </xf>
    <xf numFmtId="4" fontId="7" fillId="0" borderId="6" xfId="1" applyNumberFormat="1" applyFont="1" applyBorder="1" applyAlignment="1">
      <alignment horizontal="center" vertical="center" wrapText="1"/>
    </xf>
    <xf numFmtId="4" fontId="7" fillId="0" borderId="13" xfId="1" applyNumberFormat="1" applyFont="1" applyBorder="1" applyAlignment="1">
      <alignment horizontal="center" vertical="center" wrapText="1"/>
    </xf>
    <xf numFmtId="2" fontId="71" fillId="0" borderId="0" xfId="0" applyNumberFormat="1" applyFont="1" applyFill="1" applyBorder="1" applyAlignment="1">
      <alignment horizontal="left" vertical="center" wrapText="1"/>
    </xf>
    <xf numFmtId="2" fontId="66" fillId="0" borderId="0" xfId="0" applyNumberFormat="1" applyFont="1" applyFill="1" applyBorder="1" applyAlignment="1">
      <alignment horizontal="center" vertical="center"/>
    </xf>
    <xf numFmtId="2" fontId="0" fillId="0" borderId="0" xfId="0" applyNumberFormat="1" applyFill="1" applyBorder="1" applyAlignment="1">
      <alignment horizontal="left" vertical="center" wrapText="1"/>
    </xf>
    <xf numFmtId="0" fontId="0" fillId="0" borderId="0" xfId="0" applyAlignment="1">
      <alignment horizontal="left" vertical="center" wrapText="1"/>
    </xf>
    <xf numFmtId="2" fontId="23" fillId="0" borderId="0" xfId="0" applyNumberFormat="1" applyFont="1" applyFill="1" applyBorder="1" applyAlignment="1">
      <alignment horizontal="left" vertical="center"/>
    </xf>
    <xf numFmtId="0" fontId="0" fillId="0" borderId="71" xfId="0" applyBorder="1" applyAlignment="1">
      <alignment horizontal="center" wrapText="1"/>
    </xf>
    <xf numFmtId="0" fontId="0" fillId="0" borderId="72" xfId="0" applyBorder="1" applyAlignment="1">
      <alignment horizontal="center" wrapText="1"/>
    </xf>
    <xf numFmtId="0" fontId="0" fillId="0" borderId="73" xfId="0" applyBorder="1" applyAlignment="1">
      <alignment horizontal="center" wrapText="1"/>
    </xf>
    <xf numFmtId="0" fontId="0" fillId="0" borderId="10" xfId="0" applyBorder="1" applyAlignment="1">
      <alignment horizontal="center"/>
    </xf>
    <xf numFmtId="0" fontId="0" fillId="0" borderId="45" xfId="0" applyBorder="1" applyAlignment="1">
      <alignment horizontal="center"/>
    </xf>
    <xf numFmtId="0" fontId="16" fillId="0" borderId="0" xfId="0" applyFont="1" applyFill="1" applyBorder="1" applyAlignment="1"/>
    <xf numFmtId="0" fontId="66" fillId="39" borderId="46" xfId="0" applyFont="1" applyFill="1" applyBorder="1" applyAlignment="1">
      <alignment horizontal="center" vertical="center"/>
    </xf>
    <xf numFmtId="0" fontId="0" fillId="0" borderId="28" xfId="0" applyBorder="1" applyAlignment="1">
      <alignment horizontal="left" vertical="center" wrapText="1"/>
    </xf>
    <xf numFmtId="2" fontId="71" fillId="0" borderId="77" xfId="0" applyNumberFormat="1" applyFont="1" applyFill="1" applyBorder="1" applyAlignment="1">
      <alignment horizontal="center" vertical="center"/>
    </xf>
    <xf numFmtId="0" fontId="66" fillId="0" borderId="81" xfId="0" applyFont="1" applyBorder="1" applyAlignment="1">
      <alignment horizontal="center" vertical="center"/>
    </xf>
    <xf numFmtId="0" fontId="0" fillId="0" borderId="22" xfId="0" applyBorder="1" applyAlignment="1">
      <alignment horizontal="left" vertical="center" wrapText="1"/>
    </xf>
    <xf numFmtId="2" fontId="71" fillId="0" borderId="5" xfId="0" applyNumberFormat="1" applyFont="1" applyFill="1" applyBorder="1" applyAlignment="1">
      <alignment horizontal="center" vertical="center"/>
    </xf>
    <xf numFmtId="0" fontId="66" fillId="0" borderId="82" xfId="0" applyFont="1" applyBorder="1" applyAlignment="1">
      <alignment horizontal="center" vertical="center"/>
    </xf>
    <xf numFmtId="0" fontId="0" fillId="0" borderId="21" xfId="0" applyBorder="1" applyAlignment="1">
      <alignment horizontal="left" vertical="center" wrapText="1"/>
    </xf>
    <xf numFmtId="2" fontId="71" fillId="0" borderId="37" xfId="0" applyNumberFormat="1" applyFont="1" applyFill="1" applyBorder="1" applyAlignment="1">
      <alignment horizontal="center" vertical="center"/>
    </xf>
    <xf numFmtId="0" fontId="66" fillId="0" borderId="83" xfId="0" applyFont="1" applyBorder="1" applyAlignment="1">
      <alignment horizontal="center" vertical="center"/>
    </xf>
    <xf numFmtId="0" fontId="66" fillId="39" borderId="70" xfId="0" applyFont="1" applyFill="1" applyBorder="1" applyAlignment="1">
      <alignment horizontal="center" vertical="center"/>
    </xf>
    <xf numFmtId="0" fontId="0" fillId="0" borderId="22" xfId="0" applyBorder="1" applyAlignment="1">
      <alignment horizontal="left" vertical="center"/>
    </xf>
    <xf numFmtId="0" fontId="66" fillId="0" borderId="84" xfId="0" applyFont="1" applyBorder="1" applyAlignment="1">
      <alignment horizontal="center" vertical="center"/>
    </xf>
    <xf numFmtId="0" fontId="0" fillId="0" borderId="21" xfId="0" applyBorder="1" applyAlignment="1">
      <alignment horizontal="left" vertical="center"/>
    </xf>
    <xf numFmtId="0" fontId="0" fillId="0" borderId="47" xfId="0" applyBorder="1" applyAlignment="1">
      <alignment horizontal="left" vertical="center"/>
    </xf>
    <xf numFmtId="0" fontId="0" fillId="0" borderId="23" xfId="0" applyBorder="1" applyAlignment="1">
      <alignment horizontal="left" vertical="center"/>
    </xf>
    <xf numFmtId="0" fontId="0" fillId="0" borderId="69" xfId="0" applyBorder="1" applyAlignment="1">
      <alignment horizontal="left" vertical="center"/>
    </xf>
    <xf numFmtId="0" fontId="66" fillId="39" borderId="38" xfId="0" applyFont="1" applyFill="1" applyBorder="1" applyAlignment="1">
      <alignment horizontal="center" vertical="center"/>
    </xf>
    <xf numFmtId="2" fontId="71" fillId="0" borderId="38" xfId="0" applyNumberFormat="1" applyFont="1" applyFill="1" applyBorder="1" applyAlignment="1">
      <alignment horizontal="center" vertical="center"/>
    </xf>
    <xf numFmtId="2" fontId="71" fillId="0" borderId="14" xfId="0" applyNumberFormat="1" applyFont="1" applyFill="1" applyBorder="1" applyAlignment="1">
      <alignment horizontal="center" vertical="center"/>
    </xf>
    <xf numFmtId="2" fontId="71" fillId="0" borderId="17" xfId="0" applyNumberFormat="1" applyFont="1" applyFill="1" applyBorder="1" applyAlignment="1">
      <alignment horizontal="center" vertical="center"/>
    </xf>
    <xf numFmtId="0" fontId="71" fillId="0" borderId="32" xfId="0" applyFont="1" applyFill="1" applyBorder="1" applyAlignment="1">
      <alignment horizontal="center" vertical="center"/>
    </xf>
    <xf numFmtId="0" fontId="71" fillId="0" borderId="17" xfId="0" applyFont="1" applyFill="1" applyBorder="1" applyAlignment="1">
      <alignment horizontal="center" vertical="center"/>
    </xf>
    <xf numFmtId="0" fontId="0" fillId="0" borderId="47" xfId="0" applyBorder="1" applyAlignment="1">
      <alignment horizontal="left" vertical="center" wrapText="1"/>
    </xf>
    <xf numFmtId="0" fontId="66" fillId="39" borderId="71" xfId="0" applyFont="1" applyFill="1" applyBorder="1" applyAlignment="1">
      <alignment horizontal="center" vertical="center"/>
    </xf>
    <xf numFmtId="175" fontId="71" fillId="0" borderId="14" xfId="0" applyNumberFormat="1" applyFont="1" applyFill="1" applyBorder="1" applyAlignment="1">
      <alignment horizontal="center" vertical="center"/>
    </xf>
    <xf numFmtId="0" fontId="28" fillId="0" borderId="0" xfId="0" applyFont="1"/>
    <xf numFmtId="0" fontId="76" fillId="5" borderId="20" xfId="0" applyFont="1" applyFill="1" applyBorder="1" applyAlignment="1">
      <alignment horizontal="left" vertical="center" wrapText="1"/>
    </xf>
    <xf numFmtId="0" fontId="85" fillId="0" borderId="0" xfId="0" applyFont="1" applyBorder="1"/>
    <xf numFmtId="2" fontId="62" fillId="0" borderId="0" xfId="0" applyNumberFormat="1" applyFont="1" applyFill="1" applyBorder="1" applyAlignment="1">
      <alignment horizontal="right" vertical="center"/>
    </xf>
    <xf numFmtId="2" fontId="69" fillId="0" borderId="0" xfId="0" applyNumberFormat="1" applyFont="1" applyFill="1" applyBorder="1" applyAlignment="1">
      <alignment horizontal="left" vertical="center"/>
    </xf>
    <xf numFmtId="14" fontId="71" fillId="0" borderId="26" xfId="0" applyNumberFormat="1" applyFont="1" applyBorder="1" applyAlignment="1">
      <alignment horizontal="center" vertical="center"/>
    </xf>
    <xf numFmtId="0" fontId="0" fillId="0" borderId="0" xfId="0" applyBorder="1" applyAlignment="1">
      <alignment horizontal="left" vertical="center"/>
    </xf>
    <xf numFmtId="0" fontId="15" fillId="0" borderId="0" xfId="0" applyFont="1" applyBorder="1" applyAlignment="1">
      <alignment horizontal="center" vertical="center"/>
    </xf>
    <xf numFmtId="0" fontId="10" fillId="0" borderId="16" xfId="0" quotePrefix="1" applyFont="1" applyBorder="1" applyAlignment="1">
      <alignment horizontal="center" vertical="center"/>
    </xf>
    <xf numFmtId="166" fontId="7" fillId="2" borderId="19" xfId="0" quotePrefix="1" applyNumberFormat="1" applyFont="1" applyFill="1" applyBorder="1" applyAlignment="1">
      <alignment horizontal="center" vertical="center"/>
    </xf>
    <xf numFmtId="0" fontId="33" fillId="5" borderId="20" xfId="0" applyFont="1" applyFill="1" applyBorder="1" applyAlignment="1">
      <alignment horizontal="left" vertical="center" wrapText="1"/>
    </xf>
    <xf numFmtId="4" fontId="7" fillId="2" borderId="38" xfId="0" applyNumberFormat="1" applyFont="1" applyFill="1" applyBorder="1" applyAlignment="1">
      <alignment horizontal="center" vertical="center" wrapText="1"/>
    </xf>
    <xf numFmtId="0" fontId="84" fillId="0" borderId="0" xfId="0" applyFont="1" applyBorder="1" applyAlignment="1">
      <alignment horizontal="left" vertical="center" wrapText="1"/>
    </xf>
    <xf numFmtId="2" fontId="9" fillId="0" borderId="0" xfId="0" applyNumberFormat="1" applyFont="1" applyFill="1" applyBorder="1" applyAlignment="1">
      <alignment horizontal="left" vertical="center"/>
    </xf>
    <xf numFmtId="0" fontId="23" fillId="0" borderId="0" xfId="0" applyFont="1" applyBorder="1" applyAlignment="1">
      <alignment horizontal="left" vertical="center"/>
    </xf>
    <xf numFmtId="166" fontId="10" fillId="0" borderId="21" xfId="0" quotePrefix="1" applyNumberFormat="1" applyFont="1" applyFill="1" applyBorder="1" applyAlignment="1">
      <alignment horizontal="center" vertical="center"/>
    </xf>
    <xf numFmtId="0" fontId="68" fillId="0" borderId="0" xfId="0" applyFont="1" applyBorder="1" applyAlignment="1">
      <alignment horizontal="justify" vertical="center" wrapText="1"/>
    </xf>
    <xf numFmtId="2" fontId="62" fillId="0" borderId="0" xfId="0" applyNumberFormat="1" applyFont="1" applyFill="1" applyBorder="1" applyAlignment="1">
      <alignment horizontal="left" vertical="center"/>
    </xf>
    <xf numFmtId="0" fontId="68" fillId="5" borderId="20" xfId="0" applyFont="1" applyFill="1" applyBorder="1" applyAlignment="1">
      <alignment horizontal="center" vertical="center"/>
    </xf>
    <xf numFmtId="167" fontId="18" fillId="2" borderId="31" xfId="0" applyNumberFormat="1" applyFont="1" applyFill="1" applyBorder="1" applyAlignment="1">
      <alignment vertical="center"/>
    </xf>
    <xf numFmtId="167" fontId="18" fillId="2" borderId="18" xfId="0" applyNumberFormat="1" applyFont="1" applyFill="1" applyBorder="1" applyAlignment="1">
      <alignment vertical="center"/>
    </xf>
    <xf numFmtId="167" fontId="18" fillId="2" borderId="46" xfId="0" applyNumberFormat="1" applyFont="1" applyFill="1" applyBorder="1" applyAlignment="1">
      <alignment horizontal="center" vertical="center"/>
    </xf>
    <xf numFmtId="0" fontId="68" fillId="4" borderId="28" xfId="0" applyFont="1" applyFill="1" applyBorder="1" applyAlignment="1">
      <alignment vertical="center"/>
    </xf>
    <xf numFmtId="0" fontId="68" fillId="0" borderId="6" xfId="0" applyFont="1" applyBorder="1" applyAlignment="1">
      <alignment horizontal="center" vertical="center" wrapText="1"/>
    </xf>
    <xf numFmtId="171" fontId="68" fillId="0" borderId="6" xfId="0" applyNumberFormat="1" applyFont="1" applyBorder="1" applyAlignment="1">
      <alignment horizontal="center" vertical="center" wrapText="1"/>
    </xf>
    <xf numFmtId="167" fontId="68" fillId="0" borderId="6" xfId="0" applyNumberFormat="1" applyFont="1" applyBorder="1" applyAlignment="1">
      <alignment horizontal="center" vertical="center" wrapText="1"/>
    </xf>
    <xf numFmtId="167" fontId="68" fillId="0" borderId="13" xfId="0" applyNumberFormat="1" applyFont="1" applyBorder="1" applyAlignment="1">
      <alignment horizontal="center" vertical="center" wrapText="1"/>
    </xf>
    <xf numFmtId="0" fontId="60" fillId="0" borderId="0" xfId="0" applyFont="1" applyBorder="1" applyAlignment="1">
      <alignment horizontal="center"/>
    </xf>
    <xf numFmtId="0" fontId="0" fillId="0" borderId="28" xfId="0" applyBorder="1" applyAlignment="1">
      <alignment horizontal="left" vertical="center"/>
    </xf>
    <xf numFmtId="0" fontId="71" fillId="0" borderId="59" xfId="0" applyFont="1" applyFill="1" applyBorder="1" applyAlignment="1">
      <alignment horizontal="center" vertical="center"/>
    </xf>
    <xf numFmtId="2" fontId="0" fillId="0" borderId="0" xfId="0" applyNumberFormat="1" applyFont="1" applyFill="1" applyBorder="1"/>
    <xf numFmtId="2" fontId="10" fillId="0" borderId="0" xfId="0" applyNumberFormat="1" applyFont="1" applyAlignment="1">
      <alignment horizontal="left" vertical="center"/>
    </xf>
    <xf numFmtId="166" fontId="17" fillId="2" borderId="24" xfId="0" quotePrefix="1" applyNumberFormat="1" applyFont="1" applyFill="1" applyBorder="1" applyAlignment="1">
      <alignment horizontal="center" vertical="center"/>
    </xf>
    <xf numFmtId="0" fontId="8" fillId="0" borderId="6" xfId="0" quotePrefix="1" applyFont="1" applyFill="1" applyBorder="1" applyAlignment="1">
      <alignment horizontal="center" vertical="center" wrapText="1"/>
    </xf>
    <xf numFmtId="0" fontId="64" fillId="2" borderId="20" xfId="0" quotePrefix="1" applyFont="1" applyFill="1" applyBorder="1" applyAlignment="1">
      <alignment horizontal="center" vertical="center"/>
    </xf>
    <xf numFmtId="0" fontId="10" fillId="0" borderId="10" xfId="0" quotePrefix="1" applyFont="1" applyBorder="1" applyAlignment="1">
      <alignment horizontal="center" vertical="center"/>
    </xf>
    <xf numFmtId="2" fontId="24" fillId="0" borderId="0" xfId="0" applyNumberFormat="1" applyFont="1" applyBorder="1" applyAlignment="1">
      <alignment horizontal="center" vertical="center"/>
    </xf>
    <xf numFmtId="0" fontId="23" fillId="0" borderId="10" xfId="0" applyFont="1" applyBorder="1"/>
    <xf numFmtId="2" fontId="9" fillId="0" borderId="0" xfId="0" applyNumberFormat="1" applyFont="1" applyAlignment="1">
      <alignment horizontal="left" vertical="center"/>
    </xf>
    <xf numFmtId="2" fontId="23" fillId="0" borderId="0" xfId="0" applyNumberFormat="1" applyFont="1" applyFill="1" applyBorder="1"/>
    <xf numFmtId="2" fontId="28" fillId="0" borderId="0" xfId="0" applyNumberFormat="1" applyFont="1" applyAlignment="1">
      <alignment horizontal="left" vertical="center"/>
    </xf>
    <xf numFmtId="4" fontId="17" fillId="0" borderId="0" xfId="0" applyNumberFormat="1" applyFont="1" applyFill="1" applyBorder="1" applyAlignment="1">
      <alignment horizontal="right" vertical="center"/>
    </xf>
    <xf numFmtId="0" fontId="9" fillId="0" borderId="4" xfId="0" applyFont="1" applyBorder="1" applyAlignment="1">
      <alignment horizontal="left" vertical="center"/>
    </xf>
    <xf numFmtId="0" fontId="9" fillId="0" borderId="50" xfId="0" applyFont="1" applyFill="1" applyBorder="1" applyAlignment="1">
      <alignment vertical="center" wrapText="1"/>
    </xf>
    <xf numFmtId="0" fontId="9" fillId="0" borderId="40" xfId="0" applyFont="1" applyFill="1" applyBorder="1" applyAlignment="1">
      <alignment vertical="center" wrapText="1"/>
    </xf>
    <xf numFmtId="0" fontId="9" fillId="0" borderId="51" xfId="0" applyFont="1" applyFill="1" applyBorder="1" applyAlignment="1">
      <alignment vertical="center" wrapText="1"/>
    </xf>
    <xf numFmtId="167" fontId="17" fillId="2" borderId="20" xfId="0" applyNumberFormat="1" applyFont="1" applyFill="1" applyBorder="1" applyAlignment="1">
      <alignment horizontal="center" vertical="center"/>
    </xf>
    <xf numFmtId="0" fontId="17" fillId="5" borderId="20" xfId="3" applyFont="1" applyFill="1" applyBorder="1" applyAlignment="1">
      <alignment vertical="center"/>
    </xf>
    <xf numFmtId="0" fontId="17" fillId="5" borderId="20" xfId="3" applyFont="1" applyFill="1" applyBorder="1" applyAlignment="1">
      <alignment horizontal="right" vertical="center"/>
    </xf>
    <xf numFmtId="2" fontId="17" fillId="5" borderId="38" xfId="3" applyNumberFormat="1" applyFont="1" applyFill="1" applyBorder="1" applyAlignment="1">
      <alignment vertical="center"/>
    </xf>
    <xf numFmtId="0" fontId="23" fillId="0" borderId="4" xfId="0" applyFont="1" applyBorder="1"/>
    <xf numFmtId="0" fontId="15" fillId="0" borderId="0" xfId="0" applyFont="1" applyBorder="1" applyAlignment="1">
      <alignment horizontal="center" vertical="center"/>
    </xf>
    <xf numFmtId="4" fontId="10" fillId="0" borderId="0" xfId="0" applyNumberFormat="1" applyFont="1" applyFill="1" applyBorder="1" applyAlignment="1">
      <alignment vertical="center"/>
    </xf>
    <xf numFmtId="0" fontId="34" fillId="0" borderId="0" xfId="0" applyFont="1" applyAlignment="1">
      <alignment horizontal="center" vertical="center"/>
    </xf>
    <xf numFmtId="2" fontId="15" fillId="0" borderId="0" xfId="0" applyNumberFormat="1" applyFont="1" applyFill="1" applyBorder="1" applyAlignment="1">
      <alignment horizontal="left" vertical="center" wrapText="1"/>
    </xf>
    <xf numFmtId="2" fontId="10" fillId="0" borderId="0" xfId="0" applyNumberFormat="1" applyFont="1" applyFill="1" applyBorder="1" applyAlignment="1">
      <alignment horizontal="left" vertical="center" wrapText="1"/>
    </xf>
    <xf numFmtId="2" fontId="23" fillId="0" borderId="0" xfId="0" applyNumberFormat="1" applyFont="1" applyFill="1" applyBorder="1" applyAlignment="1">
      <alignment horizontal="left" vertical="center" wrapText="1"/>
    </xf>
    <xf numFmtId="0" fontId="22" fillId="5" borderId="20"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17" fillId="0" borderId="0" xfId="0" applyFont="1" applyFill="1" applyBorder="1" applyAlignment="1">
      <alignment horizontal="right" vertical="center" wrapText="1"/>
    </xf>
    <xf numFmtId="167" fontId="22" fillId="0" borderId="0" xfId="0" applyNumberFormat="1" applyFont="1" applyFill="1" applyBorder="1" applyAlignment="1">
      <alignment horizontal="center" vertical="center" wrapText="1"/>
    </xf>
    <xf numFmtId="2" fontId="15" fillId="0" borderId="0" xfId="0" applyNumberFormat="1" applyFont="1" applyFill="1" applyBorder="1"/>
    <xf numFmtId="2" fontId="10" fillId="0" borderId="0" xfId="0" applyNumberFormat="1" applyFont="1" applyFill="1" applyBorder="1" applyAlignment="1">
      <alignment horizontal="left" vertical="center"/>
    </xf>
    <xf numFmtId="0" fontId="86" fillId="0" borderId="0" xfId="0" applyFont="1" applyAlignment="1">
      <alignment horizontal="left" vertical="center"/>
    </xf>
    <xf numFmtId="0" fontId="23" fillId="0" borderId="0" xfId="0" applyFont="1" applyFill="1" applyAlignment="1">
      <alignment horizontal="center" vertical="center" wrapText="1"/>
    </xf>
    <xf numFmtId="0" fontId="0" fillId="0" borderId="0" xfId="0" applyFill="1" applyBorder="1" applyAlignment="1">
      <alignment wrapText="1"/>
    </xf>
    <xf numFmtId="0" fontId="23" fillId="0" borderId="0" xfId="0" applyFont="1" applyFill="1" applyBorder="1" applyAlignment="1">
      <alignment horizontal="right" vertical="center" wrapText="1"/>
    </xf>
    <xf numFmtId="0" fontId="0" fillId="0" borderId="0" xfId="0" applyFill="1" applyBorder="1" applyAlignment="1">
      <alignment horizontal="left" vertical="center" wrapText="1"/>
    </xf>
    <xf numFmtId="0" fontId="23" fillId="0" borderId="6" xfId="0" applyFont="1" applyBorder="1" applyAlignment="1">
      <alignment horizontal="left" vertical="center" wrapText="1"/>
    </xf>
    <xf numFmtId="0" fontId="67" fillId="0" borderId="0" xfId="0" applyFont="1" applyFill="1" applyBorder="1" applyAlignment="1">
      <alignment horizontal="right" vertical="center" wrapText="1"/>
    </xf>
    <xf numFmtId="0" fontId="28" fillId="0" borderId="0" xfId="0" applyFont="1" applyFill="1" applyBorder="1" applyAlignment="1">
      <alignment horizontal="left" vertical="center" wrapText="1"/>
    </xf>
    <xf numFmtId="0" fontId="23" fillId="3" borderId="11" xfId="0" applyFont="1" applyFill="1" applyBorder="1" applyAlignment="1">
      <alignment horizontal="right" vertical="center" wrapText="1"/>
    </xf>
    <xf numFmtId="2" fontId="0" fillId="0" borderId="0" xfId="0" applyNumberFormat="1" applyFill="1" applyBorder="1" applyAlignment="1">
      <alignment wrapText="1"/>
    </xf>
    <xf numFmtId="2" fontId="23" fillId="0" borderId="0" xfId="0" applyNumberFormat="1" applyFont="1" applyFill="1" applyBorder="1" applyAlignment="1">
      <alignment wrapText="1"/>
    </xf>
    <xf numFmtId="2" fontId="23" fillId="0" borderId="0" xfId="0" applyNumberFormat="1" applyFont="1" applyAlignment="1">
      <alignment horizontal="center" vertical="center" wrapText="1"/>
    </xf>
    <xf numFmtId="167" fontId="10" fillId="0" borderId="0" xfId="0" applyNumberFormat="1" applyFont="1" applyBorder="1" applyAlignment="1">
      <alignment vertical="center" wrapText="1"/>
    </xf>
    <xf numFmtId="167" fontId="10" fillId="0" borderId="0" xfId="0" applyNumberFormat="1" applyFont="1" applyBorder="1" applyAlignment="1">
      <alignment vertical="center"/>
    </xf>
    <xf numFmtId="4" fontId="17" fillId="6" borderId="0" xfId="0" applyNumberFormat="1" applyFont="1" applyFill="1" applyBorder="1" applyAlignment="1">
      <alignment horizontal="right" vertical="center"/>
    </xf>
    <xf numFmtId="167" fontId="24" fillId="0" borderId="0" xfId="0" applyNumberFormat="1" applyFont="1" applyBorder="1" applyAlignment="1">
      <alignment horizontal="center" vertical="center" wrapText="1"/>
    </xf>
    <xf numFmtId="0" fontId="22" fillId="5" borderId="18" xfId="0" applyFont="1" applyFill="1" applyBorder="1" applyAlignment="1">
      <alignment vertical="center" wrapText="1"/>
    </xf>
    <xf numFmtId="167" fontId="10" fillId="2" borderId="18" xfId="0" applyNumberFormat="1" applyFont="1" applyFill="1" applyBorder="1" applyAlignment="1">
      <alignment vertical="center"/>
    </xf>
    <xf numFmtId="167" fontId="10" fillId="2" borderId="46" xfId="0" applyNumberFormat="1" applyFont="1" applyFill="1" applyBorder="1" applyAlignment="1">
      <alignment horizontal="center" vertical="center"/>
    </xf>
    <xf numFmtId="0" fontId="35" fillId="0" borderId="0" xfId="0" applyFont="1" applyAlignment="1">
      <alignment horizontal="left" vertical="center"/>
    </xf>
    <xf numFmtId="2" fontId="60" fillId="0" borderId="0" xfId="0" applyNumberFormat="1" applyFont="1" applyBorder="1" applyAlignment="1">
      <alignment horizontal="center" vertical="center"/>
    </xf>
    <xf numFmtId="0" fontId="9" fillId="0" borderId="4" xfId="0" quotePrefix="1" applyFont="1" applyBorder="1" applyAlignment="1">
      <alignment horizontal="left" vertical="center" wrapText="1"/>
    </xf>
    <xf numFmtId="2" fontId="23" fillId="0" borderId="0" xfId="0" applyNumberFormat="1" applyFont="1" applyAlignment="1">
      <alignment horizontal="center" vertical="center"/>
    </xf>
    <xf numFmtId="0" fontId="17" fillId="5" borderId="20" xfId="3" applyFont="1" applyFill="1" applyBorder="1" applyAlignment="1">
      <alignment horizontal="center" vertical="center"/>
    </xf>
    <xf numFmtId="0" fontId="65" fillId="0" borderId="0" xfId="0" applyFont="1" applyAlignment="1">
      <alignment horizontal="left" vertical="center"/>
    </xf>
    <xf numFmtId="4" fontId="10" fillId="3" borderId="6" xfId="0" applyNumberFormat="1" applyFont="1" applyFill="1" applyBorder="1" applyAlignment="1">
      <alignment horizontal="right" vertical="center"/>
    </xf>
    <xf numFmtId="0" fontId="15" fillId="0" borderId="0" xfId="0" applyFont="1" applyBorder="1" applyAlignment="1">
      <alignment horizontal="center" vertical="center"/>
    </xf>
    <xf numFmtId="2" fontId="60" fillId="0" borderId="0" xfId="1" applyNumberFormat="1" applyFont="1" applyFill="1" applyBorder="1" applyAlignment="1" applyProtection="1">
      <alignment horizontal="center" vertical="center"/>
    </xf>
    <xf numFmtId="2" fontId="60" fillId="0" borderId="0" xfId="1" applyNumberFormat="1" applyFont="1" applyFill="1" applyBorder="1" applyAlignment="1" applyProtection="1">
      <alignment horizontal="center" vertical="center"/>
      <protection locked="0"/>
    </xf>
    <xf numFmtId="2" fontId="21" fillId="0" borderId="0" xfId="0" applyNumberFormat="1" applyFont="1" applyFill="1" applyBorder="1" applyAlignment="1">
      <alignment horizontal="center" vertical="center"/>
    </xf>
    <xf numFmtId="0" fontId="22" fillId="4" borderId="28" xfId="0" quotePrefix="1" applyFont="1" applyFill="1" applyBorder="1" applyAlignment="1">
      <alignment vertical="center"/>
    </xf>
    <xf numFmtId="0" fontId="22" fillId="0" borderId="0" xfId="0" applyFont="1" applyBorder="1" applyAlignment="1">
      <alignment horizontal="justify" vertical="center" wrapText="1"/>
    </xf>
    <xf numFmtId="0" fontId="22" fillId="0" borderId="6" xfId="0" applyFont="1" applyBorder="1" applyAlignment="1">
      <alignment horizontal="center" vertical="center" wrapText="1"/>
    </xf>
    <xf numFmtId="171" fontId="22" fillId="0" borderId="6" xfId="0" applyNumberFormat="1" applyFont="1" applyBorder="1" applyAlignment="1">
      <alignment horizontal="center" vertical="center" wrapText="1"/>
    </xf>
    <xf numFmtId="167" fontId="22" fillId="0" borderId="6" xfId="0" applyNumberFormat="1" applyFont="1" applyBorder="1" applyAlignment="1">
      <alignment horizontal="center" vertical="center" wrapText="1"/>
    </xf>
    <xf numFmtId="167" fontId="22" fillId="0" borderId="13" xfId="0" applyNumberFormat="1" applyFont="1" applyBorder="1" applyAlignment="1">
      <alignment horizontal="center" vertical="center" wrapText="1"/>
    </xf>
    <xf numFmtId="0" fontId="9" fillId="2" borderId="21" xfId="0" applyFont="1" applyFill="1" applyBorder="1" applyAlignment="1">
      <alignment horizontal="center" vertical="center"/>
    </xf>
    <xf numFmtId="167" fontId="22" fillId="2" borderId="17" xfId="0" applyNumberFormat="1" applyFont="1" applyFill="1" applyBorder="1" applyAlignment="1">
      <alignment horizontal="center" vertical="center" wrapText="1"/>
    </xf>
    <xf numFmtId="0" fontId="22" fillId="2" borderId="18" xfId="0" applyFont="1" applyFill="1" applyBorder="1" applyAlignment="1">
      <alignment horizontal="justify" vertical="center" wrapText="1"/>
    </xf>
    <xf numFmtId="167" fontId="9" fillId="2" borderId="31" xfId="0" applyNumberFormat="1" applyFont="1" applyFill="1" applyBorder="1" applyAlignment="1">
      <alignment vertical="center"/>
    </xf>
    <xf numFmtId="167" fontId="9" fillId="2" borderId="18" xfId="0" applyNumberFormat="1" applyFont="1" applyFill="1" applyBorder="1" applyAlignment="1">
      <alignment vertical="center"/>
    </xf>
    <xf numFmtId="167" fontId="9" fillId="2" borderId="46" xfId="0" applyNumberFormat="1" applyFont="1" applyFill="1" applyBorder="1" applyAlignment="1">
      <alignment horizontal="center" vertical="center"/>
    </xf>
    <xf numFmtId="0" fontId="22" fillId="4" borderId="28" xfId="0" applyFont="1" applyFill="1" applyBorder="1" applyAlignment="1">
      <alignment vertical="center"/>
    </xf>
    <xf numFmtId="0" fontId="9" fillId="2" borderId="15" xfId="3" applyFont="1" applyFill="1" applyBorder="1" applyAlignment="1">
      <alignment horizontal="center" vertical="center"/>
    </xf>
    <xf numFmtId="167" fontId="22" fillId="2" borderId="59" xfId="3" applyNumberFormat="1" applyFont="1" applyFill="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justify" vertical="center" wrapText="1"/>
    </xf>
    <xf numFmtId="167" fontId="22" fillId="0" borderId="20" xfId="0" applyNumberFormat="1" applyFont="1" applyBorder="1" applyAlignment="1">
      <alignment horizontal="center" vertical="center"/>
    </xf>
    <xf numFmtId="167" fontId="22" fillId="0" borderId="38" xfId="0" applyNumberFormat="1" applyFont="1" applyBorder="1" applyAlignment="1">
      <alignment horizontal="center" vertical="center" wrapText="1"/>
    </xf>
    <xf numFmtId="167" fontId="9" fillId="0" borderId="14" xfId="0" applyNumberFormat="1" applyFont="1" applyBorder="1" applyAlignment="1">
      <alignment horizontal="center" vertical="center" wrapText="1"/>
    </xf>
    <xf numFmtId="0" fontId="9" fillId="0" borderId="21" xfId="0" applyFont="1" applyBorder="1" applyAlignment="1">
      <alignment vertical="center"/>
    </xf>
    <xf numFmtId="167" fontId="9" fillId="0" borderId="17" xfId="0" applyNumberFormat="1" applyFont="1" applyBorder="1" applyAlignment="1">
      <alignment vertical="center"/>
    </xf>
    <xf numFmtId="0" fontId="66" fillId="0" borderId="85" xfId="0" applyFont="1" applyBorder="1" applyAlignment="1">
      <alignment horizontal="center" vertical="center"/>
    </xf>
    <xf numFmtId="0" fontId="9" fillId="0" borderId="0" xfId="0" applyFont="1" applyBorder="1" applyAlignment="1">
      <alignment horizontal="center" vertical="center" wrapText="1"/>
    </xf>
    <xf numFmtId="10" fontId="17" fillId="0" borderId="11" xfId="0" applyNumberFormat="1" applyFont="1" applyBorder="1" applyAlignment="1">
      <alignment horizontal="right" vertical="center"/>
    </xf>
    <xf numFmtId="4" fontId="8" fillId="0" borderId="0" xfId="0" applyNumberFormat="1"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Alignment="1">
      <alignment horizontal="center" vertical="center"/>
    </xf>
    <xf numFmtId="2" fontId="34" fillId="0" borderId="0" xfId="0" applyNumberFormat="1" applyFont="1" applyAlignment="1">
      <alignment horizontal="center" vertical="center"/>
    </xf>
    <xf numFmtId="0" fontId="0" fillId="0" borderId="0" xfId="0" applyAlignment="1">
      <alignment horizontal="left" vertical="center"/>
    </xf>
    <xf numFmtId="0" fontId="66" fillId="0" borderId="0" xfId="0" applyFont="1" applyAlignment="1">
      <alignment horizontal="center" vertical="center"/>
    </xf>
    <xf numFmtId="0" fontId="17" fillId="0" borderId="0" xfId="0" applyFont="1" applyFill="1" applyBorder="1" applyAlignment="1">
      <alignment vertical="center" wrapText="1"/>
    </xf>
    <xf numFmtId="0" fontId="22" fillId="0" borderId="0" xfId="0" applyFont="1" applyFill="1" applyBorder="1" applyAlignment="1">
      <alignment vertical="center" wrapText="1"/>
    </xf>
    <xf numFmtId="43" fontId="10" fillId="0" borderId="0" xfId="1" applyFont="1" applyFill="1" applyBorder="1" applyAlignment="1">
      <alignment horizontal="center" vertical="center"/>
    </xf>
    <xf numFmtId="2" fontId="10" fillId="0" borderId="0" xfId="1" applyNumberFormat="1" applyFont="1" applyFill="1" applyBorder="1" applyAlignment="1">
      <alignment horizontal="center" vertical="center" wrapText="1"/>
    </xf>
    <xf numFmtId="2"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2" fontId="34" fillId="0" borderId="0" xfId="1" applyNumberFormat="1" applyFont="1" applyFill="1" applyBorder="1" applyAlignment="1" applyProtection="1">
      <alignment horizontal="center" vertical="center"/>
      <protection locked="0"/>
    </xf>
    <xf numFmtId="0" fontId="34" fillId="0" borderId="0" xfId="0" applyFont="1" applyFill="1" applyBorder="1" applyAlignment="1">
      <alignment horizontal="left" vertical="center" wrapText="1"/>
    </xf>
    <xf numFmtId="2" fontId="10" fillId="0" borderId="0" xfId="0" applyNumberFormat="1" applyFont="1" applyFill="1" applyBorder="1" applyAlignment="1" applyProtection="1">
      <alignment horizontal="center" vertical="center"/>
      <protection locked="0"/>
    </xf>
    <xf numFmtId="0" fontId="0" fillId="0" borderId="0" xfId="0" applyAlignment="1">
      <alignment horizontal="left" vertical="center"/>
    </xf>
    <xf numFmtId="4" fontId="73" fillId="0" borderId="0" xfId="5" applyNumberFormat="1" applyFont="1" applyFill="1" applyBorder="1" applyAlignment="1">
      <alignment horizontal="center" vertical="center"/>
    </xf>
    <xf numFmtId="0" fontId="73" fillId="0" borderId="0" xfId="5" applyFont="1" applyFill="1" applyBorder="1" applyAlignment="1">
      <alignment horizontal="center" vertical="center"/>
    </xf>
    <xf numFmtId="4" fontId="73" fillId="0" borderId="0" xfId="5" applyNumberFormat="1" applyFont="1" applyFill="1" applyBorder="1" applyAlignment="1">
      <alignment vertical="center" wrapText="1"/>
    </xf>
    <xf numFmtId="0" fontId="26" fillId="0" borderId="0" xfId="0" applyFont="1" applyFill="1" applyBorder="1" applyAlignment="1">
      <alignment horizontal="center" vertical="center"/>
    </xf>
    <xf numFmtId="177" fontId="73" fillId="0" borderId="0" xfId="5" applyNumberFormat="1" applyFont="1" applyFill="1" applyBorder="1" applyAlignment="1">
      <alignment horizontal="center" vertical="center" wrapText="1"/>
    </xf>
    <xf numFmtId="4" fontId="74" fillId="0" borderId="0" xfId="5"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73" fillId="0" borderId="0" xfId="5" applyFont="1" applyFill="1" applyBorder="1" applyAlignment="1">
      <alignment horizontal="center" vertical="center" wrapText="1"/>
    </xf>
    <xf numFmtId="2" fontId="10" fillId="0" borderId="0" xfId="0" applyNumberFormat="1" applyFont="1" applyAlignment="1">
      <alignment horizontal="center" vertical="center"/>
    </xf>
    <xf numFmtId="0" fontId="24" fillId="0" borderId="0" xfId="0" applyFont="1" applyAlignment="1">
      <alignment horizontal="center" vertical="center"/>
    </xf>
    <xf numFmtId="0" fontId="10" fillId="0" borderId="86" xfId="0" applyFont="1" applyFill="1" applyBorder="1" applyAlignment="1">
      <alignment horizontal="center" vertical="center"/>
    </xf>
    <xf numFmtId="0" fontId="17" fillId="0" borderId="0" xfId="0" quotePrefix="1" applyFont="1" applyFill="1" applyBorder="1" applyAlignment="1">
      <alignment horizontal="center" vertical="center"/>
    </xf>
    <xf numFmtId="0" fontId="87" fillId="0" borderId="0" xfId="0" applyFont="1" applyFill="1" applyAlignment="1" applyProtection="1">
      <alignment vertical="center"/>
      <protection hidden="1"/>
    </xf>
    <xf numFmtId="0" fontId="16" fillId="0" borderId="0" xfId="0" applyFont="1" applyFill="1" applyAlignment="1" applyProtection="1">
      <alignment vertical="center"/>
      <protection hidden="1"/>
    </xf>
    <xf numFmtId="14" fontId="16" fillId="0" borderId="0" xfId="0" applyNumberFormat="1" applyFont="1" applyFill="1" applyAlignment="1" applyProtection="1">
      <alignment vertical="center"/>
      <protection hidden="1"/>
    </xf>
    <xf numFmtId="0" fontId="0" fillId="0" borderId="0" xfId="0" applyFont="1"/>
    <xf numFmtId="0" fontId="0" fillId="0" borderId="0" xfId="0" applyFont="1" applyAlignment="1">
      <alignment horizontal="center"/>
    </xf>
    <xf numFmtId="175" fontId="0" fillId="0" borderId="0" xfId="0" applyNumberFormat="1" applyFont="1"/>
    <xf numFmtId="0" fontId="66" fillId="0" borderId="4" xfId="0" applyFont="1" applyBorder="1" applyAlignment="1">
      <alignment horizontal="left" vertical="center"/>
    </xf>
    <xf numFmtId="0" fontId="0" fillId="0" borderId="4" xfId="0" applyBorder="1" applyAlignment="1">
      <alignment horizontal="left" vertical="center"/>
    </xf>
    <xf numFmtId="180" fontId="0" fillId="0" borderId="4" xfId="0" applyNumberFormat="1" applyBorder="1" applyAlignment="1">
      <alignment horizontal="left" vertical="center"/>
    </xf>
    <xf numFmtId="0" fontId="0" fillId="40" borderId="4" xfId="0" applyFont="1" applyFill="1" applyBorder="1" applyAlignment="1">
      <alignment horizontal="left" vertical="center"/>
    </xf>
    <xf numFmtId="0" fontId="0" fillId="40" borderId="4" xfId="0" applyFill="1" applyBorder="1" applyAlignment="1">
      <alignment horizontal="left" vertical="center"/>
    </xf>
    <xf numFmtId="175" fontId="0" fillId="40" borderId="4" xfId="0" applyNumberFormat="1" applyFill="1" applyBorder="1" applyAlignment="1">
      <alignment horizontal="left" vertical="center"/>
    </xf>
    <xf numFmtId="175" fontId="0" fillId="40" borderId="4" xfId="0" applyNumberFormat="1" applyFont="1" applyFill="1" applyBorder="1" applyAlignment="1">
      <alignment horizontal="left" vertical="center"/>
    </xf>
    <xf numFmtId="0" fontId="0" fillId="40" borderId="4" xfId="0" applyFont="1" applyFill="1" applyBorder="1" applyAlignment="1">
      <alignment horizontal="left" vertical="center" wrapText="1"/>
    </xf>
    <xf numFmtId="0" fontId="66" fillId="3" borderId="24" xfId="0" applyFont="1" applyFill="1" applyBorder="1" applyAlignment="1">
      <alignment horizontal="left" vertical="center"/>
    </xf>
    <xf numFmtId="0" fontId="0" fillId="40" borderId="11" xfId="0" applyFill="1" applyBorder="1" applyAlignment="1">
      <alignment horizontal="right" vertical="center"/>
    </xf>
    <xf numFmtId="0" fontId="0" fillId="40" borderId="10" xfId="0" applyFill="1" applyBorder="1" applyAlignment="1">
      <alignment horizontal="left" vertical="center"/>
    </xf>
    <xf numFmtId="0" fontId="66" fillId="3" borderId="10" xfId="0" applyFont="1" applyFill="1" applyBorder="1" applyAlignment="1">
      <alignment horizontal="left" vertical="center"/>
    </xf>
    <xf numFmtId="0" fontId="0" fillId="0" borderId="11" xfId="0" applyBorder="1" applyAlignment="1">
      <alignment horizontal="left" vertical="center"/>
    </xf>
    <xf numFmtId="0" fontId="71" fillId="40" borderId="10" xfId="0" applyFont="1" applyFill="1" applyBorder="1" applyAlignment="1">
      <alignment horizontal="left" vertical="center"/>
    </xf>
    <xf numFmtId="0" fontId="71" fillId="40" borderId="11" xfId="0" applyFont="1" applyFill="1" applyBorder="1" applyAlignment="1">
      <alignment horizontal="right" vertical="center"/>
    </xf>
    <xf numFmtId="0" fontId="0" fillId="40" borderId="10" xfId="0" applyFill="1" applyBorder="1" applyAlignment="1">
      <alignment horizontal="center" vertical="center"/>
    </xf>
    <xf numFmtId="0" fontId="71" fillId="40" borderId="10" xfId="0" applyFont="1" applyFill="1" applyBorder="1" applyAlignment="1">
      <alignment horizontal="center" vertical="center"/>
    </xf>
    <xf numFmtId="0" fontId="0" fillId="0" borderId="11" xfId="0" applyBorder="1" applyAlignment="1">
      <alignment horizontal="left"/>
    </xf>
    <xf numFmtId="0" fontId="0" fillId="40" borderId="45" xfId="0" applyFill="1" applyBorder="1" applyAlignment="1">
      <alignment horizontal="left" vertical="center"/>
    </xf>
    <xf numFmtId="0" fontId="0" fillId="40" borderId="44" xfId="0" applyFill="1" applyBorder="1" applyAlignment="1">
      <alignment horizontal="right" vertical="center"/>
    </xf>
    <xf numFmtId="0" fontId="0" fillId="0" borderId="94" xfId="0" applyFont="1" applyBorder="1" applyAlignment="1">
      <alignment horizontal="right" vertical="center" wrapText="1"/>
    </xf>
    <xf numFmtId="0" fontId="0" fillId="0" borderId="97" xfId="0" applyFont="1" applyBorder="1" applyAlignment="1">
      <alignment vertical="center" wrapText="1"/>
    </xf>
    <xf numFmtId="0" fontId="89" fillId="0" borderId="97" xfId="0" applyFont="1" applyBorder="1" applyAlignment="1">
      <alignment vertical="center" wrapText="1"/>
    </xf>
    <xf numFmtId="0" fontId="89" fillId="31" borderId="93" xfId="0" applyFont="1" applyFill="1" applyBorder="1" applyAlignment="1">
      <alignment vertical="center" wrapText="1"/>
    </xf>
    <xf numFmtId="0" fontId="89" fillId="31" borderId="94" xfId="0" applyFont="1" applyFill="1" applyBorder="1" applyAlignment="1">
      <alignment horizontal="right" vertical="center" wrapText="1"/>
    </xf>
    <xf numFmtId="167" fontId="22" fillId="0" borderId="14" xfId="0" applyNumberFormat="1" applyFont="1" applyBorder="1" applyAlignment="1">
      <alignment horizontal="center" vertical="center" wrapText="1"/>
    </xf>
    <xf numFmtId="167" fontId="9" fillId="0" borderId="0" xfId="0" applyNumberFormat="1" applyFont="1" applyBorder="1" applyAlignment="1">
      <alignment horizontal="center" vertical="center"/>
    </xf>
    <xf numFmtId="2" fontId="23" fillId="0" borderId="0" xfId="0" applyNumberFormat="1" applyFont="1" applyBorder="1" applyAlignment="1">
      <alignment horizontal="center" vertical="center"/>
    </xf>
    <xf numFmtId="0" fontId="89" fillId="31" borderId="99" xfId="0" applyFont="1" applyFill="1" applyBorder="1" applyAlignment="1">
      <alignment vertical="center" wrapText="1"/>
    </xf>
    <xf numFmtId="0" fontId="67" fillId="31" borderId="100" xfId="0" applyFont="1" applyFill="1" applyBorder="1" applyAlignment="1">
      <alignment horizontal="right" vertical="center" wrapText="1"/>
    </xf>
    <xf numFmtId="0" fontId="0" fillId="31" borderId="24" xfId="0" applyFont="1" applyFill="1" applyBorder="1" applyAlignment="1">
      <alignment vertical="center" wrapText="1"/>
    </xf>
    <xf numFmtId="0" fontId="0" fillId="31" borderId="26" xfId="0" applyFont="1" applyFill="1" applyBorder="1" applyAlignment="1">
      <alignment horizontal="right" vertical="center" wrapText="1"/>
    </xf>
    <xf numFmtId="0" fontId="0" fillId="31" borderId="95" xfId="0" applyFont="1" applyFill="1" applyBorder="1" applyAlignment="1">
      <alignment vertical="center" wrapText="1"/>
    </xf>
    <xf numFmtId="0" fontId="0" fillId="31" borderId="94" xfId="0" applyFont="1" applyFill="1" applyBorder="1" applyAlignment="1">
      <alignment horizontal="right" vertical="center" wrapText="1"/>
    </xf>
    <xf numFmtId="0" fontId="0" fillId="31" borderId="93" xfId="0" applyFont="1" applyFill="1" applyBorder="1" applyAlignment="1">
      <alignment vertical="center" wrapText="1"/>
    </xf>
    <xf numFmtId="0" fontId="0" fillId="31" borderId="96" xfId="0" applyFont="1" applyFill="1" applyBorder="1" applyAlignment="1">
      <alignment vertical="center" wrapText="1"/>
    </xf>
    <xf numFmtId="0" fontId="0" fillId="31" borderId="93" xfId="0" applyFont="1" applyFill="1" applyBorder="1" applyAlignment="1">
      <alignment horizontal="center" vertical="center" wrapText="1"/>
    </xf>
    <xf numFmtId="0" fontId="71" fillId="31" borderId="93" xfId="0" applyFont="1" applyFill="1" applyBorder="1" applyAlignment="1">
      <alignment horizontal="center" vertical="center" wrapText="1"/>
    </xf>
    <xf numFmtId="0" fontId="0" fillId="31" borderId="98" xfId="0" applyFont="1" applyFill="1" applyBorder="1" applyAlignment="1">
      <alignment vertical="center" wrapText="1"/>
    </xf>
    <xf numFmtId="0" fontId="0" fillId="31" borderId="44" xfId="0" applyFont="1" applyFill="1" applyBorder="1" applyAlignment="1">
      <alignment horizontal="right" vertical="center" wrapText="1"/>
    </xf>
    <xf numFmtId="0" fontId="0" fillId="31" borderId="91" xfId="0" applyFont="1" applyFill="1" applyBorder="1" applyAlignment="1">
      <alignment vertical="center" wrapText="1"/>
    </xf>
    <xf numFmtId="0" fontId="88" fillId="31" borderId="92" xfId="0" applyFont="1" applyFill="1" applyBorder="1" applyAlignment="1">
      <alignment horizontal="right" vertical="center" wrapText="1"/>
    </xf>
    <xf numFmtId="0" fontId="88" fillId="31" borderId="94" xfId="0" applyFont="1" applyFill="1" applyBorder="1" applyAlignment="1">
      <alignment horizontal="right" vertical="center" wrapText="1"/>
    </xf>
    <xf numFmtId="0" fontId="89" fillId="31" borderId="96" xfId="0" applyFont="1" applyFill="1" applyBorder="1" applyAlignment="1">
      <alignment vertical="center" wrapText="1"/>
    </xf>
    <xf numFmtId="0" fontId="89" fillId="31" borderId="101" xfId="0" applyFont="1" applyFill="1" applyBorder="1" applyAlignment="1">
      <alignment vertical="center" wrapText="1"/>
    </xf>
    <xf numFmtId="0" fontId="89" fillId="31" borderId="44" xfId="0" applyFont="1" applyFill="1" applyBorder="1" applyAlignment="1">
      <alignment horizontal="right" vertical="center" wrapText="1"/>
    </xf>
    <xf numFmtId="2" fontId="9" fillId="0" borderId="0" xfId="1" applyNumberFormat="1" applyFont="1" applyFill="1" applyBorder="1" applyAlignment="1" applyProtection="1">
      <alignment horizontal="center" vertical="center"/>
      <protection locked="0"/>
    </xf>
    <xf numFmtId="0" fontId="74" fillId="0" borderId="0" xfId="5" applyFont="1" applyFill="1" applyBorder="1" applyAlignment="1">
      <alignment horizontal="center" vertical="center" wrapText="1"/>
    </xf>
    <xf numFmtId="0" fontId="0" fillId="40" borderId="4" xfId="0" applyFont="1" applyFill="1" applyBorder="1" applyAlignment="1">
      <alignment horizontal="left" vertical="center"/>
    </xf>
    <xf numFmtId="0" fontId="73" fillId="0" borderId="0" xfId="5" applyFont="1" applyFill="1" applyBorder="1" applyAlignment="1">
      <alignment vertical="center"/>
    </xf>
    <xf numFmtId="2" fontId="9" fillId="0" borderId="0" xfId="1" applyNumberFormat="1" applyFont="1" applyFill="1" applyBorder="1" applyAlignment="1" applyProtection="1">
      <alignment horizontal="center" vertical="center"/>
    </xf>
    <xf numFmtId="0" fontId="0" fillId="40" borderId="4" xfId="0" applyFont="1" applyFill="1" applyBorder="1" applyAlignment="1">
      <alignment horizontal="left" vertical="center"/>
    </xf>
    <xf numFmtId="0" fontId="0" fillId="40" borderId="4" xfId="0" applyFont="1" applyFill="1" applyBorder="1" applyAlignment="1">
      <alignment horizontal="left" vertical="center" wrapText="1"/>
    </xf>
    <xf numFmtId="175" fontId="0" fillId="40" borderId="4" xfId="0" applyNumberFormat="1" applyFont="1" applyFill="1" applyBorder="1" applyAlignment="1">
      <alignment horizontal="left" vertical="center"/>
    </xf>
    <xf numFmtId="0" fontId="0" fillId="0" borderId="0" xfId="0" applyAlignment="1">
      <alignment horizontal="left" vertical="center"/>
    </xf>
    <xf numFmtId="0" fontId="34" fillId="0" borderId="0" xfId="1" applyNumberFormat="1" applyFont="1" applyFill="1" applyBorder="1" applyAlignment="1">
      <alignment horizontal="center" vertical="center"/>
    </xf>
    <xf numFmtId="0" fontId="0" fillId="0" borderId="58" xfId="0" applyFont="1" applyFill="1" applyBorder="1" applyAlignment="1">
      <alignment horizontal="left" vertical="center"/>
    </xf>
    <xf numFmtId="180" fontId="0" fillId="40" borderId="4" xfId="0" applyNumberFormat="1" applyFill="1" applyBorder="1" applyAlignment="1">
      <alignment horizontal="left" vertical="center"/>
    </xf>
    <xf numFmtId="2" fontId="9" fillId="0" borderId="0" xfId="0" quotePrefix="1" applyNumberFormat="1" applyFont="1" applyFill="1" applyBorder="1" applyAlignment="1">
      <alignment horizontal="center" vertical="center"/>
    </xf>
    <xf numFmtId="172" fontId="9" fillId="0" borderId="0" xfId="0" applyNumberFormat="1" applyFont="1" applyBorder="1" applyAlignment="1">
      <alignment horizontal="center" vertical="center"/>
    </xf>
    <xf numFmtId="167" fontId="23" fillId="0" borderId="0" xfId="0" applyNumberFormat="1" applyFont="1" applyBorder="1" applyAlignment="1">
      <alignment horizontal="center" vertical="center" wrapText="1"/>
    </xf>
    <xf numFmtId="0" fontId="21" fillId="0" borderId="4" xfId="0" applyFont="1" applyBorder="1" applyAlignment="1">
      <alignment horizontal="left" vertical="center" wrapText="1"/>
    </xf>
    <xf numFmtId="2" fontId="54" fillId="0" borderId="0" xfId="0" applyNumberFormat="1" applyFont="1" applyFill="1" applyBorder="1" applyAlignment="1">
      <alignment horizontal="left" vertical="center"/>
    </xf>
    <xf numFmtId="0" fontId="23" fillId="0" borderId="0" xfId="0" applyFont="1" applyAlignment="1">
      <alignmen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center" wrapText="1"/>
    </xf>
    <xf numFmtId="0" fontId="0" fillId="3" borderId="4" xfId="0" applyFill="1" applyBorder="1" applyAlignment="1">
      <alignment horizontal="left" vertical="center"/>
    </xf>
    <xf numFmtId="175" fontId="0" fillId="3" borderId="4" xfId="0" applyNumberFormat="1" applyFill="1" applyBorder="1" applyAlignment="1">
      <alignment horizontal="left" vertical="center"/>
    </xf>
    <xf numFmtId="0" fontId="0" fillId="40" borderId="4" xfId="0" applyFill="1" applyBorder="1" applyAlignment="1">
      <alignment horizontal="left" vertical="center" wrapText="1"/>
    </xf>
    <xf numFmtId="0" fontId="0" fillId="3" borderId="0" xfId="0" applyFill="1" applyAlignment="1">
      <alignment horizontal="left" vertical="center"/>
    </xf>
    <xf numFmtId="0" fontId="17" fillId="2" borderId="18" xfId="0" applyFont="1" applyFill="1" applyBorder="1" applyAlignment="1">
      <alignment horizontal="right" vertical="center" wrapText="1"/>
    </xf>
    <xf numFmtId="4" fontId="17" fillId="2" borderId="18" xfId="0" applyNumberFormat="1" applyFont="1" applyFill="1" applyBorder="1" applyAlignment="1">
      <alignment horizontal="right" vertical="center" wrapText="1"/>
    </xf>
    <xf numFmtId="167" fontId="10" fillId="3" borderId="6" xfId="0" applyNumberFormat="1" applyFont="1" applyFill="1" applyBorder="1" applyAlignment="1">
      <alignment horizontal="right" vertical="center"/>
    </xf>
    <xf numFmtId="2" fontId="7" fillId="36" borderId="20" xfId="0" applyNumberFormat="1" applyFont="1" applyFill="1" applyBorder="1" applyAlignment="1">
      <alignment horizontal="right" vertical="center" wrapText="1"/>
    </xf>
    <xf numFmtId="4" fontId="7" fillId="36" borderId="20" xfId="0" applyNumberFormat="1" applyFont="1" applyFill="1" applyBorder="1" applyAlignment="1">
      <alignment horizontal="right" vertical="center" wrapText="1"/>
    </xf>
    <xf numFmtId="2" fontId="10" fillId="36" borderId="20" xfId="1" applyNumberFormat="1" applyFont="1" applyFill="1" applyBorder="1" applyAlignment="1">
      <alignment horizontal="right" vertical="center"/>
    </xf>
    <xf numFmtId="2" fontId="7" fillId="33" borderId="6" xfId="0" applyNumberFormat="1" applyFont="1" applyFill="1" applyBorder="1" applyAlignment="1">
      <alignment horizontal="right" vertical="center" wrapText="1"/>
    </xf>
    <xf numFmtId="4" fontId="7" fillId="33" borderId="6" xfId="0" applyNumberFormat="1" applyFont="1" applyFill="1" applyBorder="1" applyAlignment="1">
      <alignment horizontal="right" vertical="center" wrapText="1"/>
    </xf>
    <xf numFmtId="2" fontId="10" fillId="33" borderId="6" xfId="1" applyNumberFormat="1" applyFont="1" applyFill="1" applyBorder="1" applyAlignment="1">
      <alignment horizontal="right" vertical="center"/>
    </xf>
    <xf numFmtId="4" fontId="7" fillId="2" borderId="18" xfId="0" applyNumberFormat="1" applyFont="1" applyFill="1" applyBorder="1" applyAlignment="1">
      <alignment horizontal="right" vertical="center" wrapText="1"/>
    </xf>
    <xf numFmtId="4" fontId="7" fillId="2" borderId="20" xfId="0" applyNumberFormat="1" applyFont="1" applyFill="1" applyBorder="1" applyAlignment="1">
      <alignment horizontal="right" vertical="center" wrapText="1"/>
    </xf>
    <xf numFmtId="0" fontId="32" fillId="0" borderId="0" xfId="0" applyNumberFormat="1" applyFont="1" applyFill="1" applyBorder="1" applyAlignment="1" applyProtection="1"/>
    <xf numFmtId="0" fontId="18" fillId="0" borderId="1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18" fillId="0" borderId="11" xfId="0" applyNumberFormat="1" applyFont="1" applyFill="1" applyBorder="1" applyAlignment="1" applyProtection="1">
      <alignment vertical="center"/>
    </xf>
    <xf numFmtId="0" fontId="68" fillId="0" borderId="10" xfId="0" applyNumberFormat="1" applyFont="1" applyFill="1" applyBorder="1" applyAlignment="1" applyProtection="1">
      <alignment horizontal="left" vertical="center"/>
    </xf>
    <xf numFmtId="2" fontId="18" fillId="0" borderId="11" xfId="0" applyNumberFormat="1" applyFont="1" applyFill="1" applyBorder="1" applyAlignment="1" applyProtection="1">
      <alignment vertical="center" wrapText="1"/>
    </xf>
    <xf numFmtId="10" fontId="68" fillId="0" borderId="0" xfId="0" applyNumberFormat="1" applyFont="1" applyFill="1" applyBorder="1" applyAlignment="1" applyProtection="1">
      <alignment horizontal="right" vertical="center"/>
    </xf>
    <xf numFmtId="10" fontId="68" fillId="0" borderId="11" xfId="0" applyNumberFormat="1" applyFont="1" applyFill="1" applyBorder="1" applyAlignment="1" applyProtection="1">
      <alignment horizontal="center" vertical="center"/>
    </xf>
    <xf numFmtId="0" fontId="68" fillId="0" borderId="10" xfId="0" applyNumberFormat="1" applyFont="1" applyFill="1" applyBorder="1" applyAlignment="1" applyProtection="1">
      <alignment vertical="center"/>
    </xf>
    <xf numFmtId="0" fontId="68" fillId="0" borderId="0" xfId="0" applyNumberFormat="1" applyFont="1" applyFill="1" applyBorder="1" applyAlignment="1" applyProtection="1">
      <alignment vertical="center"/>
    </xf>
    <xf numFmtId="4" fontId="68" fillId="0" borderId="0" xfId="0" applyNumberFormat="1" applyFont="1" applyFill="1" applyBorder="1" applyAlignment="1" applyProtection="1">
      <alignment horizontal="right" vertical="center"/>
    </xf>
    <xf numFmtId="49" fontId="68" fillId="0" borderId="11" xfId="0" applyNumberFormat="1" applyFont="1" applyFill="1" applyBorder="1" applyAlignment="1" applyProtection="1">
      <alignment horizontal="center" vertical="center"/>
    </xf>
    <xf numFmtId="0" fontId="68" fillId="0" borderId="0" xfId="0" applyNumberFormat="1" applyFont="1" applyFill="1" applyBorder="1" applyAlignment="1" applyProtection="1">
      <alignment horizontal="center" vertical="center"/>
    </xf>
    <xf numFmtId="0" fontId="68" fillId="0" borderId="11" xfId="0" applyNumberFormat="1" applyFont="1" applyFill="1" applyBorder="1" applyAlignment="1" applyProtection="1">
      <alignment horizontal="center" vertical="center"/>
    </xf>
    <xf numFmtId="0" fontId="68" fillId="34" borderId="33" xfId="0" applyNumberFormat="1" applyFont="1" applyFill="1" applyBorder="1" applyAlignment="1" applyProtection="1">
      <alignment horizontal="right" vertical="center" wrapText="1"/>
    </xf>
    <xf numFmtId="0" fontId="91" fillId="0" borderId="0" xfId="0" applyNumberFormat="1" applyFont="1" applyFill="1" applyBorder="1" applyAlignment="1" applyProtection="1">
      <alignment horizontal="center" vertical="center"/>
    </xf>
    <xf numFmtId="0" fontId="68" fillId="0" borderId="50" xfId="0" applyNumberFormat="1" applyFont="1" applyFill="1" applyBorder="1" applyAlignment="1" applyProtection="1">
      <alignment horizontal="right" vertical="center" wrapText="1"/>
    </xf>
    <xf numFmtId="167" fontId="68" fillId="0" borderId="40" xfId="0" applyNumberFormat="1" applyFont="1" applyFill="1" applyBorder="1" applyAlignment="1" applyProtection="1">
      <alignment horizontal="justify" vertical="center" wrapText="1"/>
    </xf>
    <xf numFmtId="167" fontId="68" fillId="0" borderId="51" xfId="0" applyNumberFormat="1" applyFont="1" applyFill="1" applyBorder="1" applyAlignment="1" applyProtection="1">
      <alignment horizontal="justify" vertical="center" wrapText="1"/>
    </xf>
    <xf numFmtId="0" fontId="68" fillId="0" borderId="50" xfId="0" applyNumberFormat="1" applyFont="1" applyFill="1" applyBorder="1" applyAlignment="1" applyProtection="1">
      <alignment horizontal="right" vertical="center"/>
    </xf>
    <xf numFmtId="0" fontId="68" fillId="0" borderId="40" xfId="0" applyNumberFormat="1" applyFont="1" applyFill="1" applyBorder="1" applyAlignment="1" applyProtection="1">
      <alignment horizontal="left" vertical="center"/>
    </xf>
    <xf numFmtId="0" fontId="68" fillId="0" borderId="51" xfId="0" applyNumberFormat="1" applyFont="1" applyFill="1" applyBorder="1" applyAlignment="1" applyProtection="1">
      <alignment horizontal="left" vertical="center"/>
    </xf>
    <xf numFmtId="0" fontId="68" fillId="41" borderId="4" xfId="0" applyNumberFormat="1" applyFont="1" applyFill="1" applyBorder="1" applyAlignment="1" applyProtection="1">
      <alignment horizontal="center" vertical="center"/>
    </xf>
    <xf numFmtId="167" fontId="18" fillId="0" borderId="4" xfId="0" applyNumberFormat="1" applyFont="1" applyFill="1" applyBorder="1" applyAlignment="1" applyProtection="1">
      <alignment horizontal="center" vertical="center" wrapText="1"/>
    </xf>
    <xf numFmtId="167" fontId="68" fillId="41" borderId="12" xfId="0" applyNumberFormat="1" applyFont="1" applyFill="1" applyBorder="1" applyAlignment="1" applyProtection="1">
      <alignment horizontal="center" vertical="center" wrapText="1"/>
    </xf>
    <xf numFmtId="0" fontId="68" fillId="0" borderId="40" xfId="0" applyNumberFormat="1" applyFont="1" applyFill="1" applyBorder="1" applyAlignment="1" applyProtection="1">
      <alignment horizontal="right" vertical="center"/>
    </xf>
    <xf numFmtId="167" fontId="68" fillId="0" borderId="40" xfId="0" applyNumberFormat="1" applyFont="1" applyFill="1" applyBorder="1" applyAlignment="1" applyProtection="1">
      <alignment horizontal="center" vertical="center" wrapText="1"/>
    </xf>
    <xf numFmtId="0" fontId="18" fillId="0" borderId="40" xfId="0" applyNumberFormat="1" applyFont="1" applyFill="1" applyBorder="1" applyAlignment="1" applyProtection="1">
      <alignment horizontal="center" vertical="center" wrapText="1"/>
    </xf>
    <xf numFmtId="0" fontId="18" fillId="0" borderId="51" xfId="0" applyNumberFormat="1" applyFont="1" applyFill="1" applyBorder="1" applyAlignment="1" applyProtection="1">
      <alignment horizontal="center" vertical="center" wrapText="1"/>
    </xf>
    <xf numFmtId="0" fontId="68" fillId="41" borderId="104" xfId="0" applyNumberFormat="1" applyFont="1" applyFill="1" applyBorder="1" applyAlignment="1" applyProtection="1">
      <alignment horizontal="center" vertical="center" wrapText="1"/>
    </xf>
    <xf numFmtId="0" fontId="68" fillId="41" borderId="105" xfId="0" applyNumberFormat="1" applyFont="1" applyFill="1" applyBorder="1" applyAlignment="1" applyProtection="1">
      <alignment horizontal="center" vertical="center" wrapText="1"/>
    </xf>
    <xf numFmtId="0" fontId="68" fillId="41" borderId="106" xfId="0" applyNumberFormat="1" applyFont="1" applyFill="1" applyBorder="1" applyAlignment="1" applyProtection="1">
      <alignment horizontal="center" vertical="center" wrapText="1"/>
    </xf>
    <xf numFmtId="2" fontId="18" fillId="0" borderId="104" xfId="0" applyNumberFormat="1" applyFont="1" applyFill="1" applyBorder="1" applyAlignment="1" applyProtection="1">
      <alignment horizontal="center" vertical="center" wrapText="1"/>
    </xf>
    <xf numFmtId="2" fontId="18" fillId="0" borderId="105" xfId="0" applyNumberFormat="1" applyFont="1" applyFill="1" applyBorder="1" applyAlignment="1" applyProtection="1">
      <alignment horizontal="center" vertical="center" wrapText="1"/>
    </xf>
    <xf numFmtId="2" fontId="18" fillId="0" borderId="106" xfId="0" applyNumberFormat="1" applyFont="1" applyFill="1" applyBorder="1" applyAlignment="1" applyProtection="1">
      <alignment vertical="center" wrapText="1"/>
    </xf>
    <xf numFmtId="2" fontId="18" fillId="41" borderId="113" xfId="0" applyNumberFormat="1" applyFont="1" applyFill="1" applyBorder="1" applyAlignment="1" applyProtection="1">
      <alignment horizontal="center" vertical="center" wrapText="1"/>
    </xf>
    <xf numFmtId="2" fontId="18" fillId="41" borderId="114" xfId="0" applyNumberFormat="1" applyFont="1" applyFill="1" applyBorder="1" applyAlignment="1" applyProtection="1">
      <alignment horizontal="center" vertical="center" wrapText="1"/>
    </xf>
    <xf numFmtId="167" fontId="68" fillId="0" borderId="115" xfId="0" applyNumberFormat="1" applyFont="1" applyFill="1" applyBorder="1" applyAlignment="1" applyProtection="1">
      <alignment horizontal="right" vertical="center" wrapText="1"/>
    </xf>
    <xf numFmtId="167" fontId="68" fillId="0" borderId="113" xfId="0" applyNumberFormat="1" applyFont="1" applyFill="1" applyBorder="1" applyAlignment="1" applyProtection="1">
      <alignment horizontal="right" vertical="center" wrapText="1"/>
    </xf>
    <xf numFmtId="2" fontId="18" fillId="0" borderId="113" xfId="0" applyNumberFormat="1" applyFont="1" applyFill="1" applyBorder="1" applyAlignment="1" applyProtection="1">
      <alignment horizontal="center" vertical="center" wrapText="1"/>
    </xf>
    <xf numFmtId="2" fontId="18" fillId="0" borderId="114" xfId="0" applyNumberFormat="1" applyFont="1" applyFill="1" applyBorder="1" applyAlignment="1" applyProtection="1">
      <alignment horizontal="center" vertical="center" wrapText="1"/>
    </xf>
    <xf numFmtId="0" fontId="68" fillId="34" borderId="116" xfId="0" applyNumberFormat="1" applyFont="1" applyFill="1" applyBorder="1" applyAlignment="1" applyProtection="1">
      <alignment horizontal="right" vertical="center" wrapText="1"/>
    </xf>
    <xf numFmtId="0" fontId="68" fillId="41" borderId="28" xfId="0" applyNumberFormat="1" applyFont="1" applyFill="1" applyBorder="1" applyAlignment="1" applyProtection="1">
      <alignment horizontal="center" vertical="center" wrapText="1"/>
    </xf>
    <xf numFmtId="0" fontId="68" fillId="41" borderId="6" xfId="0" applyNumberFormat="1" applyFont="1" applyFill="1" applyBorder="1" applyAlignment="1" applyProtection="1">
      <alignment horizontal="center" vertical="center" wrapText="1"/>
    </xf>
    <xf numFmtId="167" fontId="18" fillId="0" borderId="104" xfId="0" quotePrefix="1" applyNumberFormat="1" applyFont="1" applyFill="1" applyBorder="1" applyAlignment="1" applyProtection="1">
      <alignment horizontal="center" vertical="center" wrapText="1"/>
    </xf>
    <xf numFmtId="167" fontId="18" fillId="0" borderId="105" xfId="0" applyNumberFormat="1" applyFont="1" applyFill="1" applyBorder="1" applyAlignment="1" applyProtection="1">
      <alignment vertical="center" wrapText="1"/>
    </xf>
    <xf numFmtId="2" fontId="32" fillId="0" borderId="0" xfId="0" applyNumberFormat="1" applyFont="1" applyFill="1" applyBorder="1" applyAlignment="1" applyProtection="1"/>
    <xf numFmtId="0" fontId="18" fillId="0" borderId="104" xfId="0" quotePrefix="1" applyNumberFormat="1" applyFont="1" applyFill="1" applyBorder="1" applyAlignment="1" applyProtection="1">
      <alignment horizontal="center" vertical="center" wrapText="1"/>
    </xf>
    <xf numFmtId="2" fontId="18" fillId="0" borderId="105" xfId="0" applyNumberFormat="1" applyFont="1" applyFill="1" applyBorder="1" applyAlignment="1" applyProtection="1">
      <alignment vertical="center"/>
    </xf>
    <xf numFmtId="0" fontId="18" fillId="41" borderId="115" xfId="0" applyNumberFormat="1" applyFont="1" applyFill="1" applyBorder="1" applyAlignment="1" applyProtection="1">
      <alignment vertical="center" wrapText="1"/>
    </xf>
    <xf numFmtId="0" fontId="68" fillId="41" borderId="113" xfId="0" applyNumberFormat="1" applyFont="1" applyFill="1" applyBorder="1" applyAlignment="1" applyProtection="1">
      <alignment horizontal="center" vertical="center"/>
    </xf>
    <xf numFmtId="167" fontId="68" fillId="41" borderId="113" xfId="0" quotePrefix="1" applyNumberFormat="1" applyFont="1" applyFill="1" applyBorder="1" applyAlignment="1" applyProtection="1">
      <alignment horizontal="center" vertical="center" wrapText="1"/>
    </xf>
    <xf numFmtId="167" fontId="68" fillId="41" borderId="120" xfId="0" applyNumberFormat="1" applyFont="1" applyFill="1" applyBorder="1" applyAlignment="1" applyProtection="1">
      <alignment horizontal="right" vertical="center" wrapText="1"/>
    </xf>
    <xf numFmtId="167" fontId="18" fillId="41" borderId="121" xfId="0" applyNumberFormat="1" applyFont="1" applyFill="1" applyBorder="1" applyAlignment="1" applyProtection="1">
      <alignment vertical="center" wrapText="1"/>
    </xf>
    <xf numFmtId="167" fontId="18" fillId="41" borderId="111" xfId="0" applyNumberFormat="1" applyFont="1" applyFill="1" applyBorder="1" applyAlignment="1" applyProtection="1">
      <alignment vertical="center" wrapText="1"/>
    </xf>
    <xf numFmtId="167" fontId="18" fillId="41" borderId="122" xfId="0" applyNumberFormat="1" applyFont="1" applyFill="1" applyBorder="1" applyAlignment="1" applyProtection="1">
      <alignment vertical="center" wrapText="1"/>
    </xf>
    <xf numFmtId="0" fontId="68" fillId="0" borderId="10" xfId="0" applyNumberFormat="1" applyFont="1" applyFill="1" applyBorder="1" applyAlignment="1" applyProtection="1">
      <alignment horizontal="right" vertical="center"/>
    </xf>
    <xf numFmtId="0" fontId="68" fillId="0" borderId="0" xfId="0" applyNumberFormat="1" applyFont="1" applyFill="1" applyBorder="1" applyAlignment="1" applyProtection="1">
      <alignment horizontal="right" vertical="center"/>
    </xf>
    <xf numFmtId="167" fontId="68"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2" fontId="79" fillId="0" borderId="104" xfId="0" applyNumberFormat="1" applyFont="1" applyFill="1" applyBorder="1" applyAlignment="1" applyProtection="1">
      <alignment horizontal="center" vertical="center" wrapText="1"/>
    </xf>
    <xf numFmtId="2" fontId="18" fillId="0" borderId="10" xfId="0" applyNumberFormat="1" applyFont="1" applyFill="1" applyBorder="1" applyAlignment="1" applyProtection="1">
      <alignment horizontal="center" vertical="center" wrapText="1"/>
    </xf>
    <xf numFmtId="2" fontId="18" fillId="0" borderId="0" xfId="0" applyNumberFormat="1" applyFont="1" applyFill="1" applyBorder="1" applyAlignment="1" applyProtection="1">
      <alignment horizontal="center" vertical="center" wrapText="1"/>
    </xf>
    <xf numFmtId="2" fontId="18" fillId="0" borderId="11"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vertical="center" wrapText="1"/>
    </xf>
    <xf numFmtId="167" fontId="18" fillId="0" borderId="105" xfId="0" applyNumberFormat="1" applyFont="1" applyFill="1" applyBorder="1" applyAlignment="1" applyProtection="1">
      <alignment horizontal="center" vertical="center" wrapText="1"/>
    </xf>
    <xf numFmtId="0" fontId="18" fillId="41" borderId="10" xfId="0" applyNumberFormat="1" applyFont="1" applyFill="1" applyBorder="1" applyAlignment="1" applyProtection="1">
      <alignment vertical="center" wrapText="1"/>
    </xf>
    <xf numFmtId="0" fontId="68" fillId="41" borderId="0" xfId="0" applyNumberFormat="1" applyFont="1" applyFill="1" applyBorder="1" applyAlignment="1" applyProtection="1">
      <alignment horizontal="center" vertical="center"/>
    </xf>
    <xf numFmtId="167" fontId="68" fillId="41" borderId="0" xfId="0" quotePrefix="1" applyNumberFormat="1" applyFont="1" applyFill="1" applyBorder="1" applyAlignment="1" applyProtection="1">
      <alignment horizontal="center" vertical="center" wrapText="1"/>
    </xf>
    <xf numFmtId="167" fontId="68" fillId="41" borderId="123" xfId="0" applyNumberFormat="1" applyFont="1" applyFill="1" applyBorder="1" applyAlignment="1" applyProtection="1">
      <alignment horizontal="center" vertical="center" wrapText="1"/>
    </xf>
    <xf numFmtId="167" fontId="18" fillId="41" borderId="119" xfId="0" applyNumberFormat="1" applyFont="1" applyFill="1" applyBorder="1" applyAlignment="1" applyProtection="1">
      <alignment vertical="center" wrapText="1"/>
    </xf>
    <xf numFmtId="167" fontId="18" fillId="41" borderId="102" xfId="0" applyNumberFormat="1" applyFont="1" applyFill="1" applyBorder="1" applyAlignment="1" applyProtection="1">
      <alignment vertical="center" wrapText="1"/>
    </xf>
    <xf numFmtId="167" fontId="18" fillId="41" borderId="103" xfId="0" applyNumberFormat="1" applyFont="1" applyFill="1" applyBorder="1" applyAlignment="1" applyProtection="1">
      <alignment vertical="center" wrapText="1"/>
    </xf>
    <xf numFmtId="0" fontId="18" fillId="0" borderId="24" xfId="0" applyNumberFormat="1" applyFont="1" applyFill="1" applyBorder="1" applyAlignment="1" applyProtection="1">
      <alignment vertical="center" wrapText="1"/>
    </xf>
    <xf numFmtId="0" fontId="68" fillId="0" borderId="31" xfId="0" applyNumberFormat="1" applyFont="1" applyFill="1" applyBorder="1" applyAlignment="1" applyProtection="1">
      <alignment horizontal="center" vertical="center"/>
    </xf>
    <xf numFmtId="167" fontId="68" fillId="0" borderId="31" xfId="0" applyNumberFormat="1" applyFont="1" applyFill="1" applyBorder="1" applyAlignment="1" applyProtection="1">
      <alignment horizontal="center" vertical="center" wrapText="1"/>
    </xf>
    <xf numFmtId="167" fontId="68" fillId="0" borderId="31" xfId="0" applyNumberFormat="1" applyFont="1" applyFill="1" applyBorder="1" applyAlignment="1" applyProtection="1">
      <alignment horizontal="right" vertical="center" wrapText="1"/>
    </xf>
    <xf numFmtId="167" fontId="18" fillId="0" borderId="31" xfId="0" applyNumberFormat="1" applyFont="1" applyFill="1" applyBorder="1" applyAlignment="1" applyProtection="1">
      <alignment horizontal="center" vertical="center" wrapText="1"/>
    </xf>
    <xf numFmtId="167" fontId="18" fillId="0" borderId="26"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vertical="center" wrapText="1"/>
    </xf>
    <xf numFmtId="167" fontId="68" fillId="0" borderId="0" xfId="0" applyNumberFormat="1" applyFont="1" applyFill="1" applyBorder="1" applyAlignment="1" applyProtection="1">
      <alignment horizontal="right" vertical="center" wrapText="1"/>
    </xf>
    <xf numFmtId="167" fontId="18" fillId="0" borderId="0" xfId="0" applyNumberFormat="1" applyFont="1" applyFill="1" applyBorder="1" applyAlignment="1" applyProtection="1">
      <alignment horizontal="center" vertical="center" wrapText="1"/>
    </xf>
    <xf numFmtId="167" fontId="18" fillId="0" borderId="1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93" fillId="0" borderId="10" xfId="0"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0" fontId="93" fillId="0" borderId="11" xfId="0" applyNumberFormat="1" applyFont="1" applyFill="1" applyBorder="1" applyAlignment="1" applyProtection="1">
      <alignment vertical="center"/>
    </xf>
    <xf numFmtId="0" fontId="68" fillId="41" borderId="124" xfId="0" applyNumberFormat="1" applyFont="1" applyFill="1" applyBorder="1" applyAlignment="1" applyProtection="1">
      <alignment horizontal="center" vertical="center" wrapText="1"/>
    </xf>
    <xf numFmtId="167" fontId="18" fillId="0" borderId="104" xfId="0" applyNumberFormat="1" applyFont="1" applyFill="1" applyBorder="1" applyAlignment="1" applyProtection="1">
      <alignment horizontal="center" vertical="center" wrapText="1"/>
    </xf>
    <xf numFmtId="167" fontId="18" fillId="0" borderId="105" xfId="0" quotePrefix="1" applyNumberFormat="1" applyFont="1" applyFill="1" applyBorder="1" applyAlignment="1" applyProtection="1">
      <alignment horizontal="center" vertical="center" wrapText="1"/>
    </xf>
    <xf numFmtId="167" fontId="68" fillId="0" borderId="124" xfId="0" applyNumberFormat="1" applyFont="1" applyFill="1" applyBorder="1" applyAlignment="1" applyProtection="1">
      <alignment horizontal="center" vertical="center" wrapText="1"/>
    </xf>
    <xf numFmtId="167" fontId="18" fillId="0" borderId="124" xfId="0" applyNumberFormat="1" applyFont="1" applyFill="1" applyBorder="1" applyAlignment="1" applyProtection="1">
      <alignment horizontal="center" vertical="center" wrapText="1"/>
    </xf>
    <xf numFmtId="167" fontId="32" fillId="0" borderId="0" xfId="0" applyNumberFormat="1" applyFont="1" applyFill="1" applyBorder="1" applyAlignment="1" applyProtection="1"/>
    <xf numFmtId="167" fontId="18" fillId="0" borderId="118" xfId="0" quotePrefix="1" applyNumberFormat="1" applyFont="1" applyFill="1" applyBorder="1" applyAlignment="1" applyProtection="1">
      <alignment horizontal="center" vertical="center" wrapText="1"/>
    </xf>
    <xf numFmtId="167" fontId="18" fillId="0" borderId="108"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xf numFmtId="0" fontId="68" fillId="0" borderId="124" xfId="0" applyNumberFormat="1" applyFont="1" applyFill="1" applyBorder="1" applyAlignment="1" applyProtection="1">
      <alignment horizontal="right" vertical="center" wrapText="1"/>
    </xf>
    <xf numFmtId="167" fontId="68" fillId="41" borderId="124" xfId="0" applyNumberFormat="1" applyFont="1" applyFill="1" applyBorder="1" applyAlignment="1" applyProtection="1">
      <alignment horizontal="right" vertical="center" wrapText="1"/>
    </xf>
    <xf numFmtId="167" fontId="68" fillId="0" borderId="124" xfId="0" applyNumberFormat="1" applyFont="1" applyFill="1" applyBorder="1" applyAlignment="1" applyProtection="1">
      <alignment horizontal="right" vertical="center" wrapText="1"/>
    </xf>
    <xf numFmtId="167" fontId="68" fillId="41" borderId="124" xfId="0" applyNumberFormat="1" applyFont="1" applyFill="1" applyBorder="1" applyAlignment="1" applyProtection="1">
      <alignment vertical="center" wrapText="1"/>
    </xf>
    <xf numFmtId="167" fontId="68" fillId="41" borderId="17" xfId="0" applyNumberFormat="1" applyFont="1" applyFill="1" applyBorder="1" applyAlignment="1" applyProtection="1">
      <alignment horizontal="right" vertical="center" wrapText="1"/>
    </xf>
    <xf numFmtId="0" fontId="68" fillId="0" borderId="0" xfId="0" applyNumberFormat="1" applyFont="1" applyFill="1" applyBorder="1" applyAlignment="1" applyProtection="1">
      <alignment vertical="center" wrapText="1"/>
    </xf>
    <xf numFmtId="0" fontId="68" fillId="0" borderId="0" xfId="0" applyNumberFormat="1" applyFont="1" applyFill="1" applyBorder="1" applyAlignment="1" applyProtection="1">
      <alignment horizontal="right" vertical="center" wrapText="1"/>
    </xf>
    <xf numFmtId="167" fontId="68" fillId="0" borderId="11" xfId="0" applyNumberFormat="1" applyFont="1" applyFill="1" applyBorder="1" applyAlignment="1" applyProtection="1">
      <alignment horizontal="center" vertical="center" wrapText="1"/>
    </xf>
    <xf numFmtId="0" fontId="68" fillId="41" borderId="39" xfId="0" applyNumberFormat="1" applyFont="1" applyFill="1" applyBorder="1" applyAlignment="1" applyProtection="1">
      <alignment horizontal="right" vertical="center" wrapText="1"/>
    </xf>
    <xf numFmtId="2" fontId="68" fillId="41" borderId="39" xfId="0" applyNumberFormat="1" applyFont="1" applyFill="1" applyBorder="1" applyAlignment="1" applyProtection="1">
      <alignment horizontal="center" vertical="center" wrapText="1"/>
    </xf>
    <xf numFmtId="0" fontId="18" fillId="0" borderId="115" xfId="0" applyNumberFormat="1" applyFont="1" applyFill="1" applyBorder="1" applyAlignment="1" applyProtection="1">
      <alignment horizontal="center" vertical="center" wrapText="1"/>
    </xf>
    <xf numFmtId="0" fontId="18" fillId="0" borderId="113" xfId="0" applyNumberFormat="1" applyFont="1" applyFill="1" applyBorder="1" applyAlignment="1" applyProtection="1">
      <alignment horizontal="center" vertical="center" wrapText="1"/>
    </xf>
    <xf numFmtId="0" fontId="68" fillId="0" borderId="113" xfId="0" applyNumberFormat="1" applyFont="1" applyFill="1" applyBorder="1" applyAlignment="1" applyProtection="1">
      <alignment horizontal="right" vertical="center" wrapText="1"/>
    </xf>
    <xf numFmtId="2" fontId="68" fillId="0" borderId="113" xfId="0" applyNumberFormat="1" applyFont="1" applyFill="1" applyBorder="1" applyAlignment="1" applyProtection="1">
      <alignment horizontal="center" vertical="center" wrapText="1"/>
    </xf>
    <xf numFmtId="167" fontId="68" fillId="0" borderId="113" xfId="0" applyNumberFormat="1" applyFont="1" applyFill="1" applyBorder="1" applyAlignment="1" applyProtection="1">
      <alignment horizontal="center" vertical="center" wrapText="1"/>
    </xf>
    <xf numFmtId="167" fontId="68" fillId="0" borderId="114" xfId="0" applyNumberFormat="1" applyFont="1" applyFill="1" applyBorder="1" applyAlignment="1" applyProtection="1">
      <alignment horizontal="center" vertical="center" wrapText="1"/>
    </xf>
    <xf numFmtId="0" fontId="18" fillId="0" borderId="104" xfId="0" applyNumberFormat="1" applyFont="1" applyFill="1" applyBorder="1" applyAlignment="1" applyProtection="1">
      <alignment horizontal="center" vertical="center" wrapText="1"/>
    </xf>
    <xf numFmtId="0" fontId="18" fillId="0" borderId="105" xfId="0" applyNumberFormat="1" applyFont="1" applyFill="1" applyBorder="1" applyAlignment="1" applyProtection="1">
      <alignment horizontal="center" vertical="center" wrapText="1"/>
    </xf>
    <xf numFmtId="2" fontId="18" fillId="0" borderId="123" xfId="0" applyNumberFormat="1" applyFont="1" applyFill="1" applyBorder="1" applyAlignment="1" applyProtection="1">
      <alignment horizontal="center" vertical="center" wrapText="1"/>
    </xf>
    <xf numFmtId="0" fontId="18" fillId="0" borderId="119" xfId="0" applyNumberFormat="1" applyFont="1" applyFill="1" applyBorder="1" applyAlignment="1" applyProtection="1">
      <alignment vertical="center" wrapText="1"/>
    </xf>
    <xf numFmtId="0" fontId="18" fillId="0" borderId="102" xfId="0" applyNumberFormat="1" applyFont="1" applyFill="1" applyBorder="1" applyAlignment="1" applyProtection="1">
      <alignment vertical="center" wrapText="1"/>
    </xf>
    <xf numFmtId="0" fontId="18" fillId="0" borderId="103" xfId="0" applyNumberFormat="1" applyFont="1" applyFill="1" applyBorder="1" applyAlignment="1" applyProtection="1">
      <alignment vertical="center" wrapText="1"/>
    </xf>
    <xf numFmtId="0" fontId="68" fillId="0" borderId="24" xfId="0" applyNumberFormat="1" applyFont="1" applyFill="1" applyBorder="1" applyAlignment="1" applyProtection="1">
      <alignment vertical="center" wrapText="1"/>
    </xf>
    <xf numFmtId="0" fontId="68" fillId="0" borderId="31" xfId="0" applyNumberFormat="1" applyFont="1" applyFill="1" applyBorder="1" applyAlignment="1" applyProtection="1">
      <alignment vertical="center" wrapText="1"/>
    </xf>
    <xf numFmtId="0" fontId="68" fillId="0" borderId="31" xfId="0" applyNumberFormat="1" applyFont="1" applyFill="1" applyBorder="1" applyAlignment="1" applyProtection="1">
      <alignment horizontal="right" vertical="center" wrapText="1"/>
    </xf>
    <xf numFmtId="167" fontId="68" fillId="0" borderId="26" xfId="0" applyNumberFormat="1" applyFont="1" applyFill="1" applyBorder="1" applyAlignment="1" applyProtection="1">
      <alignment horizontal="center" vertical="center" wrapText="1"/>
    </xf>
    <xf numFmtId="0" fontId="18" fillId="0" borderId="125" xfId="0" applyNumberFormat="1" applyFont="1" applyFill="1" applyBorder="1" applyAlignment="1" applyProtection="1">
      <alignment horizontal="center" vertical="center" wrapText="1"/>
    </xf>
    <xf numFmtId="0" fontId="18" fillId="0" borderId="58"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xf numFmtId="167" fontId="68" fillId="0" borderId="10" xfId="0" applyNumberFormat="1" applyFont="1" applyFill="1" applyBorder="1" applyAlignment="1" applyProtection="1">
      <alignment horizontal="center" vertical="center" wrapText="1"/>
    </xf>
    <xf numFmtId="167" fontId="18" fillId="0" borderId="123" xfId="0" applyNumberFormat="1" applyFont="1" applyFill="1" applyBorder="1" applyAlignment="1" applyProtection="1">
      <alignment horizontal="center" vertical="center" wrapText="1"/>
    </xf>
    <xf numFmtId="167" fontId="18" fillId="0" borderId="119" xfId="0" applyNumberFormat="1" applyFont="1" applyFill="1" applyBorder="1" applyAlignment="1" applyProtection="1">
      <alignment horizontal="center" vertical="center" wrapText="1"/>
    </xf>
    <xf numFmtId="167" fontId="18" fillId="41" borderId="69" xfId="0" applyNumberFormat="1" applyFont="1" applyFill="1" applyBorder="1" applyAlignment="1" applyProtection="1">
      <alignment horizontal="center" vertical="center" wrapText="1"/>
    </xf>
    <xf numFmtId="167" fontId="18" fillId="41" borderId="111" xfId="0" applyNumberFormat="1" applyFont="1" applyFill="1" applyBorder="1" applyAlignment="1" applyProtection="1">
      <alignment horizontal="center" vertical="center" wrapText="1"/>
    </xf>
    <xf numFmtId="167" fontId="68" fillId="41" borderId="111" xfId="0" quotePrefix="1" applyNumberFormat="1" applyFont="1" applyFill="1" applyBorder="1" applyAlignment="1" applyProtection="1">
      <alignment horizontal="center" vertical="center" wrapText="1"/>
    </xf>
    <xf numFmtId="167" fontId="68" fillId="41" borderId="111"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right" vertical="center" wrapText="1"/>
    </xf>
    <xf numFmtId="0" fontId="68" fillId="0" borderId="31" xfId="0" applyNumberFormat="1" applyFont="1" applyFill="1" applyBorder="1" applyAlignment="1" applyProtection="1">
      <alignment horizontal="left" vertical="center"/>
    </xf>
    <xf numFmtId="0" fontId="68" fillId="0" borderId="26" xfId="0" applyNumberFormat="1" applyFont="1" applyFill="1" applyBorder="1" applyAlignment="1" applyProtection="1">
      <alignment horizontal="left" vertical="center"/>
    </xf>
    <xf numFmtId="0" fontId="68" fillId="0" borderId="10" xfId="0" applyNumberFormat="1" applyFont="1" applyFill="1" applyBorder="1" applyAlignment="1" applyProtection="1">
      <alignment horizontal="center" vertical="center" wrapText="1"/>
    </xf>
    <xf numFmtId="0" fontId="68" fillId="0" borderId="0" xfId="0" applyNumberFormat="1" applyFont="1" applyFill="1" applyBorder="1" applyAlignment="1" applyProtection="1">
      <alignment horizontal="center" vertical="center" wrapText="1"/>
    </xf>
    <xf numFmtId="167" fontId="18" fillId="0" borderId="0" xfId="0" applyNumberFormat="1" applyFont="1" applyFill="1" applyBorder="1" applyAlignment="1" applyProtection="1">
      <alignment horizontal="left" vertical="center" wrapText="1"/>
    </xf>
    <xf numFmtId="167" fontId="18" fillId="0" borderId="105" xfId="0" applyNumberFormat="1" applyFont="1" applyFill="1" applyBorder="1" applyAlignment="1" applyProtection="1">
      <alignment horizontal="right" vertical="center" wrapText="1"/>
    </xf>
    <xf numFmtId="0" fontId="18" fillId="0" borderId="119" xfId="0" applyNumberFormat="1" applyFont="1" applyFill="1" applyBorder="1" applyAlignment="1" applyProtection="1">
      <alignment horizontal="center" vertical="center" wrapText="1"/>
    </xf>
    <xf numFmtId="0" fontId="18" fillId="41" borderId="37" xfId="0" applyNumberFormat="1" applyFont="1" applyFill="1" applyBorder="1" applyAlignment="1" applyProtection="1">
      <alignment vertical="center" wrapText="1"/>
    </xf>
    <xf numFmtId="0" fontId="18" fillId="41" borderId="54" xfId="0" applyNumberFormat="1" applyFont="1" applyFill="1" applyBorder="1" applyAlignment="1" applyProtection="1">
      <alignment vertical="center" wrapText="1"/>
    </xf>
    <xf numFmtId="2" fontId="18" fillId="0" borderId="21" xfId="0" applyNumberFormat="1" applyFont="1" applyFill="1" applyBorder="1" applyAlignment="1" applyProtection="1">
      <alignment horizontal="center" vertical="center" wrapText="1"/>
    </xf>
    <xf numFmtId="2" fontId="18" fillId="0" borderId="12" xfId="0" applyNumberFormat="1" applyFont="1" applyFill="1" applyBorder="1" applyAlignment="1" applyProtection="1">
      <alignment horizontal="center" vertical="center" wrapText="1"/>
    </xf>
    <xf numFmtId="2" fontId="18" fillId="0" borderId="39" xfId="0" applyNumberFormat="1" applyFont="1" applyFill="1" applyBorder="1" applyAlignment="1" applyProtection="1">
      <alignment vertical="center" wrapText="1"/>
    </xf>
    <xf numFmtId="0" fontId="68" fillId="41" borderId="37" xfId="0" applyNumberFormat="1" applyFont="1" applyFill="1" applyBorder="1" applyAlignment="1" applyProtection="1">
      <alignment vertical="center" wrapText="1"/>
    </xf>
    <xf numFmtId="0" fontId="68" fillId="41" borderId="54" xfId="0" applyNumberFormat="1" applyFont="1" applyFill="1" applyBorder="1" applyAlignment="1" applyProtection="1">
      <alignment vertical="center" wrapText="1"/>
    </xf>
    <xf numFmtId="167" fontId="18" fillId="0" borderId="106" xfId="0" applyNumberFormat="1" applyFont="1" applyFill="1" applyBorder="1" applyAlignment="1" applyProtection="1">
      <alignment horizontal="center" vertical="center" wrapText="1"/>
    </xf>
    <xf numFmtId="167" fontId="18" fillId="0" borderId="127" xfId="0" quotePrefix="1" applyNumberFormat="1" applyFont="1" applyFill="1" applyBorder="1" applyAlignment="1" applyProtection="1">
      <alignment horizontal="center" vertical="center" wrapText="1"/>
    </xf>
    <xf numFmtId="167" fontId="18" fillId="0" borderId="126" xfId="0" applyNumberFormat="1" applyFont="1" applyFill="1" applyBorder="1" applyAlignment="1" applyProtection="1">
      <alignment horizontal="center" vertical="center" wrapText="1"/>
    </xf>
    <xf numFmtId="167" fontId="18" fillId="0" borderId="123" xfId="0" quotePrefix="1" applyNumberFormat="1" applyFont="1" applyFill="1" applyBorder="1" applyAlignment="1" applyProtection="1">
      <alignment horizontal="center" vertical="center" wrapText="1"/>
    </xf>
    <xf numFmtId="167" fontId="68" fillId="0" borderId="128"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xf numFmtId="167" fontId="68" fillId="41" borderId="124" xfId="0" applyNumberFormat="1" applyFont="1" applyFill="1" applyBorder="1" applyAlignment="1" applyProtection="1">
      <alignment horizontal="center" vertical="center" wrapText="1"/>
    </xf>
    <xf numFmtId="0" fontId="68" fillId="0" borderId="124" xfId="0" applyNumberFormat="1" applyFont="1" applyFill="1" applyBorder="1" applyAlignment="1" applyProtection="1">
      <alignment vertical="center" wrapText="1"/>
    </xf>
    <xf numFmtId="167" fontId="51" fillId="0" borderId="0" xfId="0" applyNumberFormat="1" applyFont="1" applyFill="1" applyBorder="1" applyAlignment="1" applyProtection="1"/>
    <xf numFmtId="0" fontId="68" fillId="35" borderId="33" xfId="0" applyNumberFormat="1" applyFont="1" applyFill="1" applyBorder="1" applyAlignment="1" applyProtection="1">
      <alignment horizontal="right" vertical="center" wrapText="1"/>
    </xf>
    <xf numFmtId="0" fontId="94" fillId="0" borderId="0" xfId="0" applyNumberFormat="1" applyFont="1" applyFill="1" applyBorder="1" applyAlignment="1" applyProtection="1">
      <alignment horizontal="center" vertical="center"/>
    </xf>
    <xf numFmtId="167" fontId="18" fillId="42" borderId="104" xfId="0" quotePrefix="1" applyNumberFormat="1" applyFont="1" applyFill="1" applyBorder="1" applyAlignment="1" applyProtection="1">
      <alignment horizontal="center" vertical="center" wrapText="1"/>
    </xf>
    <xf numFmtId="167" fontId="18" fillId="42" borderId="105" xfId="0" applyNumberFormat="1" applyFont="1" applyFill="1" applyBorder="1" applyAlignment="1" applyProtection="1">
      <alignment horizontal="center" vertical="center" wrapText="1"/>
    </xf>
    <xf numFmtId="167" fontId="68" fillId="42" borderId="124" xfId="0" applyNumberFormat="1" applyFont="1" applyFill="1" applyBorder="1" applyAlignment="1" applyProtection="1">
      <alignment horizontal="center" vertical="center" wrapText="1"/>
    </xf>
    <xf numFmtId="167" fontId="18" fillId="42" borderId="106" xfId="0" applyNumberFormat="1" applyFont="1" applyFill="1" applyBorder="1" applyAlignment="1" applyProtection="1">
      <alignment horizontal="center" vertical="center" wrapText="1"/>
    </xf>
    <xf numFmtId="167" fontId="18" fillId="42" borderId="105" xfId="0" quotePrefix="1" applyNumberFormat="1" applyFont="1" applyFill="1" applyBorder="1" applyAlignment="1" applyProtection="1">
      <alignment horizontal="center" vertical="center" wrapText="1"/>
    </xf>
    <xf numFmtId="167" fontId="18" fillId="42" borderId="127" xfId="0" quotePrefix="1" applyNumberFormat="1" applyFont="1" applyFill="1" applyBorder="1" applyAlignment="1" applyProtection="1">
      <alignment horizontal="center" vertical="center" wrapText="1"/>
    </xf>
    <xf numFmtId="167" fontId="18" fillId="42" borderId="126" xfId="0" applyNumberFormat="1" applyFont="1" applyFill="1" applyBorder="1" applyAlignment="1" applyProtection="1">
      <alignment horizontal="center" vertical="center" wrapText="1"/>
    </xf>
    <xf numFmtId="167" fontId="18" fillId="42" borderId="123" xfId="0" applyNumberFormat="1" applyFont="1" applyFill="1" applyBorder="1" applyAlignment="1" applyProtection="1">
      <alignment horizontal="center" vertical="center" wrapText="1"/>
    </xf>
    <xf numFmtId="167" fontId="18" fillId="42" borderId="123" xfId="0" quotePrefix="1" applyNumberFormat="1" applyFont="1" applyFill="1" applyBorder="1" applyAlignment="1" applyProtection="1">
      <alignment horizontal="center" vertical="center" wrapText="1"/>
    </xf>
    <xf numFmtId="167" fontId="68" fillId="42" borderId="128" xfId="0" applyNumberFormat="1" applyFont="1" applyFill="1" applyBorder="1" applyAlignment="1" applyProtection="1">
      <alignment horizontal="center" vertical="center" wrapText="1"/>
    </xf>
    <xf numFmtId="167" fontId="18" fillId="42" borderId="108" xfId="0" applyNumberFormat="1" applyFont="1" applyFill="1" applyBorder="1" applyAlignment="1" applyProtection="1">
      <alignment horizontal="center" vertical="center" wrapText="1"/>
    </xf>
    <xf numFmtId="0" fontId="97" fillId="0" borderId="0" xfId="0" applyNumberFormat="1" applyFont="1" applyFill="1" applyBorder="1" applyAlignment="1" applyProtection="1"/>
    <xf numFmtId="0" fontId="68" fillId="42" borderId="124" xfId="0" applyNumberFormat="1" applyFont="1" applyFill="1" applyBorder="1" applyAlignment="1" applyProtection="1">
      <alignment vertical="center" wrapText="1"/>
    </xf>
    <xf numFmtId="0" fontId="68" fillId="0" borderId="50" xfId="0" applyNumberFormat="1" applyFont="1" applyFill="1" applyBorder="1" applyAlignment="1" applyProtection="1">
      <alignment horizontal="center" vertical="center" wrapText="1"/>
    </xf>
    <xf numFmtId="0" fontId="68" fillId="0" borderId="40" xfId="0" applyNumberFormat="1" applyFont="1" applyFill="1" applyBorder="1" applyAlignment="1" applyProtection="1">
      <alignment horizontal="center" vertical="center" wrapText="1"/>
    </xf>
    <xf numFmtId="0" fontId="68" fillId="0" borderId="51" xfId="0" applyNumberFormat="1" applyFont="1" applyFill="1" applyBorder="1" applyAlignment="1" applyProtection="1">
      <alignment horizontal="center" vertical="center" wrapText="1"/>
    </xf>
    <xf numFmtId="167" fontId="68" fillId="41" borderId="17" xfId="0" applyNumberFormat="1" applyFont="1" applyFill="1" applyBorder="1" applyAlignment="1" applyProtection="1">
      <alignment horizontal="center" vertical="center" wrapText="1"/>
    </xf>
    <xf numFmtId="0" fontId="52" fillId="0" borderId="0" xfId="0" applyNumberFormat="1" applyFont="1" applyFill="1" applyBorder="1" applyAlignment="1" applyProtection="1"/>
    <xf numFmtId="167" fontId="68" fillId="41" borderId="125" xfId="0" applyNumberFormat="1" applyFont="1" applyFill="1" applyBorder="1" applyAlignment="1" applyProtection="1">
      <alignment horizontal="right" vertical="center" wrapText="1"/>
    </xf>
    <xf numFmtId="167" fontId="68" fillId="41" borderId="102" xfId="0" applyNumberFormat="1" applyFont="1" applyFill="1" applyBorder="1" applyAlignment="1" applyProtection="1">
      <alignment horizontal="right" vertical="center" wrapText="1"/>
    </xf>
    <xf numFmtId="167" fontId="68" fillId="41" borderId="103" xfId="0" applyNumberFormat="1" applyFont="1" applyFill="1" applyBorder="1" applyAlignment="1" applyProtection="1">
      <alignment horizontal="center" vertical="center" wrapText="1"/>
    </xf>
    <xf numFmtId="0" fontId="68" fillId="0" borderId="115" xfId="0" applyNumberFormat="1" applyFont="1" applyFill="1" applyBorder="1" applyAlignment="1" applyProtection="1">
      <alignment vertical="center" wrapText="1"/>
    </xf>
    <xf numFmtId="0" fontId="68" fillId="0" borderId="113" xfId="0" applyNumberFormat="1" applyFont="1" applyFill="1" applyBorder="1" applyAlignment="1" applyProtection="1">
      <alignment vertical="center" wrapText="1"/>
    </xf>
    <xf numFmtId="167" fontId="68" fillId="0" borderId="114" xfId="0" applyNumberFormat="1" applyFont="1" applyFill="1" applyBorder="1" applyAlignment="1" applyProtection="1">
      <alignment horizontal="right" vertical="center" wrapText="1"/>
    </xf>
    <xf numFmtId="0" fontId="98" fillId="0" borderId="0" xfId="0" applyNumberFormat="1" applyFont="1" applyFill="1" applyBorder="1" applyAlignment="1" applyProtection="1"/>
    <xf numFmtId="167" fontId="18" fillId="0" borderId="115" xfId="0" applyNumberFormat="1" applyFont="1" applyFill="1" applyBorder="1" applyAlignment="1" applyProtection="1">
      <alignment horizontal="center" vertical="center" wrapText="1"/>
    </xf>
    <xf numFmtId="167" fontId="18" fillId="0" borderId="113" xfId="0" applyNumberFormat="1" applyFont="1" applyFill="1" applyBorder="1" applyAlignment="1" applyProtection="1">
      <alignment horizontal="center" vertical="center" wrapText="1"/>
    </xf>
    <xf numFmtId="167" fontId="18" fillId="0" borderId="114" xfId="0" applyNumberFormat="1" applyFont="1" applyFill="1" applyBorder="1" applyAlignment="1" applyProtection="1">
      <alignment horizontal="center" vertical="center" wrapText="1"/>
    </xf>
    <xf numFmtId="167" fontId="68" fillId="41" borderId="12" xfId="0" applyNumberFormat="1" applyFont="1" applyFill="1" applyBorder="1" applyAlignment="1" applyProtection="1">
      <alignment horizontal="right" vertical="center" wrapText="1"/>
    </xf>
    <xf numFmtId="0" fontId="68" fillId="0" borderId="26" xfId="0" applyNumberFormat="1" applyFont="1" applyFill="1" applyBorder="1" applyAlignment="1" applyProtection="1">
      <alignment vertical="center" wrapText="1"/>
    </xf>
    <xf numFmtId="167" fontId="68" fillId="0" borderId="11" xfId="0" applyNumberFormat="1" applyFont="1" applyFill="1" applyBorder="1" applyAlignment="1" applyProtection="1">
      <alignment horizontal="right" vertical="center" wrapText="1"/>
    </xf>
    <xf numFmtId="0" fontId="68" fillId="0" borderId="10" xfId="0" applyNumberFormat="1" applyFont="1" applyFill="1" applyBorder="1" applyAlignment="1" applyProtection="1">
      <alignment horizontal="right" vertical="center" wrapText="1"/>
    </xf>
    <xf numFmtId="0" fontId="68" fillId="0" borderId="11" xfId="0" applyNumberFormat="1" applyFont="1" applyFill="1" applyBorder="1" applyAlignment="1" applyProtection="1">
      <alignment horizontal="center" vertical="center" wrapText="1"/>
    </xf>
    <xf numFmtId="0" fontId="68" fillId="41" borderId="111" xfId="0" applyNumberFormat="1" applyFont="1" applyFill="1" applyBorder="1" applyAlignment="1" applyProtection="1">
      <alignment vertical="center" wrapText="1"/>
    </xf>
    <xf numFmtId="167" fontId="68" fillId="41" borderId="102" xfId="0" quotePrefix="1" applyNumberFormat="1" applyFont="1" applyFill="1" applyBorder="1" applyAlignment="1" applyProtection="1">
      <alignment horizontal="right" vertical="center" wrapText="1"/>
    </xf>
    <xf numFmtId="167" fontId="68" fillId="41" borderId="111" xfId="0" quotePrefix="1" applyNumberFormat="1" applyFont="1" applyFill="1" applyBorder="1" applyAlignment="1" applyProtection="1">
      <alignment horizontal="right" vertical="center" wrapText="1"/>
    </xf>
    <xf numFmtId="2" fontId="18" fillId="0" borderId="125" xfId="0" applyNumberFormat="1" applyFont="1" applyFill="1" applyBorder="1" applyAlignment="1" applyProtection="1">
      <alignment horizontal="center" vertical="center" wrapText="1"/>
    </xf>
    <xf numFmtId="2" fontId="18" fillId="0" borderId="102" xfId="0" applyNumberFormat="1" applyFont="1" applyFill="1" applyBorder="1" applyAlignment="1" applyProtection="1">
      <alignment horizontal="center" vertical="center" wrapText="1"/>
    </xf>
    <xf numFmtId="2" fontId="18" fillId="0" borderId="103" xfId="0" applyNumberFormat="1" applyFont="1" applyFill="1" applyBorder="1" applyAlignment="1" applyProtection="1">
      <alignment horizontal="center" vertical="center" wrapText="1"/>
    </xf>
    <xf numFmtId="167" fontId="18" fillId="0" borderId="0" xfId="0" applyNumberFormat="1" applyFont="1" applyFill="1" applyBorder="1" applyAlignment="1" applyProtection="1">
      <alignment horizontal="center" vertical="center" wrapText="1"/>
    </xf>
    <xf numFmtId="167" fontId="68" fillId="0" borderId="31" xfId="0" applyNumberFormat="1" applyFont="1" applyFill="1" applyBorder="1" applyAlignment="1" applyProtection="1">
      <alignment horizontal="justify" vertical="center" wrapText="1"/>
    </xf>
    <xf numFmtId="167" fontId="68" fillId="0" borderId="26" xfId="0" applyNumberFormat="1" applyFont="1" applyFill="1" applyBorder="1" applyAlignment="1" applyProtection="1">
      <alignment horizontal="justify" vertical="center" wrapText="1"/>
    </xf>
    <xf numFmtId="167" fontId="18" fillId="0" borderId="10" xfId="0" applyNumberFormat="1" applyFont="1" applyFill="1" applyBorder="1" applyAlignment="1" applyProtection="1">
      <alignment horizontal="center" vertical="center" wrapText="1"/>
    </xf>
    <xf numFmtId="167" fontId="68" fillId="41" borderId="39" xfId="0" applyNumberFormat="1" applyFont="1" applyFill="1" applyBorder="1" applyAlignment="1" applyProtection="1">
      <alignment horizontal="center" vertical="center" wrapText="1"/>
    </xf>
    <xf numFmtId="0" fontId="68" fillId="41" borderId="104" xfId="0" applyNumberFormat="1" applyFont="1" applyFill="1" applyBorder="1" applyAlignment="1" applyProtection="1">
      <alignment horizontal="center" vertical="center"/>
    </xf>
    <xf numFmtId="0" fontId="68" fillId="41" borderId="105" xfId="0" applyNumberFormat="1" applyFont="1" applyFill="1" applyBorder="1" applyAlignment="1" applyProtection="1">
      <alignment horizontal="center" vertical="center"/>
    </xf>
    <xf numFmtId="0" fontId="18" fillId="0" borderId="104" xfId="0" applyNumberFormat="1" applyFont="1" applyFill="1" applyBorder="1" applyAlignment="1" applyProtection="1">
      <alignment horizontal="center" vertical="center"/>
    </xf>
    <xf numFmtId="0" fontId="18" fillId="0" borderId="105" xfId="0" applyNumberFormat="1" applyFont="1" applyFill="1" applyBorder="1" applyAlignment="1" applyProtection="1">
      <alignment horizontal="center" vertical="center"/>
    </xf>
    <xf numFmtId="0" fontId="68" fillId="41" borderId="69" xfId="0" quotePrefix="1" applyNumberFormat="1" applyFont="1" applyFill="1" applyBorder="1" applyAlignment="1" applyProtection="1">
      <alignment horizontal="right" vertical="center" wrapText="1"/>
    </xf>
    <xf numFmtId="0" fontId="18" fillId="0" borderId="58"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8" fillId="0" borderId="11" xfId="0" applyNumberFormat="1" applyFont="1" applyFill="1" applyBorder="1" applyAlignment="1" applyProtection="1">
      <alignment horizontal="center" vertical="center"/>
    </xf>
    <xf numFmtId="0" fontId="18" fillId="0" borderId="58" xfId="0" applyNumberFormat="1" applyFont="1" applyFill="1" applyBorder="1" applyAlignment="1" applyProtection="1">
      <alignment vertical="center"/>
    </xf>
    <xf numFmtId="0" fontId="99" fillId="41" borderId="108" xfId="0" applyNumberFormat="1" applyFont="1" applyFill="1" applyBorder="1" applyAlignment="1" applyProtection="1">
      <alignment vertical="center"/>
    </xf>
    <xf numFmtId="0" fontId="99" fillId="41" borderId="109" xfId="0" applyNumberFormat="1" applyFont="1" applyFill="1" applyBorder="1" applyAlignment="1" applyProtection="1">
      <alignment vertical="center"/>
    </xf>
    <xf numFmtId="0" fontId="68" fillId="41" borderId="107" xfId="0" applyNumberFormat="1" applyFont="1" applyFill="1" applyBorder="1" applyAlignment="1" applyProtection="1">
      <alignment horizontal="center" vertical="center"/>
    </xf>
    <xf numFmtId="0" fontId="18" fillId="0" borderId="107" xfId="0" applyNumberFormat="1" applyFont="1" applyFill="1" applyBorder="1" applyAlignment="1" applyProtection="1">
      <alignment horizontal="center" vertical="center"/>
    </xf>
    <xf numFmtId="0" fontId="18" fillId="0" borderId="102" xfId="0" applyNumberFormat="1" applyFont="1" applyFill="1" applyBorder="1" applyAlignment="1" applyProtection="1">
      <alignment vertical="center"/>
    </xf>
    <xf numFmtId="0" fontId="18" fillId="0" borderId="103" xfId="0" applyNumberFormat="1" applyFont="1" applyFill="1" applyBorder="1" applyAlignment="1" applyProtection="1">
      <alignment vertical="center"/>
    </xf>
    <xf numFmtId="0" fontId="18" fillId="0" borderId="119" xfId="0" applyNumberFormat="1" applyFont="1" applyFill="1" applyBorder="1" applyAlignment="1" applyProtection="1">
      <alignment horizontal="center" vertical="center"/>
    </xf>
    <xf numFmtId="0" fontId="18" fillId="0" borderId="125" xfId="0" applyNumberFormat="1" applyFont="1" applyFill="1" applyBorder="1" applyAlignment="1" applyProtection="1">
      <alignment horizontal="center" vertical="center"/>
    </xf>
    <xf numFmtId="0" fontId="18" fillId="0" borderId="24" xfId="0" applyNumberFormat="1" applyFont="1" applyFill="1" applyBorder="1" applyAlignment="1" applyProtection="1">
      <alignment vertical="center"/>
    </xf>
    <xf numFmtId="0" fontId="18" fillId="0" borderId="31" xfId="0" applyNumberFormat="1" applyFont="1" applyFill="1" applyBorder="1" applyAlignment="1" applyProtection="1">
      <alignment vertical="center"/>
    </xf>
    <xf numFmtId="0" fontId="18" fillId="0" borderId="119" xfId="0" applyNumberFormat="1" applyFont="1" applyFill="1" applyBorder="1" applyAlignment="1" applyProtection="1">
      <alignment vertical="center"/>
    </xf>
    <xf numFmtId="0" fontId="18" fillId="0" borderId="123" xfId="0" applyNumberFormat="1" applyFont="1" applyFill="1" applyBorder="1" applyAlignment="1" applyProtection="1">
      <alignment horizontal="center" vertical="center"/>
    </xf>
    <xf numFmtId="0" fontId="18" fillId="0" borderId="26" xfId="0" applyNumberFormat="1" applyFont="1" applyFill="1" applyBorder="1" applyAlignment="1" applyProtection="1">
      <alignment vertical="center"/>
    </xf>
    <xf numFmtId="0" fontId="68" fillId="41" borderId="107" xfId="0" applyNumberFormat="1" applyFont="1" applyFill="1" applyBorder="1" applyAlignment="1" applyProtection="1">
      <alignment vertical="center"/>
    </xf>
    <xf numFmtId="0" fontId="68" fillId="41" borderId="108" xfId="0" applyNumberFormat="1" applyFont="1" applyFill="1" applyBorder="1" applyAlignment="1" applyProtection="1">
      <alignment vertical="center"/>
    </xf>
    <xf numFmtId="2" fontId="18" fillId="0" borderId="105" xfId="0" applyNumberFormat="1" applyFont="1" applyFill="1" applyBorder="1" applyAlignment="1" applyProtection="1">
      <alignment horizontal="center" vertical="center"/>
    </xf>
    <xf numFmtId="0" fontId="68" fillId="41" borderId="104" xfId="0" quotePrefix="1" applyNumberFormat="1" applyFont="1" applyFill="1" applyBorder="1" applyAlignment="1" applyProtection="1">
      <alignment horizontal="right" vertical="center" wrapText="1"/>
    </xf>
    <xf numFmtId="167" fontId="68" fillId="41" borderId="105" xfId="0" applyNumberFormat="1" applyFont="1" applyFill="1" applyBorder="1" applyAlignment="1" applyProtection="1">
      <alignment horizontal="center" vertical="center" wrapText="1"/>
    </xf>
    <xf numFmtId="0" fontId="68" fillId="0" borderId="105" xfId="0" applyNumberFormat="1" applyFont="1" applyFill="1" applyBorder="1" applyAlignment="1" applyProtection="1">
      <alignment horizontal="center" vertical="center" wrapText="1"/>
    </xf>
    <xf numFmtId="167" fontId="68" fillId="41" borderId="37" xfId="0" applyNumberFormat="1" applyFont="1" applyFill="1" applyBorder="1" applyAlignment="1" applyProtection="1">
      <alignment horizontal="right" vertical="center" wrapText="1"/>
    </xf>
    <xf numFmtId="0" fontId="68" fillId="0" borderId="115" xfId="0" applyNumberFormat="1" applyFont="1" applyFill="1" applyBorder="1" applyAlignment="1" applyProtection="1">
      <alignment horizontal="right" vertical="center" wrapText="1"/>
    </xf>
    <xf numFmtId="0" fontId="68" fillId="0" borderId="113" xfId="0" applyNumberFormat="1" applyFont="1" applyFill="1" applyBorder="1" applyAlignment="1" applyProtection="1">
      <alignment horizontal="center" vertical="center" wrapText="1"/>
    </xf>
    <xf numFmtId="0" fontId="68" fillId="0" borderId="114" xfId="0" applyNumberFormat="1" applyFont="1" applyFill="1" applyBorder="1" applyAlignment="1" applyProtection="1">
      <alignment horizontal="center" vertical="center" wrapText="1"/>
    </xf>
    <xf numFmtId="0" fontId="68" fillId="0" borderId="104" xfId="0" applyNumberFormat="1" applyFont="1" applyFill="1" applyBorder="1" applyAlignment="1" applyProtection="1">
      <alignment horizontal="center" vertical="center" wrapText="1"/>
    </xf>
    <xf numFmtId="0" fontId="68" fillId="41" borderId="21" xfId="0" applyNumberFormat="1" applyFont="1" applyFill="1" applyBorder="1" applyAlignment="1" applyProtection="1">
      <alignment horizontal="right" vertical="center" wrapText="1"/>
    </xf>
    <xf numFmtId="167" fontId="18" fillId="41" borderId="37" xfId="0" applyNumberFormat="1" applyFont="1" applyFill="1" applyBorder="1" applyAlignment="1" applyProtection="1">
      <alignment vertical="center" wrapText="1"/>
    </xf>
    <xf numFmtId="167" fontId="18" fillId="41" borderId="54" xfId="0" applyNumberFormat="1" applyFont="1" applyFill="1" applyBorder="1" applyAlignment="1" applyProtection="1">
      <alignment vertical="center" wrapText="1"/>
    </xf>
    <xf numFmtId="2" fontId="68" fillId="0" borderId="0" xfId="0" applyNumberFormat="1" applyFont="1" applyFill="1" applyBorder="1" applyAlignment="1" applyProtection="1">
      <alignment horizontal="center" vertical="center" wrapText="1"/>
    </xf>
    <xf numFmtId="167" fontId="18" fillId="0" borderId="0" xfId="0" applyNumberFormat="1" applyFont="1" applyFill="1" applyBorder="1" applyAlignment="1" applyProtection="1">
      <alignment vertical="center" wrapText="1"/>
    </xf>
    <xf numFmtId="167" fontId="18" fillId="0" borderId="11" xfId="0" applyNumberFormat="1" applyFont="1" applyFill="1" applyBorder="1" applyAlignment="1" applyProtection="1">
      <alignment vertical="center" wrapText="1"/>
    </xf>
    <xf numFmtId="0" fontId="68" fillId="41" borderId="105" xfId="0" applyNumberFormat="1" applyFont="1" applyFill="1" applyBorder="1" applyAlignment="1" applyProtection="1">
      <alignment horizontal="right" vertical="center"/>
    </xf>
    <xf numFmtId="0" fontId="18" fillId="0" borderId="105" xfId="0" applyNumberFormat="1" applyFont="1" applyFill="1" applyBorder="1" applyAlignment="1" applyProtection="1">
      <alignment vertical="center"/>
    </xf>
    <xf numFmtId="2" fontId="68" fillId="0" borderId="105" xfId="0" applyNumberFormat="1" applyFont="1" applyFill="1" applyBorder="1" applyAlignment="1" applyProtection="1">
      <alignment vertical="center"/>
    </xf>
    <xf numFmtId="2" fontId="68" fillId="41" borderId="12" xfId="0" applyNumberFormat="1" applyFont="1" applyFill="1" applyBorder="1" applyAlignment="1" applyProtection="1">
      <alignment vertical="center"/>
    </xf>
    <xf numFmtId="0" fontId="68" fillId="0" borderId="113" xfId="0" applyNumberFormat="1" applyFont="1" applyFill="1" applyBorder="1" applyAlignment="1" applyProtection="1">
      <alignment vertical="center"/>
    </xf>
    <xf numFmtId="0" fontId="68" fillId="0" borderId="114" xfId="0" applyNumberFormat="1" applyFont="1" applyFill="1" applyBorder="1" applyAlignment="1" applyProtection="1">
      <alignment vertical="center"/>
    </xf>
    <xf numFmtId="0" fontId="68" fillId="41" borderId="113" xfId="0" applyNumberFormat="1" applyFont="1" applyFill="1" applyBorder="1" applyAlignment="1" applyProtection="1">
      <alignment vertical="center"/>
    </xf>
    <xf numFmtId="0" fontId="68" fillId="41" borderId="114" xfId="0" applyNumberFormat="1" applyFont="1" applyFill="1" applyBorder="1" applyAlignment="1" applyProtection="1">
      <alignment vertical="center"/>
    </xf>
    <xf numFmtId="167" fontId="18" fillId="0" borderId="123" xfId="0" applyNumberFormat="1" applyFont="1" applyFill="1" applyBorder="1" applyAlignment="1" applyProtection="1">
      <alignment horizontal="right" vertical="center" wrapText="1"/>
    </xf>
    <xf numFmtId="1" fontId="18" fillId="0" borderId="105" xfId="0" applyNumberFormat="1" applyFont="1" applyFill="1" applyBorder="1" applyAlignment="1" applyProtection="1">
      <alignment horizontal="right" vertical="center" wrapText="1"/>
    </xf>
    <xf numFmtId="0" fontId="68" fillId="41" borderId="69" xfId="0" applyNumberFormat="1" applyFont="1" applyFill="1" applyBorder="1" applyAlignment="1" applyProtection="1">
      <alignment horizontal="right" vertical="center" wrapText="1"/>
    </xf>
    <xf numFmtId="174" fontId="68" fillId="41" borderId="37" xfId="0" applyNumberFormat="1" applyFont="1" applyFill="1" applyBorder="1" applyAlignment="1" applyProtection="1">
      <alignment horizontal="right" vertical="center" wrapText="1"/>
    </xf>
    <xf numFmtId="167" fontId="68" fillId="41" borderId="12" xfId="0" applyNumberFormat="1" applyFont="1" applyFill="1" applyBorder="1" applyAlignment="1" applyProtection="1">
      <alignment vertical="center" wrapText="1"/>
    </xf>
    <xf numFmtId="0" fontId="18" fillId="0" borderId="15" xfId="0" applyNumberFormat="1" applyFont="1" applyFill="1" applyBorder="1" applyAlignment="1" applyProtection="1">
      <alignment horizontal="center" vertical="center" wrapText="1"/>
    </xf>
    <xf numFmtId="1" fontId="18" fillId="0" borderId="55" xfId="0" applyNumberFormat="1" applyFont="1" applyFill="1" applyBorder="1" applyAlignment="1" applyProtection="1">
      <alignment horizontal="center" vertical="center"/>
    </xf>
    <xf numFmtId="1" fontId="18" fillId="0" borderId="106" xfId="0" applyNumberFormat="1" applyFont="1" applyFill="1" applyBorder="1" applyAlignment="1" applyProtection="1">
      <alignment horizontal="center" vertical="center"/>
    </xf>
    <xf numFmtId="0" fontId="68" fillId="41" borderId="69" xfId="0" applyNumberFormat="1" applyFont="1" applyFill="1" applyBorder="1" applyAlignment="1" applyProtection="1">
      <alignment vertical="center" wrapText="1"/>
    </xf>
    <xf numFmtId="0" fontId="68" fillId="41" borderId="111" xfId="0" applyNumberFormat="1" applyFont="1" applyFill="1" applyBorder="1" applyAlignment="1" applyProtection="1">
      <alignment vertical="center"/>
    </xf>
    <xf numFmtId="0" fontId="68" fillId="41" borderId="54" xfId="0" applyNumberFormat="1" applyFont="1" applyFill="1" applyBorder="1" applyAlignment="1" applyProtection="1">
      <alignment vertical="center"/>
    </xf>
    <xf numFmtId="0" fontId="68" fillId="35" borderId="35" xfId="0" applyNumberFormat="1" applyFont="1" applyFill="1" applyBorder="1" applyAlignment="1" applyProtection="1">
      <alignment horizontal="left" vertical="center"/>
    </xf>
    <xf numFmtId="0" fontId="68" fillId="35" borderId="40" xfId="0" applyNumberFormat="1" applyFont="1" applyFill="1" applyBorder="1" applyAlignment="1" applyProtection="1">
      <alignment horizontal="left" vertical="center"/>
    </xf>
    <xf numFmtId="0" fontId="68" fillId="35" borderId="51"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xf numFmtId="0" fontId="9" fillId="0" borderId="50" xfId="0" applyFont="1" applyBorder="1" applyAlignment="1">
      <alignment horizontal="left" vertical="center" wrapText="1"/>
    </xf>
    <xf numFmtId="0" fontId="18" fillId="0" borderId="4" xfId="0" applyNumberFormat="1" applyFont="1" applyFill="1" applyBorder="1" applyAlignment="1" applyProtection="1">
      <alignment horizontal="center" vertical="center"/>
    </xf>
    <xf numFmtId="0" fontId="68" fillId="41" borderId="22" xfId="0" applyNumberFormat="1" applyFont="1" applyFill="1" applyBorder="1" applyAlignment="1" applyProtection="1">
      <alignment horizontal="center" vertical="center"/>
    </xf>
    <xf numFmtId="0" fontId="18" fillId="0" borderId="22" xfId="0" applyNumberFormat="1" applyFont="1" applyFill="1" applyBorder="1" applyAlignment="1" applyProtection="1">
      <alignment horizontal="center" vertical="center"/>
    </xf>
    <xf numFmtId="0" fontId="68" fillId="41" borderId="21" xfId="0" quotePrefix="1" applyNumberFormat="1" applyFont="1" applyFill="1" applyBorder="1" applyAlignment="1" applyProtection="1">
      <alignment horizontal="right" vertical="center" wrapText="1"/>
    </xf>
    <xf numFmtId="0" fontId="65" fillId="0" borderId="0" xfId="0" applyNumberFormat="1" applyFont="1" applyFill="1" applyBorder="1" applyAlignment="1" applyProtection="1"/>
    <xf numFmtId="0" fontId="18" fillId="0" borderId="104" xfId="0" applyNumberFormat="1" applyFont="1" applyFill="1" applyBorder="1" applyAlignment="1" applyProtection="1">
      <alignment horizontal="left" vertical="center" wrapText="1"/>
    </xf>
    <xf numFmtId="0" fontId="10" fillId="0" borderId="126" xfId="0" quotePrefix="1" applyFont="1" applyBorder="1" applyAlignment="1">
      <alignment horizontal="center" vertical="center"/>
    </xf>
    <xf numFmtId="2" fontId="60" fillId="0" borderId="0" xfId="0" quotePrefix="1" applyNumberFormat="1" applyFont="1" applyFill="1" applyBorder="1" applyAlignment="1">
      <alignment horizontal="center" vertical="center"/>
    </xf>
    <xf numFmtId="0" fontId="23" fillId="0" borderId="0" xfId="0" applyFont="1" applyBorder="1" applyAlignment="1">
      <alignment horizontal="left" vertical="center" wrapText="1"/>
    </xf>
    <xf numFmtId="0" fontId="17" fillId="0" borderId="0" xfId="3" applyFont="1" applyFill="1" applyBorder="1" applyAlignment="1">
      <alignment horizontal="right" vertical="center" wrapText="1"/>
    </xf>
    <xf numFmtId="167" fontId="22" fillId="0" borderId="0" xfId="3" applyNumberFormat="1" applyFont="1" applyFill="1" applyBorder="1" applyAlignment="1">
      <alignment horizontal="center" vertical="center" wrapText="1"/>
    </xf>
    <xf numFmtId="0" fontId="15" fillId="0" borderId="127" xfId="0" applyFont="1" applyBorder="1" applyAlignment="1">
      <alignment vertical="center"/>
    </xf>
    <xf numFmtId="167" fontId="21" fillId="0" borderId="103" xfId="0" applyNumberFormat="1" applyFont="1" applyBorder="1" applyAlignment="1">
      <alignment horizontal="center" vertical="center" wrapText="1"/>
    </xf>
    <xf numFmtId="0" fontId="9" fillId="0" borderId="127" xfId="0" applyFont="1" applyBorder="1" applyAlignment="1">
      <alignment horizontal="center" vertical="center" wrapText="1"/>
    </xf>
    <xf numFmtId="167" fontId="23" fillId="0" borderId="103" xfId="0" applyNumberFormat="1" applyFont="1" applyBorder="1" applyAlignment="1">
      <alignment horizontal="center" vertical="center" wrapText="1"/>
    </xf>
    <xf numFmtId="0" fontId="23" fillId="0" borderId="127" xfId="0" applyFont="1" applyBorder="1" applyAlignment="1">
      <alignment horizontal="center" vertical="center"/>
    </xf>
    <xf numFmtId="0" fontId="15" fillId="0" borderId="102" xfId="0" applyFont="1" applyBorder="1" applyAlignment="1">
      <alignment horizontal="justify" vertical="center" wrapText="1"/>
    </xf>
    <xf numFmtId="167" fontId="24" fillId="0" borderId="103" xfId="0" applyNumberFormat="1" applyFont="1" applyBorder="1" applyAlignment="1">
      <alignment horizontal="center" vertical="center" wrapText="1"/>
    </xf>
    <xf numFmtId="0" fontId="9" fillId="0" borderId="127" xfId="0" applyFont="1" applyBorder="1" applyAlignment="1">
      <alignment horizontal="center" vertical="center"/>
    </xf>
    <xf numFmtId="2" fontId="32" fillId="0" borderId="0"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left"/>
    </xf>
    <xf numFmtId="0" fontId="21" fillId="0" borderId="102" xfId="0" applyFont="1" applyBorder="1" applyAlignment="1">
      <alignment horizontal="justify" vertical="center" wrapText="1"/>
    </xf>
    <xf numFmtId="0" fontId="9" fillId="0" borderId="102" xfId="0" applyFont="1" applyBorder="1" applyAlignment="1">
      <alignment horizontal="justify" vertical="center" wrapText="1"/>
    </xf>
    <xf numFmtId="0" fontId="15" fillId="0" borderId="119" xfId="0" applyFont="1" applyBorder="1" applyAlignment="1">
      <alignment horizontal="center" vertical="center" wrapText="1"/>
    </xf>
    <xf numFmtId="0" fontId="25" fillId="0" borderId="102" xfId="0" applyFont="1" applyBorder="1" applyAlignment="1">
      <alignment horizontal="left" vertical="center" wrapText="1"/>
    </xf>
    <xf numFmtId="0" fontId="0" fillId="0" borderId="127" xfId="0" applyBorder="1" applyAlignment="1">
      <alignment horizontal="left" vertical="center"/>
    </xf>
    <xf numFmtId="2" fontId="71" fillId="0" borderId="128" xfId="0" applyNumberFormat="1" applyFont="1" applyFill="1" applyBorder="1" applyAlignment="1">
      <alignment horizontal="center" vertical="center"/>
    </xf>
    <xf numFmtId="0" fontId="66" fillId="0" borderId="129" xfId="0" applyFont="1" applyBorder="1" applyAlignment="1">
      <alignment horizontal="center" vertical="center"/>
    </xf>
    <xf numFmtId="0" fontId="66" fillId="0" borderId="0" xfId="0" applyFont="1" applyBorder="1" applyAlignment="1">
      <alignment horizontal="center" vertical="center"/>
    </xf>
    <xf numFmtId="0" fontId="9" fillId="0" borderId="50" xfId="0" applyFont="1" applyBorder="1" applyAlignment="1">
      <alignment vertical="center" wrapText="1"/>
    </xf>
    <xf numFmtId="0" fontId="18" fillId="0" borderId="51" xfId="0" applyFont="1" applyBorder="1" applyAlignment="1">
      <alignment vertical="top" wrapText="1"/>
    </xf>
    <xf numFmtId="0" fontId="8" fillId="0" borderId="10" xfId="0" applyFont="1" applyBorder="1" applyAlignment="1">
      <alignment vertical="center" wrapText="1"/>
    </xf>
    <xf numFmtId="166" fontId="17" fillId="0" borderId="127" xfId="0" applyNumberFormat="1" applyFont="1" applyFill="1" applyBorder="1" applyAlignment="1">
      <alignment horizontal="center" vertical="center"/>
    </xf>
    <xf numFmtId="4" fontId="7" fillId="0" borderId="119" xfId="0" applyNumberFormat="1" applyFont="1" applyFill="1" applyBorder="1" applyAlignment="1">
      <alignment horizontal="right" vertical="center"/>
    </xf>
    <xf numFmtId="166" fontId="17" fillId="0" borderId="127" xfId="0" applyNumberFormat="1" applyFont="1" applyBorder="1" applyAlignment="1">
      <alignment horizontal="center" vertical="center"/>
    </xf>
    <xf numFmtId="4" fontId="7" fillId="0" borderId="119" xfId="0" applyNumberFormat="1" applyFont="1" applyBorder="1" applyAlignment="1">
      <alignment horizontal="right" vertical="center"/>
    </xf>
    <xf numFmtId="14" fontId="22" fillId="0" borderId="11" xfId="2" applyNumberFormat="1" applyFont="1" applyBorder="1" applyAlignment="1">
      <alignment horizontal="right" vertical="center"/>
    </xf>
    <xf numFmtId="0" fontId="68" fillId="0" borderId="115" xfId="0" applyNumberFormat="1" applyFont="1" applyFill="1" applyBorder="1" applyAlignment="1" applyProtection="1">
      <alignment vertical="center"/>
    </xf>
    <xf numFmtId="0" fontId="18" fillId="0" borderId="113" xfId="0" applyNumberFormat="1" applyFont="1" applyFill="1" applyBorder="1" applyAlignment="1" applyProtection="1">
      <alignment vertical="center"/>
    </xf>
    <xf numFmtId="0" fontId="18" fillId="0" borderId="114" xfId="0" applyNumberFormat="1" applyFont="1" applyFill="1" applyBorder="1" applyAlignment="1" applyProtection="1">
      <alignment vertical="center"/>
    </xf>
    <xf numFmtId="0" fontId="9" fillId="0" borderId="8" xfId="0" applyFont="1" applyBorder="1" applyAlignment="1">
      <alignment horizontal="left" vertical="center" wrapText="1"/>
    </xf>
    <xf numFmtId="0" fontId="103" fillId="0" borderId="14" xfId="56" applyBorder="1" applyAlignment="1">
      <alignment horizontal="center" vertical="center" wrapText="1"/>
    </xf>
    <xf numFmtId="0" fontId="15" fillId="0" borderId="6" xfId="0" applyFont="1" applyBorder="1" applyAlignment="1">
      <alignment horizontal="center" vertical="center" wrapText="1"/>
    </xf>
    <xf numFmtId="167" fontId="23" fillId="0" borderId="11" xfId="0" applyNumberFormat="1" applyFont="1" applyBorder="1" applyAlignment="1">
      <alignment horizontal="center" vertical="center" wrapText="1"/>
    </xf>
    <xf numFmtId="0" fontId="15" fillId="0" borderId="127" xfId="0" applyFont="1" applyBorder="1" applyAlignment="1">
      <alignment horizontal="center" vertical="center"/>
    </xf>
    <xf numFmtId="0" fontId="23" fillId="0" borderId="21" xfId="0" applyFont="1" applyBorder="1" applyAlignment="1">
      <alignment horizontal="center" vertical="center"/>
    </xf>
    <xf numFmtId="0" fontId="23" fillId="0" borderId="12" xfId="0" applyFont="1" applyBorder="1" applyAlignment="1">
      <alignment horizontal="left" vertical="center" wrapText="1"/>
    </xf>
    <xf numFmtId="0" fontId="15" fillId="0" borderId="12" xfId="0" applyFont="1" applyBorder="1" applyAlignment="1">
      <alignment horizontal="center" vertical="center" wrapText="1"/>
    </xf>
    <xf numFmtId="167" fontId="23" fillId="0" borderId="12" xfId="0" applyNumberFormat="1" applyFont="1" applyBorder="1" applyAlignment="1">
      <alignment horizontal="center" vertical="center" wrapText="1"/>
    </xf>
    <xf numFmtId="167" fontId="9" fillId="0" borderId="12" xfId="0" applyNumberFormat="1" applyFont="1" applyBorder="1" applyAlignment="1">
      <alignment horizontal="center" vertical="center"/>
    </xf>
    <xf numFmtId="167" fontId="23" fillId="0" borderId="54" xfId="0" applyNumberFormat="1" applyFont="1" applyBorder="1" applyAlignment="1">
      <alignment horizontal="center" vertical="center" wrapText="1"/>
    </xf>
    <xf numFmtId="0" fontId="23" fillId="0" borderId="19" xfId="0" applyFont="1" applyBorder="1" applyAlignment="1">
      <alignment horizontal="center" vertical="center"/>
    </xf>
    <xf numFmtId="0" fontId="23" fillId="0" borderId="20" xfId="0" applyFont="1" applyBorder="1" applyAlignment="1">
      <alignment horizontal="left" vertical="center" wrapText="1"/>
    </xf>
    <xf numFmtId="0" fontId="15" fillId="0" borderId="20" xfId="0" applyFont="1" applyBorder="1" applyAlignment="1">
      <alignment horizontal="center" vertical="center" wrapText="1"/>
    </xf>
    <xf numFmtId="167" fontId="23" fillId="0" borderId="20" xfId="0" applyNumberFormat="1" applyFont="1" applyBorder="1" applyAlignment="1">
      <alignment horizontal="center" vertical="center" wrapText="1"/>
    </xf>
    <xf numFmtId="167" fontId="9" fillId="0" borderId="20" xfId="0" applyNumberFormat="1" applyFont="1" applyBorder="1" applyAlignment="1">
      <alignment horizontal="center" vertical="center"/>
    </xf>
    <xf numFmtId="0" fontId="23" fillId="0" borderId="28" xfId="0" applyFont="1" applyBorder="1" applyAlignment="1">
      <alignment horizontal="center" vertical="center"/>
    </xf>
    <xf numFmtId="0" fontId="10" fillId="2" borderId="116" xfId="3" applyFont="1" applyFill="1" applyBorder="1" applyAlignment="1">
      <alignment horizontal="center" vertical="center"/>
    </xf>
    <xf numFmtId="167" fontId="22" fillId="2" borderId="130" xfId="3" applyNumberFormat="1" applyFont="1" applyFill="1" applyBorder="1" applyAlignment="1">
      <alignment horizontal="center" vertical="center" wrapText="1"/>
    </xf>
    <xf numFmtId="0" fontId="9" fillId="0" borderId="12" xfId="0" applyFont="1" applyBorder="1" applyAlignment="1">
      <alignment horizontal="left" vertical="center" wrapText="1"/>
    </xf>
    <xf numFmtId="4" fontId="17" fillId="6" borderId="20" xfId="0" applyNumberFormat="1" applyFont="1" applyFill="1" applyBorder="1" applyAlignment="1">
      <alignment horizontal="right" vertical="center"/>
    </xf>
    <xf numFmtId="0" fontId="21" fillId="0" borderId="123" xfId="0" applyFont="1" applyBorder="1" applyAlignment="1">
      <alignment horizontal="justify" vertical="center" wrapText="1"/>
    </xf>
    <xf numFmtId="167" fontId="15" fillId="0" borderId="103" xfId="0" applyNumberFormat="1" applyFont="1" applyBorder="1" applyAlignment="1">
      <alignment horizontal="center" vertical="center" wrapText="1"/>
    </xf>
    <xf numFmtId="167" fontId="17" fillId="2" borderId="130" xfId="3" applyNumberFormat="1" applyFont="1" applyFill="1" applyBorder="1" applyAlignment="1">
      <alignment horizontal="center" vertical="center" wrapText="1"/>
    </xf>
    <xf numFmtId="167" fontId="21" fillId="0" borderId="128" xfId="0" applyNumberFormat="1" applyFont="1" applyBorder="1" applyAlignment="1">
      <alignment horizontal="center" vertical="center" wrapText="1"/>
    </xf>
    <xf numFmtId="167" fontId="23" fillId="0" borderId="26" xfId="0" applyNumberFormat="1" applyFont="1" applyBorder="1" applyAlignment="1">
      <alignment horizontal="center" vertical="center" wrapText="1"/>
    </xf>
    <xf numFmtId="0" fontId="21" fillId="0" borderId="123" xfId="0" applyFont="1" applyBorder="1" applyAlignment="1">
      <alignment horizontal="center" vertical="center" wrapText="1"/>
    </xf>
    <xf numFmtId="171" fontId="21" fillId="0" borderId="123" xfId="0" applyNumberFormat="1" applyFont="1" applyBorder="1" applyAlignment="1">
      <alignment horizontal="center" vertical="center" wrapText="1"/>
    </xf>
    <xf numFmtId="0" fontId="21" fillId="0" borderId="31" xfId="0" applyFont="1" applyBorder="1" applyAlignment="1">
      <alignment horizontal="justify" vertical="center" wrapText="1"/>
    </xf>
    <xf numFmtId="167" fontId="21" fillId="0" borderId="26" xfId="0" applyNumberFormat="1" applyFont="1" applyBorder="1" applyAlignment="1">
      <alignment horizontal="center" vertical="center" wrapText="1"/>
    </xf>
    <xf numFmtId="0" fontId="9" fillId="0" borderId="102" xfId="0" applyFont="1" applyBorder="1" applyAlignment="1">
      <alignment horizontal="left" vertical="center" wrapText="1"/>
    </xf>
    <xf numFmtId="0" fontId="9" fillId="0" borderId="20" xfId="0" applyFont="1" applyBorder="1" applyAlignment="1">
      <alignment horizontal="left" vertical="center" wrapText="1"/>
    </xf>
    <xf numFmtId="172" fontId="9" fillId="0" borderId="20" xfId="0" applyNumberFormat="1" applyFont="1" applyBorder="1" applyAlignment="1">
      <alignment horizontal="center" vertical="center"/>
    </xf>
    <xf numFmtId="0" fontId="10" fillId="0" borderId="33" xfId="3" applyFont="1" applyFill="1" applyBorder="1" applyAlignment="1">
      <alignment horizontal="center" vertical="center"/>
    </xf>
    <xf numFmtId="0" fontId="17" fillId="2" borderId="33" xfId="0" applyFont="1" applyFill="1" applyBorder="1" applyAlignment="1">
      <alignment horizontal="center" vertical="center"/>
    </xf>
    <xf numFmtId="0" fontId="22" fillId="5" borderId="34" xfId="0" applyFont="1" applyFill="1" applyBorder="1" applyAlignment="1">
      <alignment horizontal="justify" vertical="center" wrapText="1"/>
    </xf>
    <xf numFmtId="0" fontId="17" fillId="5" borderId="34" xfId="3" applyFont="1" applyFill="1" applyBorder="1" applyAlignment="1">
      <alignment vertical="center"/>
    </xf>
    <xf numFmtId="0" fontId="17" fillId="5" borderId="34" xfId="3" applyFont="1" applyFill="1" applyBorder="1" applyAlignment="1">
      <alignment horizontal="right" vertical="center"/>
    </xf>
    <xf numFmtId="2" fontId="17" fillId="5" borderId="36" xfId="3" applyNumberFormat="1" applyFont="1" applyFill="1" applyBorder="1" applyAlignment="1">
      <alignment vertical="center"/>
    </xf>
    <xf numFmtId="167" fontId="10" fillId="0" borderId="36" xfId="3" applyNumberFormat="1" applyFont="1" applyFill="1" applyBorder="1" applyAlignment="1">
      <alignment horizontal="center" vertical="center" wrapText="1"/>
    </xf>
    <xf numFmtId="0" fontId="15" fillId="0" borderId="123" xfId="0" applyFont="1" applyBorder="1" applyAlignment="1">
      <alignment horizontal="center" vertical="center" wrapText="1"/>
    </xf>
    <xf numFmtId="167" fontId="9" fillId="0" borderId="123" xfId="0" applyNumberFormat="1" applyFont="1" applyBorder="1" applyAlignment="1">
      <alignment horizontal="center" vertical="center"/>
    </xf>
    <xf numFmtId="4" fontId="17" fillId="6" borderId="102" xfId="0" applyNumberFormat="1" applyFont="1" applyFill="1" applyBorder="1" applyAlignment="1">
      <alignment horizontal="right" vertical="center"/>
    </xf>
    <xf numFmtId="0" fontId="15" fillId="0" borderId="21" xfId="0" applyFont="1" applyBorder="1" applyAlignment="1">
      <alignment horizontal="center" vertical="center"/>
    </xf>
    <xf numFmtId="171" fontId="9" fillId="0" borderId="12" xfId="0" applyNumberFormat="1" applyFont="1" applyBorder="1" applyAlignment="1">
      <alignment horizontal="center" vertical="center"/>
    </xf>
    <xf numFmtId="0" fontId="25" fillId="0" borderId="12" xfId="0" applyFont="1" applyBorder="1" applyAlignment="1">
      <alignment wrapText="1"/>
    </xf>
    <xf numFmtId="2" fontId="15" fillId="0" borderId="12" xfId="0" applyNumberFormat="1" applyFont="1" applyBorder="1" applyAlignment="1">
      <alignment horizontal="center" vertical="center"/>
    </xf>
    <xf numFmtId="4" fontId="17" fillId="6" borderId="12" xfId="0" applyNumberFormat="1" applyFont="1" applyFill="1" applyBorder="1" applyAlignment="1">
      <alignment horizontal="right" vertical="center"/>
    </xf>
    <xf numFmtId="167" fontId="24" fillId="0" borderId="17" xfId="0" applyNumberFormat="1" applyFont="1" applyBorder="1" applyAlignment="1">
      <alignment horizontal="center" vertical="center" wrapText="1"/>
    </xf>
    <xf numFmtId="0" fontId="21" fillId="0" borderId="102" xfId="0" applyFont="1" applyBorder="1" applyAlignment="1">
      <alignment horizontal="left" vertical="center" wrapText="1"/>
    </xf>
    <xf numFmtId="0" fontId="23" fillId="0" borderId="22" xfId="0" applyFont="1" applyFill="1" applyBorder="1" applyAlignment="1">
      <alignment horizontal="center" vertical="center"/>
    </xf>
    <xf numFmtId="0" fontId="9" fillId="0" borderId="123" xfId="0" applyFont="1" applyBorder="1" applyAlignment="1">
      <alignment horizontal="left" vertical="center" wrapText="1"/>
    </xf>
    <xf numFmtId="0" fontId="104" fillId="0" borderId="0" xfId="0" applyFont="1"/>
    <xf numFmtId="0" fontId="69" fillId="0" borderId="0" xfId="0" applyFont="1"/>
    <xf numFmtId="0" fontId="21" fillId="0" borderId="20" xfId="0" applyFont="1" applyBorder="1" applyAlignment="1">
      <alignment horizontal="center" vertical="center" wrapText="1"/>
    </xf>
    <xf numFmtId="171" fontId="21" fillId="0" borderId="20" xfId="0" applyNumberFormat="1" applyFont="1" applyBorder="1" applyAlignment="1">
      <alignment horizontal="center" vertical="center" wrapText="1"/>
    </xf>
    <xf numFmtId="0" fontId="17" fillId="6" borderId="20" xfId="0" applyFont="1" applyFill="1" applyBorder="1" applyAlignment="1">
      <alignment horizontal="center" vertical="center" wrapText="1"/>
    </xf>
    <xf numFmtId="171" fontId="9" fillId="0" borderId="20" xfId="0" applyNumberFormat="1" applyFont="1" applyBorder="1" applyAlignment="1">
      <alignment horizontal="center" vertical="center"/>
    </xf>
    <xf numFmtId="171" fontId="9" fillId="0" borderId="123" xfId="0" applyNumberFormat="1" applyFont="1" applyBorder="1" applyAlignment="1">
      <alignment horizontal="center" vertical="center"/>
    </xf>
    <xf numFmtId="0" fontId="21" fillId="0" borderId="20" xfId="0" applyFont="1" applyBorder="1" applyAlignment="1">
      <alignment horizontal="justify" vertical="center" wrapText="1"/>
    </xf>
    <xf numFmtId="167" fontId="21" fillId="0" borderId="38" xfId="0" applyNumberFormat="1" applyFont="1" applyBorder="1" applyAlignment="1">
      <alignment horizontal="center" vertical="center" wrapText="1"/>
    </xf>
    <xf numFmtId="0" fontId="0" fillId="0" borderId="115" xfId="0" applyBorder="1"/>
    <xf numFmtId="0" fontId="31" fillId="30" borderId="127" xfId="5" applyFont="1" applyFill="1" applyBorder="1" applyAlignment="1">
      <alignment horizontal="center" vertical="center" wrapText="1"/>
    </xf>
    <xf numFmtId="173" fontId="35" fillId="0" borderId="0" xfId="1" applyNumberFormat="1" applyFont="1" applyFill="1" applyBorder="1" applyAlignment="1">
      <alignment vertical="center" wrapText="1"/>
    </xf>
    <xf numFmtId="0" fontId="16" fillId="0" borderId="0" xfId="0" applyFont="1" applyAlignment="1">
      <alignment horizontal="left" vertical="center" wrapText="1"/>
    </xf>
    <xf numFmtId="0" fontId="10" fillId="0" borderId="125" xfId="0" applyFont="1" applyFill="1" applyBorder="1" applyAlignment="1">
      <alignment horizontal="center" vertical="center"/>
    </xf>
    <xf numFmtId="0" fontId="10" fillId="0" borderId="123" xfId="0" quotePrefix="1" applyFont="1" applyBorder="1" applyAlignment="1">
      <alignment horizontal="center" vertical="center"/>
    </xf>
    <xf numFmtId="0" fontId="10" fillId="0" borderId="123" xfId="0" applyFont="1" applyBorder="1" applyAlignment="1">
      <alignment horizontal="right" vertical="center"/>
    </xf>
    <xf numFmtId="4" fontId="10" fillId="0" borderId="123" xfId="0" applyNumberFormat="1" applyFont="1" applyBorder="1" applyAlignment="1">
      <alignment horizontal="right" vertical="center"/>
    </xf>
    <xf numFmtId="4" fontId="17" fillId="0" borderId="128" xfId="0" applyNumberFormat="1" applyFont="1" applyBorder="1" applyAlignment="1">
      <alignment horizontal="right" vertical="center"/>
    </xf>
    <xf numFmtId="4" fontId="10" fillId="0" borderId="126" xfId="0" applyNumberFormat="1" applyFont="1" applyBorder="1" applyAlignment="1">
      <alignment horizontal="right" vertical="center"/>
    </xf>
    <xf numFmtId="4" fontId="10" fillId="0" borderId="128" xfId="0" applyNumberFormat="1" applyFont="1" applyBorder="1" applyAlignment="1">
      <alignment horizontal="right" vertical="center"/>
    </xf>
    <xf numFmtId="0" fontId="0" fillId="0" borderId="27" xfId="0" applyBorder="1" applyAlignment="1">
      <alignment horizontal="left" vertical="center"/>
    </xf>
    <xf numFmtId="2" fontId="71" fillId="0" borderId="1" xfId="0" applyNumberFormat="1" applyFont="1" applyFill="1" applyBorder="1" applyAlignment="1">
      <alignment horizontal="center" vertical="center"/>
    </xf>
    <xf numFmtId="0" fontId="9" fillId="0" borderId="33" xfId="0" applyFont="1" applyBorder="1" applyAlignment="1">
      <alignment vertical="center" wrapText="1"/>
    </xf>
    <xf numFmtId="167" fontId="100" fillId="0" borderId="0" xfId="0" applyNumberFormat="1" applyFont="1" applyFill="1" applyBorder="1" applyAlignment="1" applyProtection="1"/>
    <xf numFmtId="0" fontId="25" fillId="0" borderId="0" xfId="0" applyFont="1" applyAlignment="1">
      <alignment horizontal="left" vertical="center"/>
    </xf>
    <xf numFmtId="2" fontId="18" fillId="0" borderId="105" xfId="0" quotePrefix="1" applyNumberFormat="1" applyFont="1" applyFill="1" applyBorder="1" applyAlignment="1" applyProtection="1">
      <alignment vertical="center"/>
    </xf>
    <xf numFmtId="167" fontId="32" fillId="0" borderId="0" xfId="0" applyNumberFormat="1" applyFont="1" applyFill="1" applyBorder="1" applyAlignment="1" applyProtection="1">
      <alignment vertical="center" wrapText="1"/>
    </xf>
    <xf numFmtId="167" fontId="105" fillId="0" borderId="105" xfId="0" quotePrefix="1" applyNumberFormat="1" applyFont="1" applyFill="1" applyBorder="1" applyAlignment="1" applyProtection="1">
      <alignment horizontal="center" vertical="center" wrapText="1"/>
    </xf>
    <xf numFmtId="4" fontId="17" fillId="6" borderId="123" xfId="0" applyNumberFormat="1" applyFont="1" applyFill="1" applyBorder="1" applyAlignment="1">
      <alignment horizontal="right" vertical="center"/>
    </xf>
    <xf numFmtId="167" fontId="22" fillId="2" borderId="130" xfId="0" applyNumberFormat="1" applyFont="1" applyFill="1" applyBorder="1" applyAlignment="1">
      <alignment horizontal="center" vertical="center" wrapText="1"/>
    </xf>
    <xf numFmtId="167" fontId="18" fillId="0" borderId="119" xfId="0" applyNumberFormat="1" applyFont="1" applyFill="1" applyBorder="1" applyAlignment="1" applyProtection="1">
      <alignment horizontal="center" vertical="center" wrapText="1"/>
    </xf>
    <xf numFmtId="167" fontId="18" fillId="0" borderId="113" xfId="0" applyNumberFormat="1" applyFont="1" applyFill="1" applyBorder="1" applyAlignment="1" applyProtection="1">
      <alignment horizontal="center" vertical="center" wrapText="1"/>
    </xf>
    <xf numFmtId="167" fontId="18" fillId="0" borderId="114" xfId="0" applyNumberFormat="1" applyFont="1" applyFill="1" applyBorder="1" applyAlignment="1" applyProtection="1">
      <alignment horizontal="center" vertical="center" wrapText="1"/>
    </xf>
    <xf numFmtId="167" fontId="18" fillId="0" borderId="123" xfId="0" applyNumberFormat="1" applyFont="1" applyFill="1" applyBorder="1" applyAlignment="1" applyProtection="1">
      <alignment horizontal="center" vertical="center" wrapText="1"/>
    </xf>
    <xf numFmtId="167" fontId="68" fillId="41" borderId="53" xfId="0" applyNumberFormat="1" applyFont="1" applyFill="1" applyBorder="1" applyAlignment="1" applyProtection="1">
      <alignment horizontal="center" vertical="center" wrapText="1"/>
    </xf>
    <xf numFmtId="4" fontId="65" fillId="0" borderId="0" xfId="0" applyNumberFormat="1" applyFont="1" applyBorder="1" applyAlignment="1">
      <alignment horizontal="left" vertical="center"/>
    </xf>
    <xf numFmtId="0" fontId="68" fillId="41" borderId="4" xfId="0" applyNumberFormat="1" applyFont="1" applyFill="1" applyBorder="1" applyAlignment="1" applyProtection="1">
      <alignment horizontal="center" vertical="center" wrapText="1"/>
    </xf>
    <xf numFmtId="167" fontId="18" fillId="41" borderId="53" xfId="0" applyNumberFormat="1" applyFont="1" applyFill="1" applyBorder="1" applyAlignment="1" applyProtection="1">
      <alignment horizontal="center" vertical="center" wrapText="1"/>
    </xf>
    <xf numFmtId="167" fontId="68" fillId="41" borderId="53" xfId="0" quotePrefix="1" applyNumberFormat="1" applyFont="1" applyFill="1" applyBorder="1" applyAlignment="1" applyProtection="1">
      <alignment horizontal="center" vertical="center" wrapText="1"/>
    </xf>
    <xf numFmtId="0" fontId="23" fillId="0" borderId="26" xfId="0" applyFont="1" applyFill="1" applyBorder="1" applyAlignment="1">
      <alignment horizontal="left" vertical="center" wrapText="1"/>
    </xf>
    <xf numFmtId="0" fontId="23" fillId="0" borderId="26" xfId="0" applyFont="1" applyFill="1" applyBorder="1" applyAlignment="1">
      <alignment horizontal="right" vertical="center" wrapText="1"/>
    </xf>
    <xf numFmtId="0" fontId="23" fillId="0" borderId="11" xfId="0" applyFont="1" applyFill="1" applyBorder="1" applyAlignment="1">
      <alignment horizontal="left" vertical="center" wrapText="1"/>
    </xf>
    <xf numFmtId="0" fontId="23" fillId="0" borderId="11" xfId="0" applyFont="1" applyFill="1" applyBorder="1" applyAlignment="1">
      <alignment horizontal="right" vertical="center" wrapText="1"/>
    </xf>
    <xf numFmtId="0" fontId="9" fillId="0" borderId="11"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9" fillId="0" borderId="11" xfId="0" applyFont="1" applyFill="1" applyBorder="1" applyAlignment="1">
      <alignment horizontal="right" vertical="center" wrapText="1"/>
    </xf>
    <xf numFmtId="0" fontId="23" fillId="0" borderId="44" xfId="0" applyFont="1" applyFill="1" applyBorder="1" applyAlignment="1">
      <alignment horizontal="right" vertical="center" wrapText="1"/>
    </xf>
    <xf numFmtId="0" fontId="23" fillId="0" borderId="7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23" fillId="0" borderId="72" xfId="0" applyFont="1" applyFill="1" applyBorder="1" applyAlignment="1">
      <alignment horizontal="left" vertical="center" wrapText="1"/>
    </xf>
    <xf numFmtId="0" fontId="71" fillId="0" borderId="72" xfId="0" applyFont="1" applyFill="1" applyBorder="1" applyAlignment="1">
      <alignment wrapText="1"/>
    </xf>
    <xf numFmtId="0" fontId="0" fillId="0" borderId="72" xfId="0" applyFill="1" applyBorder="1" applyAlignment="1">
      <alignment wrapText="1"/>
    </xf>
    <xf numFmtId="0" fontId="23" fillId="0" borderId="72" xfId="0" applyFont="1" applyFill="1" applyBorder="1" applyAlignment="1">
      <alignment wrapText="1"/>
    </xf>
    <xf numFmtId="0" fontId="23" fillId="0" borderId="73" xfId="0" applyFont="1" applyFill="1" applyBorder="1" applyAlignment="1">
      <alignment wrapText="1"/>
    </xf>
    <xf numFmtId="167" fontId="10" fillId="0" borderId="6" xfId="0" applyNumberFormat="1" applyFont="1" applyFill="1" applyBorder="1" applyAlignment="1">
      <alignment horizontal="right" vertical="center"/>
    </xf>
    <xf numFmtId="2" fontId="10" fillId="0" borderId="123" xfId="0" applyNumberFormat="1" applyFont="1" applyFill="1" applyBorder="1" applyAlignment="1">
      <alignment horizontal="right" vertical="center"/>
    </xf>
    <xf numFmtId="2" fontId="10" fillId="0" borderId="6" xfId="0" applyNumberFormat="1" applyFont="1" applyFill="1" applyBorder="1" applyAlignment="1">
      <alignment horizontal="right" vertical="center"/>
    </xf>
    <xf numFmtId="2" fontId="7" fillId="5" borderId="20" xfId="0" applyNumberFormat="1" applyFont="1" applyFill="1" applyBorder="1" applyAlignment="1">
      <alignment horizontal="right" vertical="center" wrapText="1"/>
    </xf>
    <xf numFmtId="2" fontId="7" fillId="5" borderId="18" xfId="0" applyNumberFormat="1" applyFont="1" applyFill="1" applyBorder="1" applyAlignment="1">
      <alignment horizontal="right" vertical="center" wrapText="1"/>
    </xf>
    <xf numFmtId="2" fontId="17" fillId="5" borderId="18" xfId="0" applyNumberFormat="1" applyFont="1" applyFill="1" applyBorder="1" applyAlignment="1">
      <alignment horizontal="right" vertical="center" wrapText="1"/>
    </xf>
    <xf numFmtId="2" fontId="17" fillId="5" borderId="18" xfId="0" applyNumberFormat="1" applyFont="1" applyFill="1" applyBorder="1" applyAlignment="1">
      <alignment horizontal="center" vertical="center" wrapText="1"/>
    </xf>
    <xf numFmtId="4" fontId="10" fillId="0" borderId="123" xfId="0" applyNumberFormat="1" applyFont="1" applyFill="1" applyBorder="1" applyAlignment="1">
      <alignment horizontal="right" vertical="center" wrapText="1"/>
    </xf>
    <xf numFmtId="4" fontId="10" fillId="3" borderId="123" xfId="0" applyNumberFormat="1" applyFont="1" applyFill="1" applyBorder="1" applyAlignment="1">
      <alignment horizontal="right" vertical="center"/>
    </xf>
    <xf numFmtId="4" fontId="10" fillId="32" borderId="17" xfId="0" applyNumberFormat="1" applyFont="1" applyFill="1" applyBorder="1" applyAlignment="1">
      <alignment horizontal="right" vertical="center"/>
    </xf>
    <xf numFmtId="0" fontId="10" fillId="0" borderId="19" xfId="0" quotePrefix="1" applyFont="1" applyBorder="1" applyAlignment="1">
      <alignment horizontal="center" vertical="center"/>
    </xf>
    <xf numFmtId="4" fontId="10" fillId="0" borderId="20" xfId="0" applyNumberFormat="1" applyFont="1" applyBorder="1" applyAlignment="1">
      <alignment horizontal="right" vertical="center"/>
    </xf>
    <xf numFmtId="4" fontId="10" fillId="0" borderId="38" xfId="0" applyNumberFormat="1" applyFont="1" applyBorder="1" applyAlignment="1">
      <alignment horizontal="right" vertical="center"/>
    </xf>
    <xf numFmtId="0" fontId="10" fillId="32" borderId="28" xfId="0" applyFont="1" applyFill="1" applyBorder="1" applyAlignment="1">
      <alignment horizontal="center" vertical="center"/>
    </xf>
    <xf numFmtId="0" fontId="10" fillId="32" borderId="6" xfId="0" quotePrefix="1" applyFont="1" applyFill="1" applyBorder="1" applyAlignment="1">
      <alignment horizontal="center" vertical="center"/>
    </xf>
    <xf numFmtId="0" fontId="17" fillId="32" borderId="6" xfId="0" quotePrefix="1" applyFont="1" applyFill="1" applyBorder="1" applyAlignment="1">
      <alignment horizontal="left" vertical="center"/>
    </xf>
    <xf numFmtId="2" fontId="10" fillId="32" borderId="6" xfId="0" applyNumberFormat="1" applyFont="1" applyFill="1" applyBorder="1" applyAlignment="1">
      <alignment horizontal="right" vertical="center"/>
    </xf>
    <xf numFmtId="4" fontId="10" fillId="32" borderId="6" xfId="0" applyNumberFormat="1" applyFont="1" applyFill="1" applyBorder="1" applyAlignment="1">
      <alignment horizontal="right" vertical="center" wrapText="1"/>
    </xf>
    <xf numFmtId="4" fontId="10" fillId="32" borderId="6" xfId="0" applyNumberFormat="1" applyFont="1" applyFill="1" applyBorder="1" applyAlignment="1">
      <alignment horizontal="right" vertical="center"/>
    </xf>
    <xf numFmtId="4" fontId="10" fillId="32" borderId="13" xfId="0" applyNumberFormat="1" applyFont="1" applyFill="1" applyBorder="1" applyAlignment="1">
      <alignment horizontal="right" vertical="center"/>
    </xf>
    <xf numFmtId="0" fontId="10" fillId="0" borderId="127" xfId="0" quotePrefix="1" applyFont="1" applyBorder="1" applyAlignment="1">
      <alignment horizontal="center" vertical="center"/>
    </xf>
    <xf numFmtId="0" fontId="10" fillId="0" borderId="123" xfId="0" applyFont="1" applyBorder="1" applyAlignment="1">
      <alignment horizontal="left" vertical="center" wrapText="1"/>
    </xf>
    <xf numFmtId="0" fontId="10" fillId="0" borderId="131" xfId="0" quotePrefix="1" applyFont="1" applyBorder="1" applyAlignment="1">
      <alignment horizontal="center" vertical="center"/>
    </xf>
    <xf numFmtId="0" fontId="10" fillId="0" borderId="131" xfId="0" quotePrefix="1" applyFont="1" applyBorder="1" applyAlignment="1">
      <alignment horizontal="left" vertical="center" wrapText="1"/>
    </xf>
    <xf numFmtId="2" fontId="10" fillId="0" borderId="131" xfId="0" applyNumberFormat="1" applyFont="1" applyFill="1" applyBorder="1" applyAlignment="1">
      <alignment horizontal="right" vertical="center"/>
    </xf>
    <xf numFmtId="0" fontId="10" fillId="0" borderId="131" xfId="0" applyFont="1" applyBorder="1" applyAlignment="1">
      <alignment horizontal="right" vertical="center"/>
    </xf>
    <xf numFmtId="4" fontId="10" fillId="0" borderId="131" xfId="0" applyNumberFormat="1" applyFont="1" applyBorder="1" applyAlignment="1">
      <alignment horizontal="right" vertical="center"/>
    </xf>
    <xf numFmtId="4" fontId="17" fillId="0" borderId="130" xfId="0" applyNumberFormat="1" applyFont="1" applyBorder="1" applyAlignment="1">
      <alignment horizontal="right" vertical="center"/>
    </xf>
    <xf numFmtId="4" fontId="10" fillId="0" borderId="17" xfId="0" applyNumberFormat="1" applyFont="1" applyBorder="1" applyAlignment="1">
      <alignment horizontal="right" vertical="center"/>
    </xf>
    <xf numFmtId="0" fontId="15" fillId="0" borderId="131" xfId="0" applyFont="1" applyBorder="1" applyAlignment="1">
      <alignment horizontal="left" vertical="center" wrapText="1"/>
    </xf>
    <xf numFmtId="0" fontId="17" fillId="32" borderId="123" xfId="0" quotePrefix="1" applyFont="1" applyFill="1" applyBorder="1" applyAlignment="1">
      <alignment horizontal="left" vertical="center"/>
    </xf>
    <xf numFmtId="0" fontId="17" fillId="32" borderId="21" xfId="0" applyFont="1" applyFill="1" applyBorder="1" applyAlignment="1">
      <alignment horizontal="center" vertical="center"/>
    </xf>
    <xf numFmtId="167" fontId="10" fillId="0" borderId="123" xfId="0" applyNumberFormat="1" applyFont="1" applyFill="1" applyBorder="1" applyAlignment="1">
      <alignment horizontal="right" vertical="center"/>
    </xf>
    <xf numFmtId="2" fontId="15" fillId="3" borderId="123" xfId="0" applyNumberFormat="1" applyFont="1" applyFill="1" applyBorder="1" applyAlignment="1">
      <alignment horizontal="right" vertical="center"/>
    </xf>
    <xf numFmtId="0" fontId="10" fillId="0" borderId="126" xfId="0" applyFont="1" applyFill="1" applyBorder="1" applyAlignment="1">
      <alignment horizontal="center" vertical="center"/>
    </xf>
    <xf numFmtId="4" fontId="10" fillId="3" borderId="123" xfId="0" applyNumberFormat="1" applyFont="1" applyFill="1" applyBorder="1" applyAlignment="1">
      <alignment horizontal="right" vertical="center" wrapText="1"/>
    </xf>
    <xf numFmtId="173" fontId="10" fillId="3" borderId="123" xfId="0" applyNumberFormat="1" applyFont="1" applyFill="1" applyBorder="1" applyAlignment="1">
      <alignment horizontal="right" vertical="center" wrapText="1"/>
    </xf>
    <xf numFmtId="0" fontId="27" fillId="0" borderId="123" xfId="0" applyFont="1" applyBorder="1" applyAlignment="1">
      <alignment horizontal="center" vertical="center"/>
    </xf>
    <xf numFmtId="4" fontId="10" fillId="33" borderId="126" xfId="0" applyNumberFormat="1" applyFont="1" applyFill="1" applyBorder="1" applyAlignment="1">
      <alignment horizontal="right" vertical="center"/>
    </xf>
    <xf numFmtId="4" fontId="10" fillId="33" borderId="128" xfId="0" applyNumberFormat="1" applyFont="1" applyFill="1" applyBorder="1" applyAlignment="1">
      <alignment horizontal="right" vertical="center"/>
    </xf>
    <xf numFmtId="167" fontId="10" fillId="0" borderId="119" xfId="0" applyNumberFormat="1" applyFont="1" applyFill="1" applyBorder="1" applyAlignment="1">
      <alignment horizontal="right" vertical="center" wrapText="1"/>
    </xf>
    <xf numFmtId="0" fontId="30" fillId="0" borderId="123" xfId="0" applyFont="1" applyBorder="1" applyAlignment="1">
      <alignment horizontal="center" vertical="center"/>
    </xf>
    <xf numFmtId="0" fontId="10" fillId="0" borderId="131" xfId="0" applyFont="1" applyBorder="1" applyAlignment="1">
      <alignment horizontal="center" vertical="center"/>
    </xf>
    <xf numFmtId="0" fontId="10" fillId="0" borderId="131" xfId="0" applyFont="1" applyBorder="1" applyAlignment="1">
      <alignment horizontal="left" vertical="center" wrapText="1"/>
    </xf>
    <xf numFmtId="4" fontId="10" fillId="0" borderId="131" xfId="0" applyNumberFormat="1" applyFont="1" applyFill="1" applyBorder="1" applyAlignment="1">
      <alignment horizontal="right" vertical="center"/>
    </xf>
    <xf numFmtId="0" fontId="10" fillId="0" borderId="123" xfId="0" quotePrefix="1" applyFont="1" applyFill="1" applyBorder="1" applyAlignment="1">
      <alignment horizontal="center" vertical="center" wrapText="1"/>
    </xf>
    <xf numFmtId="0" fontId="10" fillId="0" borderId="21" xfId="0" applyFont="1" applyFill="1" applyBorder="1" applyAlignment="1">
      <alignment horizontal="center" vertical="center"/>
    </xf>
    <xf numFmtId="0" fontId="9" fillId="0" borderId="37" xfId="0" applyFont="1" applyBorder="1" applyAlignment="1">
      <alignment horizontal="center" vertical="center"/>
    </xf>
    <xf numFmtId="0" fontId="9" fillId="0" borderId="35" xfId="0" applyFont="1" applyBorder="1" applyAlignment="1">
      <alignment horizontal="center" vertical="center"/>
    </xf>
    <xf numFmtId="167" fontId="18" fillId="0" borderId="123" xfId="0" quotePrefix="1" applyNumberFormat="1" applyFont="1" applyFill="1" applyBorder="1" applyAlignment="1" applyProtection="1">
      <alignment horizontal="center" vertical="center" wrapText="1"/>
    </xf>
    <xf numFmtId="0" fontId="10" fillId="0" borderId="28" xfId="0" quotePrefix="1" applyFont="1" applyBorder="1" applyAlignment="1">
      <alignment horizontal="center" vertical="center"/>
    </xf>
    <xf numFmtId="167" fontId="10" fillId="0" borderId="14" xfId="0" applyNumberFormat="1" applyFont="1" applyBorder="1" applyAlignment="1">
      <alignment horizontal="right" vertical="center"/>
    </xf>
    <xf numFmtId="167" fontId="18" fillId="0" borderId="4" xfId="0" quotePrefix="1" applyNumberFormat="1" applyFont="1" applyFill="1" applyBorder="1" applyAlignment="1" applyProtection="1">
      <alignment horizontal="center" vertical="center" wrapText="1"/>
    </xf>
    <xf numFmtId="2" fontId="68" fillId="41" borderId="131" xfId="0" applyNumberFormat="1" applyFont="1" applyFill="1" applyBorder="1" applyAlignment="1" applyProtection="1">
      <alignment vertical="center"/>
    </xf>
    <xf numFmtId="2" fontId="63" fillId="41" borderId="4" xfId="0" applyNumberFormat="1" applyFont="1" applyFill="1" applyBorder="1" applyAlignment="1" applyProtection="1">
      <alignment vertical="center"/>
    </xf>
    <xf numFmtId="0" fontId="23" fillId="0" borderId="116" xfId="0" applyFont="1" applyBorder="1"/>
    <xf numFmtId="0" fontId="24" fillId="0" borderId="131" xfId="0" applyFont="1" applyBorder="1" applyAlignment="1">
      <alignment horizontal="right" vertical="center"/>
    </xf>
    <xf numFmtId="2" fontId="24" fillId="0" borderId="131" xfId="0" applyNumberFormat="1" applyFont="1" applyBorder="1" applyAlignment="1">
      <alignment horizontal="center" vertical="center"/>
    </xf>
    <xf numFmtId="0" fontId="23" fillId="0" borderId="130" xfId="0" applyFont="1" applyBorder="1"/>
    <xf numFmtId="0" fontId="9" fillId="0" borderId="28" xfId="0" applyFont="1" applyFill="1" applyBorder="1" applyAlignment="1">
      <alignment horizontal="center" vertical="center"/>
    </xf>
    <xf numFmtId="0" fontId="9" fillId="0" borderId="0" xfId="0" applyFont="1" applyBorder="1" applyAlignment="1">
      <alignment horizontal="left" vertical="center" wrapText="1"/>
    </xf>
    <xf numFmtId="0" fontId="77" fillId="0" borderId="0" xfId="0" applyFont="1" applyBorder="1"/>
    <xf numFmtId="167" fontId="24" fillId="0" borderId="128" xfId="0" applyNumberFormat="1" applyFont="1" applyFill="1" applyBorder="1" applyAlignment="1">
      <alignment horizontal="center" vertical="center" wrapText="1"/>
    </xf>
    <xf numFmtId="0" fontId="21" fillId="0" borderId="123" xfId="0" applyFont="1" applyFill="1" applyBorder="1" applyAlignment="1">
      <alignment horizontal="justify" vertical="center" wrapText="1"/>
    </xf>
    <xf numFmtId="167" fontId="22" fillId="0" borderId="130" xfId="3" applyNumberFormat="1" applyFont="1" applyFill="1" applyBorder="1" applyAlignment="1">
      <alignment horizontal="center" vertical="center" wrapText="1"/>
    </xf>
    <xf numFmtId="0" fontId="9" fillId="0" borderId="21" xfId="0" applyFont="1" applyBorder="1" applyAlignment="1">
      <alignment horizontal="center" vertical="center"/>
    </xf>
    <xf numFmtId="0" fontId="0" fillId="0" borderId="113" xfId="0" applyBorder="1"/>
    <xf numFmtId="0" fontId="0" fillId="0" borderId="114" xfId="0" applyBorder="1"/>
    <xf numFmtId="0" fontId="22" fillId="0" borderId="115" xfId="0" applyFont="1" applyBorder="1" applyAlignment="1">
      <alignment vertical="center" wrapText="1"/>
    </xf>
    <xf numFmtId="0" fontId="17" fillId="0" borderId="127" xfId="0" applyFont="1" applyBorder="1" applyAlignment="1">
      <alignment vertical="center" wrapText="1"/>
    </xf>
    <xf numFmtId="0" fontId="10" fillId="0" borderId="123" xfId="0" applyFont="1" applyBorder="1" applyAlignment="1">
      <alignment vertical="center" wrapText="1"/>
    </xf>
    <xf numFmtId="167" fontId="10" fillId="0" borderId="123" xfId="0" applyNumberFormat="1" applyFont="1" applyBorder="1" applyAlignment="1">
      <alignment vertical="center" wrapText="1"/>
    </xf>
    <xf numFmtId="167" fontId="10" fillId="0" borderId="123" xfId="0" applyNumberFormat="1" applyFont="1" applyBorder="1" applyAlignment="1">
      <alignment vertical="center"/>
    </xf>
    <xf numFmtId="167" fontId="10" fillId="0" borderId="123" xfId="0" applyNumberFormat="1" applyFont="1" applyBorder="1" applyAlignment="1">
      <alignment horizontal="center" vertical="center"/>
    </xf>
    <xf numFmtId="167" fontId="10" fillId="0" borderId="20" xfId="0" applyNumberFormat="1" applyFont="1" applyBorder="1" applyAlignment="1">
      <alignment vertical="center" wrapText="1"/>
    </xf>
    <xf numFmtId="167" fontId="10" fillId="0" borderId="20" xfId="0" applyNumberFormat="1" applyFont="1" applyBorder="1" applyAlignment="1">
      <alignment vertical="center"/>
    </xf>
    <xf numFmtId="167" fontId="21" fillId="0" borderId="17" xfId="0" applyNumberFormat="1" applyFont="1" applyBorder="1" applyAlignment="1">
      <alignment horizontal="center" vertical="center" wrapText="1"/>
    </xf>
    <xf numFmtId="167" fontId="9" fillId="0" borderId="123" xfId="0" applyNumberFormat="1" applyFont="1" applyFill="1" applyBorder="1" applyAlignment="1">
      <alignment horizontal="center" vertical="center"/>
    </xf>
    <xf numFmtId="4" fontId="17" fillId="0" borderId="123" xfId="0" applyNumberFormat="1" applyFont="1" applyFill="1" applyBorder="1" applyAlignment="1">
      <alignment horizontal="right" vertical="center"/>
    </xf>
    <xf numFmtId="167" fontId="23" fillId="0" borderId="123" xfId="0" applyNumberFormat="1" applyFont="1" applyFill="1" applyBorder="1" applyAlignment="1">
      <alignment horizontal="center" vertical="center" wrapText="1"/>
    </xf>
    <xf numFmtId="0" fontId="15" fillId="0" borderId="123" xfId="0" applyFont="1" applyFill="1" applyBorder="1" applyAlignment="1">
      <alignment horizontal="center" vertical="center" wrapText="1"/>
    </xf>
    <xf numFmtId="178" fontId="23" fillId="0" borderId="123" xfId="0" applyNumberFormat="1" applyFont="1" applyFill="1" applyBorder="1" applyAlignment="1">
      <alignment horizontal="center" vertical="center" wrapText="1"/>
    </xf>
    <xf numFmtId="0" fontId="10" fillId="0" borderId="123" xfId="0" applyFont="1" applyFill="1" applyBorder="1" applyAlignment="1">
      <alignment vertical="center" wrapText="1"/>
    </xf>
    <xf numFmtId="167" fontId="10" fillId="0" borderId="123" xfId="0" applyNumberFormat="1" applyFont="1" applyFill="1" applyBorder="1" applyAlignment="1">
      <alignment vertical="center" wrapText="1"/>
    </xf>
    <xf numFmtId="167" fontId="10" fillId="0" borderId="123" xfId="0" applyNumberFormat="1" applyFont="1" applyFill="1" applyBorder="1" applyAlignment="1">
      <alignment vertical="center"/>
    </xf>
    <xf numFmtId="167" fontId="9" fillId="0" borderId="17" xfId="0" applyNumberFormat="1" applyFont="1" applyBorder="1" applyAlignment="1">
      <alignment horizontal="center" vertical="center"/>
    </xf>
    <xf numFmtId="167" fontId="9" fillId="0" borderId="18" xfId="0" applyNumberFormat="1" applyFont="1" applyBorder="1" applyAlignment="1">
      <alignment horizontal="center" vertical="center"/>
    </xf>
    <xf numFmtId="167" fontId="9" fillId="0" borderId="38" xfId="0" applyNumberFormat="1" applyFont="1" applyBorder="1" applyAlignment="1">
      <alignment horizontal="center" vertical="center"/>
    </xf>
    <xf numFmtId="167" fontId="24" fillId="0" borderId="128" xfId="0" applyNumberFormat="1" applyFont="1" applyBorder="1" applyAlignment="1">
      <alignment horizontal="center" vertical="center" wrapText="1"/>
    </xf>
    <xf numFmtId="172" fontId="23" fillId="0" borderId="123" xfId="0" applyNumberFormat="1" applyFont="1" applyBorder="1" applyAlignment="1">
      <alignment horizontal="center" vertical="center" wrapText="1"/>
    </xf>
    <xf numFmtId="167" fontId="9" fillId="0" borderId="103" xfId="0" applyNumberFormat="1" applyFont="1" applyBorder="1" applyAlignment="1">
      <alignment horizontal="center" vertical="center" wrapText="1"/>
    </xf>
    <xf numFmtId="0" fontId="10" fillId="0" borderId="127" xfId="0" applyFont="1" applyBorder="1" applyAlignment="1">
      <alignment horizontal="center" vertical="center"/>
    </xf>
    <xf numFmtId="167" fontId="22" fillId="0" borderId="103" xfId="0" applyNumberFormat="1" applyFont="1" applyBorder="1" applyAlignment="1">
      <alignment horizontal="center" vertical="center" wrapText="1"/>
    </xf>
    <xf numFmtId="0" fontId="22" fillId="0" borderId="102" xfId="0" applyFont="1" applyBorder="1" applyAlignment="1">
      <alignment horizontal="justify" vertical="center" wrapText="1"/>
    </xf>
    <xf numFmtId="0" fontId="9" fillId="30" borderId="22" xfId="5" applyFont="1" applyFill="1" applyBorder="1" applyAlignment="1">
      <alignment horizontal="center" vertical="center" wrapText="1"/>
    </xf>
    <xf numFmtId="0" fontId="86" fillId="0" borderId="0" xfId="0" applyFont="1" applyBorder="1" applyAlignment="1">
      <alignment wrapText="1"/>
    </xf>
    <xf numFmtId="0" fontId="9" fillId="30" borderId="21" xfId="5" applyFont="1" applyFill="1" applyBorder="1" applyAlignment="1">
      <alignment horizontal="center" vertical="center" wrapText="1"/>
    </xf>
    <xf numFmtId="0" fontId="9" fillId="0" borderId="113" xfId="0" applyFont="1" applyBorder="1" applyAlignment="1">
      <alignment horizontal="left" vertical="center" wrapText="1"/>
    </xf>
    <xf numFmtId="0" fontId="9" fillId="0" borderId="12" xfId="0" applyFont="1" applyBorder="1" applyAlignment="1">
      <alignment horizontal="center" vertical="center" wrapText="1"/>
    </xf>
    <xf numFmtId="175" fontId="9" fillId="0" borderId="12" xfId="0" applyNumberFormat="1" applyFont="1" applyBorder="1" applyAlignment="1">
      <alignment horizontal="center" vertical="center"/>
    </xf>
    <xf numFmtId="167" fontId="9" fillId="0" borderId="54" xfId="0" applyNumberFormat="1" applyFont="1" applyBorder="1" applyAlignment="1">
      <alignment horizontal="center" vertical="center" wrapText="1"/>
    </xf>
    <xf numFmtId="0" fontId="9" fillId="30" borderId="19" xfId="5" applyFont="1" applyFill="1" applyBorder="1" applyAlignment="1">
      <alignment horizontal="center" vertical="center" wrapText="1"/>
    </xf>
    <xf numFmtId="0" fontId="9" fillId="0" borderId="20" xfId="0" applyFont="1" applyBorder="1" applyAlignment="1">
      <alignment horizontal="center" vertical="center" wrapText="1"/>
    </xf>
    <xf numFmtId="175" fontId="9" fillId="0" borderId="20" xfId="0" applyNumberFormat="1" applyFont="1" applyBorder="1" applyAlignment="1">
      <alignment horizontal="center" vertical="center"/>
    </xf>
    <xf numFmtId="167" fontId="9" fillId="0" borderId="26" xfId="0" applyNumberFormat="1" applyFont="1" applyBorder="1" applyAlignment="1">
      <alignment horizontal="center" vertical="center" wrapText="1"/>
    </xf>
    <xf numFmtId="0" fontId="31" fillId="30" borderId="21" xfId="5" applyFont="1" applyFill="1" applyBorder="1" applyAlignment="1">
      <alignment horizontal="center" vertical="center" wrapText="1"/>
    </xf>
    <xf numFmtId="175" fontId="23" fillId="0" borderId="12" xfId="0" applyNumberFormat="1" applyFont="1" applyBorder="1" applyAlignment="1">
      <alignment horizontal="center" vertical="center"/>
    </xf>
    <xf numFmtId="0" fontId="9" fillId="0" borderId="33" xfId="0" applyFont="1" applyBorder="1" applyAlignment="1">
      <alignment horizontal="center" vertical="center" wrapText="1"/>
    </xf>
    <xf numFmtId="0" fontId="9" fillId="0" borderId="40" xfId="0" applyFont="1" applyBorder="1" applyAlignment="1">
      <alignment wrapText="1"/>
    </xf>
    <xf numFmtId="2" fontId="9" fillId="0" borderId="40" xfId="0" applyNumberFormat="1" applyFont="1" applyBorder="1" applyAlignment="1">
      <alignment horizontal="center" vertical="center"/>
    </xf>
    <xf numFmtId="4" fontId="22" fillId="6" borderId="40" xfId="0" applyNumberFormat="1" applyFont="1" applyFill="1" applyBorder="1" applyAlignment="1">
      <alignment horizontal="right" vertical="center"/>
    </xf>
    <xf numFmtId="167" fontId="22" fillId="0" borderId="36" xfId="0" applyNumberFormat="1" applyFont="1" applyBorder="1" applyAlignment="1">
      <alignment horizontal="center" vertical="center" wrapText="1"/>
    </xf>
    <xf numFmtId="167" fontId="22" fillId="2" borderId="34" xfId="0" applyNumberFormat="1" applyFont="1" applyFill="1" applyBorder="1" applyAlignment="1">
      <alignment horizontal="center" vertical="center"/>
    </xf>
    <xf numFmtId="2" fontId="17" fillId="5" borderId="51" xfId="3" applyNumberFormat="1" applyFont="1" applyFill="1" applyBorder="1" applyAlignment="1">
      <alignment vertical="center"/>
    </xf>
    <xf numFmtId="0" fontId="10" fillId="0" borderId="127" xfId="0" applyFont="1" applyFill="1" applyBorder="1" applyAlignment="1">
      <alignment horizontal="center" vertical="center"/>
    </xf>
    <xf numFmtId="173" fontId="15" fillId="0" borderId="123" xfId="1" applyNumberFormat="1" applyFont="1" applyBorder="1" applyAlignment="1">
      <alignment horizontal="center" vertical="center"/>
    </xf>
    <xf numFmtId="0" fontId="17" fillId="33" borderId="42" xfId="0" applyFont="1" applyFill="1" applyBorder="1" applyAlignment="1">
      <alignment horizontal="center" vertical="center"/>
    </xf>
    <xf numFmtId="0" fontId="7" fillId="33" borderId="18" xfId="0" quotePrefix="1" applyFont="1" applyFill="1" applyBorder="1" applyAlignment="1">
      <alignment horizontal="center" vertical="center"/>
    </xf>
    <xf numFmtId="0" fontId="7" fillId="33" borderId="18" xfId="0" applyFont="1" applyFill="1" applyBorder="1" applyAlignment="1">
      <alignment horizontal="left" vertical="center" wrapText="1"/>
    </xf>
    <xf numFmtId="2" fontId="7" fillId="33" borderId="18" xfId="0" applyNumberFormat="1" applyFont="1" applyFill="1" applyBorder="1" applyAlignment="1">
      <alignment horizontal="right" vertical="center" wrapText="1"/>
    </xf>
    <xf numFmtId="167" fontId="10" fillId="33" borderId="25" xfId="0" applyNumberFormat="1" applyFont="1" applyFill="1" applyBorder="1" applyAlignment="1">
      <alignment horizontal="right" vertical="center" wrapText="1"/>
    </xf>
    <xf numFmtId="4" fontId="7" fillId="33" borderId="18" xfId="0" applyNumberFormat="1" applyFont="1" applyFill="1" applyBorder="1" applyAlignment="1">
      <alignment horizontal="right" vertical="center" wrapText="1"/>
    </xf>
    <xf numFmtId="4" fontId="10" fillId="33" borderId="80" xfId="0" applyNumberFormat="1" applyFont="1" applyFill="1" applyBorder="1" applyAlignment="1">
      <alignment horizontal="right" vertical="center"/>
    </xf>
    <xf numFmtId="4" fontId="10" fillId="33" borderId="46" xfId="0" applyNumberFormat="1" applyFont="1" applyFill="1" applyBorder="1" applyAlignment="1">
      <alignment horizontal="right" vertical="center"/>
    </xf>
    <xf numFmtId="4" fontId="7" fillId="36" borderId="14" xfId="0" applyNumberFormat="1" applyFont="1" applyFill="1" applyBorder="1" applyAlignment="1">
      <alignment horizontal="center" vertical="center" wrapText="1"/>
    </xf>
    <xf numFmtId="0" fontId="10" fillId="0" borderId="123" xfId="0" applyFont="1" applyBorder="1" applyAlignment="1">
      <alignment horizontal="center" vertical="center"/>
    </xf>
    <xf numFmtId="0" fontId="15" fillId="0" borderId="0" xfId="0" applyFont="1" applyBorder="1" applyAlignment="1">
      <alignment horizontal="center" vertical="center"/>
    </xf>
    <xf numFmtId="0" fontId="17" fillId="0" borderId="21" xfId="0" applyFont="1" applyBorder="1" applyAlignment="1">
      <alignment vertical="center" wrapText="1"/>
    </xf>
    <xf numFmtId="171" fontId="23" fillId="0" borderId="123" xfId="0" applyNumberFormat="1" applyFont="1" applyFill="1" applyBorder="1" applyAlignment="1">
      <alignment horizontal="center" vertical="center" wrapText="1"/>
    </xf>
    <xf numFmtId="0" fontId="17" fillId="4" borderId="19" xfId="0" applyFont="1" applyFill="1" applyBorder="1" applyAlignment="1">
      <alignment vertical="center"/>
    </xf>
    <xf numFmtId="0" fontId="17" fillId="0" borderId="20" xfId="0" applyFont="1" applyBorder="1" applyAlignment="1">
      <alignment horizontal="justify" vertical="center" wrapText="1"/>
    </xf>
    <xf numFmtId="0" fontId="17" fillId="0" borderId="20" xfId="0" applyFont="1" applyBorder="1" applyAlignment="1">
      <alignment horizontal="center" vertical="center" wrapText="1"/>
    </xf>
    <xf numFmtId="171" fontId="17" fillId="0" borderId="20" xfId="0" applyNumberFormat="1" applyFont="1" applyBorder="1" applyAlignment="1">
      <alignment horizontal="center" vertical="center" wrapText="1"/>
    </xf>
    <xf numFmtId="167" fontId="17" fillId="0" borderId="20" xfId="0" applyNumberFormat="1" applyFont="1" applyBorder="1" applyAlignment="1">
      <alignment horizontal="center" vertical="center" wrapText="1"/>
    </xf>
    <xf numFmtId="167" fontId="17" fillId="0" borderId="38" xfId="0" applyNumberFormat="1" applyFont="1" applyBorder="1" applyAlignment="1">
      <alignment horizontal="center" vertical="center" wrapText="1"/>
    </xf>
    <xf numFmtId="0" fontId="24" fillId="0" borderId="19" xfId="0" applyFont="1" applyBorder="1" applyAlignment="1">
      <alignment horizontal="center" vertical="center" wrapText="1"/>
    </xf>
    <xf numFmtId="0" fontId="21" fillId="0" borderId="20" xfId="0" applyFont="1" applyBorder="1" applyAlignment="1">
      <alignment horizontal="center" vertical="center"/>
    </xf>
    <xf numFmtId="0" fontId="24" fillId="0" borderId="38" xfId="0" applyFont="1" applyBorder="1" applyAlignment="1">
      <alignment horizontal="center" vertical="center" wrapText="1"/>
    </xf>
    <xf numFmtId="172" fontId="23" fillId="0" borderId="20" xfId="0" applyNumberFormat="1" applyFont="1" applyBorder="1" applyAlignment="1">
      <alignment horizontal="center" vertical="center" wrapText="1"/>
    </xf>
    <xf numFmtId="0" fontId="17" fillId="0" borderId="19" xfId="0" applyFont="1" applyBorder="1" applyAlignment="1">
      <alignment vertical="center" wrapText="1"/>
    </xf>
    <xf numFmtId="0" fontId="10" fillId="0" borderId="20" xfId="0" applyFont="1" applyBorder="1" applyAlignment="1">
      <alignment vertical="center" wrapText="1"/>
    </xf>
    <xf numFmtId="167" fontId="24" fillId="0" borderId="38" xfId="0" applyNumberFormat="1" applyFont="1" applyBorder="1" applyAlignment="1">
      <alignment horizontal="center" vertical="center" wrapText="1"/>
    </xf>
    <xf numFmtId="0" fontId="60" fillId="0" borderId="0" xfId="0" applyFont="1" applyAlignment="1">
      <alignment horizontal="center" vertical="center"/>
    </xf>
    <xf numFmtId="0" fontId="23" fillId="0" borderId="0" xfId="0" applyFont="1" applyAlignment="1">
      <alignment horizontal="center"/>
    </xf>
    <xf numFmtId="2" fontId="23" fillId="0" borderId="0" xfId="0" applyNumberFormat="1" applyFont="1" applyAlignment="1">
      <alignment horizontal="center"/>
    </xf>
    <xf numFmtId="0" fontId="23" fillId="0" borderId="4" xfId="0" applyFont="1" applyBorder="1" applyAlignment="1">
      <alignment horizontal="left" vertical="center"/>
    </xf>
    <xf numFmtId="0" fontId="10" fillId="0" borderId="12" xfId="0" applyFont="1" applyBorder="1" applyAlignment="1">
      <alignment horizontal="center" vertical="center" wrapText="1"/>
    </xf>
    <xf numFmtId="0" fontId="10" fillId="0" borderId="34" xfId="3" applyFont="1" applyFill="1" applyBorder="1" applyAlignment="1">
      <alignment horizontal="center" vertical="center" wrapText="1"/>
    </xf>
    <xf numFmtId="0" fontId="24" fillId="0" borderId="0" xfId="0" applyFont="1" applyBorder="1" applyAlignment="1">
      <alignment horizontal="right" vertical="center"/>
    </xf>
    <xf numFmtId="0" fontId="23" fillId="0" borderId="115" xfId="0" applyFont="1" applyBorder="1" applyAlignment="1"/>
    <xf numFmtId="0" fontId="23" fillId="0" borderId="114" xfId="0" applyFont="1" applyBorder="1" applyAlignment="1"/>
    <xf numFmtId="0" fontId="10" fillId="0" borderId="102" xfId="0" applyFont="1" applyBorder="1" applyAlignment="1">
      <alignment horizontal="justify" vertical="center" wrapText="1"/>
    </xf>
    <xf numFmtId="167" fontId="17" fillId="0" borderId="103" xfId="0" applyNumberFormat="1" applyFont="1" applyBorder="1" applyAlignment="1">
      <alignment horizontal="center" vertical="center" wrapText="1"/>
    </xf>
    <xf numFmtId="0" fontId="17" fillId="0" borderId="102" xfId="0" applyFont="1" applyBorder="1" applyAlignment="1">
      <alignment horizontal="justify" vertical="center" wrapText="1"/>
    </xf>
    <xf numFmtId="0" fontId="10" fillId="0" borderId="35" xfId="0" applyFont="1" applyBorder="1" applyAlignment="1">
      <alignment horizontal="center" vertical="center"/>
    </xf>
    <xf numFmtId="2" fontId="10" fillId="0" borderId="40" xfId="0" applyNumberFormat="1" applyFont="1" applyBorder="1" applyAlignment="1">
      <alignment horizontal="center" vertical="center"/>
    </xf>
    <xf numFmtId="4" fontId="17" fillId="6" borderId="40" xfId="0" applyNumberFormat="1" applyFont="1" applyFill="1" applyBorder="1" applyAlignment="1">
      <alignment horizontal="right" vertical="center"/>
    </xf>
    <xf numFmtId="0" fontId="9" fillId="0" borderId="127" xfId="0" applyFont="1" applyFill="1" applyBorder="1" applyAlignment="1">
      <alignment horizontal="center" vertical="center"/>
    </xf>
    <xf numFmtId="0" fontId="9" fillId="0" borderId="123" xfId="0" quotePrefix="1" applyFont="1" applyBorder="1" applyAlignment="1">
      <alignment horizontal="left" vertical="center" wrapText="1"/>
    </xf>
    <xf numFmtId="167" fontId="15" fillId="0" borderId="14" xfId="0" applyNumberFormat="1" applyFont="1" applyBorder="1" applyAlignment="1">
      <alignment horizontal="center" vertical="center" wrapText="1"/>
    </xf>
    <xf numFmtId="0" fontId="15" fillId="0" borderId="19" xfId="0" applyFont="1" applyBorder="1" applyAlignment="1">
      <alignment vertical="center"/>
    </xf>
    <xf numFmtId="171" fontId="9" fillId="0" borderId="6" xfId="0" applyNumberFormat="1" applyFont="1" applyBorder="1" applyAlignment="1">
      <alignment horizontal="center" vertical="center"/>
    </xf>
    <xf numFmtId="0" fontId="23" fillId="0" borderId="42" xfId="0" applyFont="1" applyBorder="1" applyAlignment="1">
      <alignment horizontal="center" vertical="center"/>
    </xf>
    <xf numFmtId="0" fontId="17" fillId="6" borderId="55" xfId="0" applyFont="1" applyFill="1" applyBorder="1" applyAlignment="1">
      <alignment horizontal="center" vertical="center" wrapText="1"/>
    </xf>
    <xf numFmtId="0" fontId="15" fillId="0" borderId="42" xfId="0" applyFont="1" applyBorder="1" applyAlignment="1">
      <alignment vertical="center"/>
    </xf>
    <xf numFmtId="0" fontId="14" fillId="0" borderId="123" xfId="0" applyFont="1" applyBorder="1" applyAlignment="1">
      <alignment horizontal="center" vertical="center" wrapText="1"/>
    </xf>
    <xf numFmtId="171" fontId="15" fillId="0" borderId="123" xfId="0" applyNumberFormat="1" applyFont="1" applyBorder="1" applyAlignment="1">
      <alignment horizontal="center" vertical="center" wrapText="1"/>
    </xf>
    <xf numFmtId="172" fontId="9" fillId="0" borderId="12" xfId="0" applyNumberFormat="1" applyFont="1" applyBorder="1" applyAlignment="1">
      <alignment horizontal="center" vertical="center"/>
    </xf>
    <xf numFmtId="0" fontId="23" fillId="0" borderId="19" xfId="0" applyFont="1" applyFill="1" applyBorder="1" applyAlignment="1">
      <alignment horizontal="center" vertical="center"/>
    </xf>
    <xf numFmtId="0" fontId="23" fillId="0" borderId="31" xfId="0" applyFont="1" applyBorder="1" applyAlignment="1">
      <alignment horizontal="left" vertical="center" wrapText="1"/>
    </xf>
    <xf numFmtId="0" fontId="21" fillId="0" borderId="31" xfId="0" applyFont="1" applyBorder="1" applyAlignment="1">
      <alignment horizontal="left" vertical="center" wrapText="1"/>
    </xf>
    <xf numFmtId="0" fontId="15" fillId="0" borderId="5" xfId="0" applyFont="1" applyBorder="1" applyAlignment="1">
      <alignment horizontal="center" vertical="center" wrapText="1"/>
    </xf>
    <xf numFmtId="0" fontId="23" fillId="0" borderId="113" xfId="0" applyFont="1" applyBorder="1"/>
    <xf numFmtId="0" fontId="16" fillId="0" borderId="113" xfId="0" applyFont="1" applyBorder="1"/>
    <xf numFmtId="0" fontId="24" fillId="0" borderId="10" xfId="0" applyFont="1" applyBorder="1"/>
    <xf numFmtId="14" fontId="9" fillId="0" borderId="11" xfId="0" applyNumberFormat="1" applyFont="1" applyBorder="1" applyAlignment="1">
      <alignment horizontal="center" vertical="center"/>
    </xf>
    <xf numFmtId="2" fontId="9" fillId="0" borderId="120" xfId="0" applyNumberFormat="1" applyFont="1" applyBorder="1" applyAlignment="1">
      <alignment horizontal="center" vertical="center"/>
    </xf>
    <xf numFmtId="2" fontId="9" fillId="0" borderId="20" xfId="0" applyNumberFormat="1" applyFont="1" applyBorder="1" applyAlignment="1">
      <alignment horizontal="center" vertical="center"/>
    </xf>
    <xf numFmtId="14" fontId="9" fillId="0" borderId="21" xfId="0" applyNumberFormat="1" applyFont="1" applyBorder="1" applyAlignment="1">
      <alignment horizontal="center" vertical="center"/>
    </xf>
    <xf numFmtId="0" fontId="9" fillId="0" borderId="120" xfId="0" applyFont="1" applyBorder="1" applyAlignment="1">
      <alignment horizontal="left" vertical="center" wrapText="1"/>
    </xf>
    <xf numFmtId="14" fontId="9" fillId="0" borderId="104" xfId="0" applyNumberFormat="1" applyFont="1" applyBorder="1" applyAlignment="1">
      <alignment horizontal="center" vertical="center"/>
    </xf>
    <xf numFmtId="0" fontId="9" fillId="0" borderId="133" xfId="0" applyFont="1" applyBorder="1" applyAlignment="1">
      <alignment horizontal="left" vertical="center" wrapText="1"/>
    </xf>
    <xf numFmtId="2" fontId="9" fillId="0" borderId="133" xfId="0" applyNumberFormat="1" applyFont="1" applyBorder="1" applyAlignment="1">
      <alignment horizontal="center" vertical="center"/>
    </xf>
    <xf numFmtId="0" fontId="23" fillId="0" borderId="124" xfId="0" applyFont="1" applyBorder="1" applyAlignment="1">
      <alignment horizontal="center" vertical="center" wrapText="1"/>
    </xf>
    <xf numFmtId="14" fontId="9" fillId="0" borderId="133" xfId="0" applyNumberFormat="1" applyFont="1" applyBorder="1" applyAlignment="1">
      <alignment horizontal="left" vertical="center" wrapText="1"/>
    </xf>
    <xf numFmtId="4" fontId="22" fillId="6" borderId="133" xfId="0" applyNumberFormat="1" applyFont="1" applyFill="1" applyBorder="1" applyAlignment="1">
      <alignment horizontal="right" vertical="center"/>
    </xf>
    <xf numFmtId="0" fontId="22" fillId="5" borderId="18" xfId="3" applyFont="1" applyFill="1" applyBorder="1" applyAlignment="1">
      <alignment vertical="center"/>
    </xf>
    <xf numFmtId="0" fontId="22" fillId="5" borderId="18" xfId="3" applyFont="1" applyFill="1" applyBorder="1" applyAlignment="1">
      <alignment horizontal="right" vertical="center"/>
    </xf>
    <xf numFmtId="2" fontId="22" fillId="5" borderId="46" xfId="3" applyNumberFormat="1" applyFont="1" applyFill="1" applyBorder="1" applyAlignment="1">
      <alignment vertical="center"/>
    </xf>
    <xf numFmtId="0" fontId="0" fillId="0" borderId="0" xfId="0" applyAlignment="1">
      <alignment horizontal="center" vertical="center" wrapText="1"/>
    </xf>
    <xf numFmtId="0" fontId="16" fillId="0" borderId="0" xfId="0" applyFont="1" applyAlignment="1">
      <alignment horizontal="center" vertical="center"/>
    </xf>
    <xf numFmtId="0" fontId="106" fillId="0" borderId="0" xfId="0" applyFont="1" applyAlignment="1">
      <alignment horizontal="center" vertical="center" wrapText="1"/>
    </xf>
    <xf numFmtId="167" fontId="15" fillId="0" borderId="0" xfId="0" applyNumberFormat="1" applyFont="1" applyFill="1" applyBorder="1" applyAlignment="1">
      <alignment horizontal="center" vertical="center" wrapText="1"/>
    </xf>
    <xf numFmtId="0" fontId="0" fillId="0" borderId="0" xfId="0" applyAlignment="1">
      <alignment wrapText="1"/>
    </xf>
    <xf numFmtId="2" fontId="9" fillId="0" borderId="123" xfId="0" applyNumberFormat="1" applyFont="1" applyBorder="1" applyAlignment="1">
      <alignment horizontal="center" vertical="center"/>
    </xf>
    <xf numFmtId="167" fontId="15" fillId="0" borderId="0" xfId="0" applyNumberFormat="1" applyFont="1" applyAlignment="1">
      <alignment horizontal="left" vertical="center"/>
    </xf>
    <xf numFmtId="0" fontId="9" fillId="0" borderId="124" xfId="56" applyFont="1" applyBorder="1" applyAlignment="1">
      <alignment horizontal="center" vertical="center" wrapText="1"/>
    </xf>
    <xf numFmtId="2" fontId="15" fillId="0" borderId="123" xfId="0" applyNumberFormat="1" applyFont="1" applyBorder="1" applyAlignment="1">
      <alignment horizontal="center" vertical="center" wrapText="1"/>
    </xf>
    <xf numFmtId="167" fontId="10" fillId="0" borderId="103" xfId="0" applyNumberFormat="1" applyFont="1" applyBorder="1" applyAlignment="1">
      <alignment horizontal="center" vertical="center" wrapText="1"/>
    </xf>
    <xf numFmtId="2" fontId="9" fillId="0" borderId="55" xfId="0" applyNumberFormat="1" applyFont="1" applyBorder="1" applyAlignment="1">
      <alignment horizontal="center" vertical="center"/>
    </xf>
    <xf numFmtId="0" fontId="24" fillId="0" borderId="104" xfId="0" applyFont="1" applyBorder="1" applyAlignment="1">
      <alignment horizontal="center" vertical="center" wrapText="1"/>
    </xf>
    <xf numFmtId="0" fontId="17" fillId="6" borderId="133" xfId="0" applyFont="1" applyFill="1" applyBorder="1" applyAlignment="1">
      <alignment horizontal="center" vertical="center" wrapText="1"/>
    </xf>
    <xf numFmtId="0" fontId="21" fillId="0" borderId="133" xfId="0" applyFont="1" applyBorder="1" applyAlignment="1">
      <alignment horizontal="center" vertical="center"/>
    </xf>
    <xf numFmtId="0" fontId="24" fillId="0" borderId="124" xfId="0" applyFont="1" applyBorder="1" applyAlignment="1">
      <alignment horizontal="center" vertical="center" wrapText="1"/>
    </xf>
    <xf numFmtId="0" fontId="23" fillId="0" borderId="16" xfId="0" applyFont="1" applyBorder="1"/>
    <xf numFmtId="0" fontId="9" fillId="0" borderId="133" xfId="0" applyFont="1" applyBorder="1" applyAlignment="1">
      <alignment horizontal="center" vertical="center"/>
    </xf>
    <xf numFmtId="0" fontId="9" fillId="0" borderId="133" xfId="0" applyFont="1" applyBorder="1" applyAlignment="1">
      <alignment horizontal="center" vertical="center"/>
    </xf>
    <xf numFmtId="0" fontId="107" fillId="0" borderId="14" xfId="56" applyFont="1" applyBorder="1" applyAlignment="1">
      <alignment horizontal="center" vertical="center" wrapText="1"/>
    </xf>
    <xf numFmtId="2" fontId="22" fillId="0" borderId="131" xfId="0" applyNumberFormat="1" applyFont="1" applyBorder="1" applyAlignment="1">
      <alignment horizontal="center" vertical="center"/>
    </xf>
    <xf numFmtId="164" fontId="63" fillId="0" borderId="31" xfId="0" applyNumberFormat="1" applyFont="1" applyBorder="1" applyAlignment="1">
      <alignment vertical="center"/>
    </xf>
    <xf numFmtId="164" fontId="63" fillId="0" borderId="0" xfId="0" applyNumberFormat="1" applyFont="1" applyBorder="1" applyAlignment="1">
      <alignment vertical="center"/>
    </xf>
    <xf numFmtId="14" fontId="10" fillId="0" borderId="11" xfId="0" applyNumberFormat="1" applyFont="1" applyBorder="1" applyAlignment="1">
      <alignment horizontal="right" vertical="center" wrapText="1"/>
    </xf>
    <xf numFmtId="167" fontId="9" fillId="0" borderId="133" xfId="0" applyNumberFormat="1" applyFont="1" applyBorder="1" applyAlignment="1">
      <alignment horizontal="center" vertical="center"/>
    </xf>
    <xf numFmtId="167" fontId="9" fillId="0" borderId="120" xfId="0" applyNumberFormat="1" applyFont="1" applyBorder="1" applyAlignment="1">
      <alignment horizontal="center" vertical="center"/>
    </xf>
    <xf numFmtId="2" fontId="9" fillId="6" borderId="133" xfId="0" applyNumberFormat="1" applyFont="1" applyFill="1" applyBorder="1" applyAlignment="1">
      <alignment horizontal="center" vertical="center" wrapText="1"/>
    </xf>
    <xf numFmtId="0" fontId="9" fillId="6" borderId="133" xfId="0" applyFont="1" applyFill="1" applyBorder="1" applyAlignment="1">
      <alignment horizontal="center" vertical="center" wrapText="1"/>
    </xf>
    <xf numFmtId="0" fontId="35" fillId="0" borderId="14" xfId="0" applyFont="1" applyBorder="1" applyAlignment="1">
      <alignment horizontal="center" vertical="center" wrapText="1"/>
    </xf>
    <xf numFmtId="0" fontId="108" fillId="0" borderId="14" xfId="0" applyFont="1" applyBorder="1" applyAlignment="1">
      <alignment horizontal="center" vertical="center" wrapText="1"/>
    </xf>
    <xf numFmtId="0" fontId="109" fillId="0" borderId="14" xfId="56" applyFont="1" applyBorder="1" applyAlignment="1">
      <alignment horizontal="center" vertical="center" wrapText="1"/>
    </xf>
    <xf numFmtId="0" fontId="110" fillId="0" borderId="14" xfId="56" applyFont="1" applyBorder="1" applyAlignment="1">
      <alignment horizontal="center" vertical="center" wrapText="1"/>
    </xf>
    <xf numFmtId="0" fontId="18" fillId="0" borderId="14" xfId="56" applyFont="1" applyBorder="1" applyAlignment="1">
      <alignment horizontal="center" vertical="center" wrapText="1"/>
    </xf>
    <xf numFmtId="0" fontId="111" fillId="0" borderId="14" xfId="56" applyFont="1" applyBorder="1" applyAlignment="1">
      <alignment horizontal="center" vertical="center" wrapText="1"/>
    </xf>
    <xf numFmtId="0" fontId="111" fillId="0" borderId="128" xfId="56" applyFont="1" applyBorder="1" applyAlignment="1">
      <alignment horizontal="center" vertical="center" wrapText="1"/>
    </xf>
    <xf numFmtId="167" fontId="9" fillId="0" borderId="133" xfId="0" applyNumberFormat="1" applyFont="1" applyFill="1" applyBorder="1" applyAlignment="1">
      <alignment horizontal="center" vertical="center"/>
    </xf>
    <xf numFmtId="0" fontId="35" fillId="0" borderId="17" xfId="0" applyFont="1" applyBorder="1" applyAlignment="1">
      <alignment horizontal="center" vertical="center" wrapText="1"/>
    </xf>
    <xf numFmtId="0" fontId="35" fillId="0" borderId="38" xfId="0" applyFont="1" applyBorder="1" applyAlignment="1">
      <alignment horizontal="center" vertical="center" wrapText="1"/>
    </xf>
    <xf numFmtId="0" fontId="9" fillId="0" borderId="104" xfId="0" applyFont="1" applyBorder="1" applyAlignment="1">
      <alignment horizontal="center" vertical="center"/>
    </xf>
    <xf numFmtId="0" fontId="15" fillId="0" borderId="133" xfId="0" applyFont="1" applyBorder="1" applyAlignment="1">
      <alignment horizontal="center" vertical="center" wrapText="1"/>
    </xf>
    <xf numFmtId="172" fontId="23" fillId="0" borderId="133" xfId="0" applyNumberFormat="1" applyFont="1" applyBorder="1" applyAlignment="1">
      <alignment horizontal="center" vertical="center" wrapText="1"/>
    </xf>
    <xf numFmtId="0" fontId="10" fillId="0" borderId="133" xfId="0" quotePrefix="1" applyFont="1" applyBorder="1" applyAlignment="1">
      <alignment horizontal="center" vertical="center"/>
    </xf>
    <xf numFmtId="0" fontId="23" fillId="0" borderId="104" xfId="0" applyFont="1" applyBorder="1" applyAlignment="1">
      <alignment horizontal="center" vertical="center"/>
    </xf>
    <xf numFmtId="2" fontId="9" fillId="0" borderId="133" xfId="0" applyNumberFormat="1" applyFont="1" applyFill="1" applyBorder="1" applyAlignment="1">
      <alignment horizontal="center" vertical="center"/>
    </xf>
    <xf numFmtId="4" fontId="9" fillId="0" borderId="133" xfId="0" applyNumberFormat="1" applyFont="1" applyFill="1" applyBorder="1" applyAlignment="1">
      <alignment horizontal="center" vertical="center" wrapText="1"/>
    </xf>
    <xf numFmtId="0" fontId="10" fillId="0" borderId="133" xfId="1" applyNumberFormat="1" applyFont="1" applyFill="1" applyBorder="1" applyAlignment="1">
      <alignment horizontal="center" vertical="center"/>
    </xf>
    <xf numFmtId="0" fontId="10" fillId="0" borderId="133" xfId="1" applyNumberFormat="1" applyFont="1" applyFill="1" applyBorder="1" applyAlignment="1">
      <alignment horizontal="left" vertical="center" wrapText="1"/>
    </xf>
    <xf numFmtId="2" fontId="10" fillId="0" borderId="133" xfId="0" applyNumberFormat="1" applyFont="1" applyFill="1" applyBorder="1" applyAlignment="1">
      <alignment horizontal="right" vertical="center" wrapText="1"/>
    </xf>
    <xf numFmtId="0" fontId="10" fillId="0" borderId="133" xfId="0" applyFont="1" applyBorder="1" applyAlignment="1">
      <alignment horizontal="left" vertical="center" wrapText="1"/>
    </xf>
    <xf numFmtId="173" fontId="10" fillId="0" borderId="133" xfId="1" applyNumberFormat="1" applyFont="1" applyFill="1" applyBorder="1" applyAlignment="1">
      <alignment horizontal="left" vertical="center" wrapText="1"/>
    </xf>
    <xf numFmtId="173" fontId="15" fillId="0" borderId="133" xfId="1" applyNumberFormat="1" applyFont="1" applyBorder="1" applyAlignment="1">
      <alignment horizontal="center" vertical="center"/>
    </xf>
    <xf numFmtId="2" fontId="10" fillId="0" borderId="133" xfId="0" applyNumberFormat="1" applyFont="1" applyFill="1" applyBorder="1" applyAlignment="1">
      <alignment horizontal="right" vertical="center"/>
    </xf>
    <xf numFmtId="0" fontId="15" fillId="0" borderId="133" xfId="0" applyFont="1" applyBorder="1" applyAlignment="1">
      <alignment horizontal="left" vertical="center" wrapText="1"/>
    </xf>
    <xf numFmtId="0" fontId="8" fillId="0" borderId="133" xfId="0" quotePrefix="1" applyFont="1" applyBorder="1" applyAlignment="1">
      <alignment horizontal="center" vertical="center"/>
    </xf>
    <xf numFmtId="2" fontId="10" fillId="0" borderId="120" xfId="0" applyNumberFormat="1" applyFont="1" applyFill="1" applyBorder="1" applyAlignment="1">
      <alignment horizontal="right" vertical="center" wrapText="1"/>
    </xf>
    <xf numFmtId="0" fontId="10" fillId="0" borderId="133" xfId="0" applyFont="1" applyBorder="1" applyAlignment="1">
      <alignment horizontal="center" vertical="center"/>
    </xf>
    <xf numFmtId="0" fontId="27" fillId="0" borderId="133" xfId="0" applyFont="1" applyBorder="1" applyAlignment="1">
      <alignment horizontal="center" vertical="center"/>
    </xf>
    <xf numFmtId="167" fontId="10" fillId="0" borderId="133" xfId="0" applyNumberFormat="1" applyFont="1" applyFill="1" applyBorder="1" applyAlignment="1">
      <alignment horizontal="right" vertical="center"/>
    </xf>
    <xf numFmtId="4" fontId="10" fillId="0" borderId="133" xfId="0" applyNumberFormat="1" applyFont="1" applyFill="1" applyBorder="1" applyAlignment="1">
      <alignment horizontal="right" vertical="center"/>
    </xf>
    <xf numFmtId="0" fontId="84" fillId="0" borderId="133" xfId="0" applyFont="1" applyBorder="1" applyAlignment="1">
      <alignment horizontal="left" vertical="center" wrapText="1"/>
    </xf>
    <xf numFmtId="0" fontId="10" fillId="0" borderId="120" xfId="0" quotePrefix="1" applyFont="1" applyFill="1" applyBorder="1" applyAlignment="1">
      <alignment horizontal="center" vertical="center"/>
    </xf>
    <xf numFmtId="0" fontId="10" fillId="0" borderId="120" xfId="0" applyFont="1" applyFill="1" applyBorder="1" applyAlignment="1">
      <alignment horizontal="left" vertical="center" wrapText="1"/>
    </xf>
    <xf numFmtId="0" fontId="10" fillId="0" borderId="120" xfId="0" applyFont="1" applyFill="1" applyBorder="1" applyAlignment="1">
      <alignment horizontal="center" vertical="center" wrapText="1"/>
    </xf>
    <xf numFmtId="2" fontId="0" fillId="0" borderId="0" xfId="0" applyNumberFormat="1" applyAlignment="1">
      <alignment horizontal="center" vertical="center" wrapText="1"/>
    </xf>
    <xf numFmtId="0" fontId="10" fillId="0" borderId="134" xfId="0" applyFont="1" applyBorder="1" applyAlignment="1">
      <alignment horizontal="center" vertical="center"/>
    </xf>
    <xf numFmtId="0" fontId="10" fillId="0" borderId="133" xfId="0" applyFont="1" applyFill="1" applyBorder="1" applyAlignment="1">
      <alignment horizontal="left" vertical="center" wrapText="1"/>
    </xf>
    <xf numFmtId="2" fontId="10" fillId="0" borderId="120" xfId="0" applyNumberFormat="1" applyFont="1" applyFill="1" applyBorder="1" applyAlignment="1">
      <alignment horizontal="right" vertical="center"/>
    </xf>
    <xf numFmtId="2" fontId="10" fillId="0" borderId="133" xfId="0" applyNumberFormat="1" applyFont="1" applyFill="1" applyBorder="1" applyAlignment="1">
      <alignment vertical="center"/>
    </xf>
    <xf numFmtId="166" fontId="22" fillId="0" borderId="28" xfId="0" applyNumberFormat="1" applyFont="1" applyBorder="1" applyAlignment="1">
      <alignment horizontal="center" vertical="center" wrapText="1"/>
    </xf>
    <xf numFmtId="0" fontId="9" fillId="0" borderId="6" xfId="0" applyFont="1" applyBorder="1" applyAlignment="1">
      <alignment horizontal="left" vertical="center"/>
    </xf>
    <xf numFmtId="2" fontId="9" fillId="0" borderId="6" xfId="1" applyNumberFormat="1" applyFont="1" applyFill="1" applyBorder="1" applyAlignment="1">
      <alignment horizontal="center" vertical="center"/>
    </xf>
    <xf numFmtId="4" fontId="9" fillId="0" borderId="6" xfId="2" applyNumberFormat="1" applyFont="1" applyFill="1" applyBorder="1" applyAlignment="1" applyProtection="1">
      <alignment horizontal="center" vertical="center"/>
      <protection locked="0"/>
    </xf>
    <xf numFmtId="165" fontId="9" fillId="0" borderId="6" xfId="0" applyNumberFormat="1" applyFont="1" applyBorder="1" applyAlignment="1">
      <alignment horizontal="center" vertical="center"/>
    </xf>
    <xf numFmtId="10" fontId="9" fillId="0" borderId="6" xfId="0" applyNumberFormat="1" applyFont="1" applyFill="1" applyBorder="1" applyAlignment="1">
      <alignment horizontal="center" vertical="center"/>
    </xf>
    <xf numFmtId="10" fontId="9" fillId="0" borderId="13" xfId="0" applyNumberFormat="1" applyFont="1" applyBorder="1" applyAlignment="1">
      <alignment vertical="center"/>
    </xf>
    <xf numFmtId="10" fontId="9" fillId="0" borderId="6" xfId="0" applyNumberFormat="1" applyFont="1" applyBorder="1" applyAlignment="1">
      <alignment horizontal="center" vertical="center"/>
    </xf>
    <xf numFmtId="0" fontId="9" fillId="0" borderId="6" xfId="0" applyFont="1" applyFill="1" applyBorder="1" applyAlignment="1">
      <alignment horizontal="justify" vertical="center" wrapText="1"/>
    </xf>
    <xf numFmtId="166" fontId="22" fillId="0" borderId="28" xfId="0" applyNumberFormat="1" applyFont="1" applyFill="1" applyBorder="1" applyAlignment="1">
      <alignment horizontal="center" vertical="center" wrapText="1"/>
    </xf>
    <xf numFmtId="0" fontId="9" fillId="0" borderId="19" xfId="0" applyFont="1" applyFill="1" applyBorder="1" applyAlignment="1">
      <alignment horizontal="center" vertical="center"/>
    </xf>
    <xf numFmtId="0" fontId="22" fillId="4" borderId="20" xfId="0" applyFont="1" applyFill="1" applyBorder="1" applyAlignment="1">
      <alignment horizontal="right" vertical="center"/>
    </xf>
    <xf numFmtId="165" fontId="22" fillId="0" borderId="20" xfId="0" applyNumberFormat="1" applyFont="1" applyFill="1" applyBorder="1" applyAlignment="1">
      <alignment horizontal="center" vertical="center"/>
    </xf>
    <xf numFmtId="4" fontId="22" fillId="0" borderId="20" xfId="2" applyNumberFormat="1" applyFont="1" applyFill="1" applyBorder="1" applyAlignment="1">
      <alignment horizontal="center" vertical="center"/>
    </xf>
    <xf numFmtId="4" fontId="22" fillId="0" borderId="20" xfId="0" applyNumberFormat="1" applyFont="1" applyBorder="1" applyAlignment="1">
      <alignment horizontal="center" vertical="center"/>
    </xf>
    <xf numFmtId="10" fontId="22" fillId="0" borderId="20" xfId="0" applyNumberFormat="1" applyFont="1" applyBorder="1" applyAlignment="1">
      <alignment horizontal="center" vertical="center"/>
    </xf>
    <xf numFmtId="2" fontId="22" fillId="0" borderId="20" xfId="0" applyNumberFormat="1" applyFont="1" applyBorder="1" applyAlignment="1">
      <alignment horizontal="center" vertical="center"/>
    </xf>
    <xf numFmtId="10" fontId="22" fillId="0" borderId="38" xfId="0" applyNumberFormat="1" applyFont="1" applyBorder="1" applyAlignment="1">
      <alignment vertical="center"/>
    </xf>
    <xf numFmtId="0" fontId="9" fillId="0" borderId="21" xfId="0" applyFont="1" applyFill="1" applyBorder="1" applyAlignment="1">
      <alignment horizontal="center" vertical="center"/>
    </xf>
    <xf numFmtId="0" fontId="7" fillId="0" borderId="124" xfId="0" applyFont="1" applyBorder="1" applyAlignment="1">
      <alignment horizontal="center" vertical="center"/>
    </xf>
    <xf numFmtId="43" fontId="8" fillId="0" borderId="120" xfId="1" applyFont="1" applyFill="1" applyBorder="1" applyAlignment="1">
      <alignment vertical="center"/>
    </xf>
    <xf numFmtId="0" fontId="8" fillId="0" borderId="120" xfId="0" applyFont="1" applyFill="1" applyBorder="1" applyAlignment="1">
      <alignment horizontal="center" vertical="center"/>
    </xf>
    <xf numFmtId="43" fontId="8" fillId="0" borderId="120" xfId="1" applyFont="1" applyFill="1" applyBorder="1" applyAlignment="1">
      <alignment horizontal="center" vertical="center"/>
    </xf>
    <xf numFmtId="10" fontId="8" fillId="0" borderId="120" xfId="0" applyNumberFormat="1" applyFont="1" applyFill="1" applyBorder="1" applyAlignment="1">
      <alignment horizontal="center" vertical="center"/>
    </xf>
    <xf numFmtId="0" fontId="9" fillId="0" borderId="133" xfId="0" applyFont="1" applyFill="1" applyBorder="1" applyAlignment="1">
      <alignment horizontal="justify" vertical="center" wrapText="1"/>
    </xf>
    <xf numFmtId="4" fontId="9" fillId="0" borderId="133" xfId="0" applyNumberFormat="1" applyFont="1" applyFill="1" applyBorder="1" applyAlignment="1">
      <alignment horizontal="center" vertical="center"/>
    </xf>
    <xf numFmtId="10" fontId="9" fillId="0" borderId="133" xfId="0" applyNumberFormat="1" applyFont="1" applyBorder="1" applyAlignment="1">
      <alignment horizontal="center" vertical="center"/>
    </xf>
    <xf numFmtId="0" fontId="22" fillId="4" borderId="120" xfId="0" applyFont="1" applyFill="1" applyBorder="1" applyAlignment="1">
      <alignment horizontal="right" vertical="center"/>
    </xf>
    <xf numFmtId="165" fontId="9" fillId="0" borderId="120" xfId="0" applyNumberFormat="1" applyFont="1" applyFill="1" applyBorder="1" applyAlignment="1">
      <alignment vertical="center"/>
    </xf>
    <xf numFmtId="4" fontId="9" fillId="0" borderId="120" xfId="2" applyNumberFormat="1" applyFont="1" applyFill="1" applyBorder="1" applyAlignment="1">
      <alignment horizontal="center" vertical="center"/>
    </xf>
    <xf numFmtId="4" fontId="22" fillId="0" borderId="120" xfId="0" applyNumberFormat="1" applyFont="1" applyBorder="1" applyAlignment="1">
      <alignment horizontal="center" vertical="center"/>
    </xf>
    <xf numFmtId="10" fontId="22" fillId="0" borderId="120" xfId="0" applyNumberFormat="1" applyFont="1" applyBorder="1" applyAlignment="1">
      <alignment horizontal="center" vertical="center"/>
    </xf>
    <xf numFmtId="2" fontId="22" fillId="0" borderId="120" xfId="0" applyNumberFormat="1" applyFont="1" applyBorder="1" applyAlignment="1">
      <alignment horizontal="center" vertical="center"/>
    </xf>
    <xf numFmtId="0" fontId="9" fillId="0" borderId="130" xfId="0" applyFont="1" applyBorder="1" applyAlignment="1">
      <alignment vertical="center"/>
    </xf>
    <xf numFmtId="0" fontId="15" fillId="0" borderId="6" xfId="0" applyFont="1" applyBorder="1" applyAlignment="1">
      <alignment horizontal="left" vertical="center" wrapText="1"/>
    </xf>
    <xf numFmtId="0" fontId="27" fillId="0" borderId="6" xfId="0" applyFont="1" applyBorder="1" applyAlignment="1">
      <alignment horizontal="center" vertical="center"/>
    </xf>
    <xf numFmtId="4" fontId="10" fillId="0" borderId="6" xfId="0" applyNumberFormat="1" applyFont="1" applyFill="1" applyBorder="1" applyAlignment="1">
      <alignment horizontal="right" vertical="center"/>
    </xf>
    <xf numFmtId="4" fontId="10" fillId="0" borderId="6" xfId="0" applyNumberFormat="1" applyFont="1" applyFill="1" applyBorder="1" applyAlignment="1">
      <alignment horizontal="right" vertical="center" wrapText="1"/>
    </xf>
    <xf numFmtId="4" fontId="10" fillId="0" borderId="6" xfId="0" applyNumberFormat="1" applyFont="1" applyBorder="1" applyAlignment="1">
      <alignment horizontal="right" vertical="center"/>
    </xf>
    <xf numFmtId="4" fontId="10" fillId="0" borderId="13" xfId="0" applyNumberFormat="1" applyFont="1" applyBorder="1" applyAlignment="1">
      <alignment horizontal="right" vertical="center"/>
    </xf>
    <xf numFmtId="4" fontId="10" fillId="0" borderId="133" xfId="0" applyNumberFormat="1" applyFont="1" applyFill="1" applyBorder="1" applyAlignment="1">
      <alignment horizontal="right" vertical="center" wrapText="1"/>
    </xf>
    <xf numFmtId="167" fontId="10" fillId="3" borderId="133" xfId="0" applyNumberFormat="1" applyFont="1" applyFill="1" applyBorder="1" applyAlignment="1">
      <alignment horizontal="right" vertical="center"/>
    </xf>
    <xf numFmtId="4" fontId="10" fillId="0" borderId="133" xfId="0" applyNumberFormat="1" applyFont="1" applyBorder="1" applyAlignment="1">
      <alignment horizontal="right" vertical="center"/>
    </xf>
    <xf numFmtId="2" fontId="10" fillId="3" borderId="133" xfId="0" applyNumberFormat="1" applyFont="1" applyFill="1" applyBorder="1" applyAlignment="1">
      <alignment horizontal="right" vertical="center" wrapText="1"/>
    </xf>
    <xf numFmtId="0" fontId="10" fillId="0" borderId="133" xfId="0" quotePrefix="1" applyFont="1" applyFill="1" applyBorder="1" applyAlignment="1">
      <alignment horizontal="center" vertical="center" wrapText="1"/>
    </xf>
    <xf numFmtId="4" fontId="10" fillId="0" borderId="120" xfId="0" applyNumberFormat="1" applyFont="1" applyBorder="1" applyAlignment="1">
      <alignment horizontal="right" vertical="center"/>
    </xf>
    <xf numFmtId="4" fontId="10" fillId="3" borderId="133" xfId="0" applyNumberFormat="1" applyFont="1" applyFill="1" applyBorder="1" applyAlignment="1">
      <alignment horizontal="right" vertical="center" wrapText="1"/>
    </xf>
    <xf numFmtId="4" fontId="10" fillId="3" borderId="133" xfId="0" applyNumberFormat="1" applyFont="1" applyFill="1" applyBorder="1" applyAlignment="1">
      <alignment horizontal="right" vertical="center"/>
    </xf>
    <xf numFmtId="0" fontId="10" fillId="0" borderId="120" xfId="0" applyFont="1" applyBorder="1" applyAlignment="1">
      <alignment horizontal="left" vertical="center" wrapText="1"/>
    </xf>
    <xf numFmtId="4" fontId="10" fillId="3" borderId="120" xfId="0" applyNumberFormat="1" applyFont="1" applyFill="1" applyBorder="1" applyAlignment="1">
      <alignment horizontal="right" vertical="center"/>
    </xf>
    <xf numFmtId="0" fontId="10" fillId="0" borderId="123" xfId="0" applyFont="1" applyFill="1" applyBorder="1" applyAlignment="1">
      <alignment horizontal="left" vertical="center" wrapText="1"/>
    </xf>
    <xf numFmtId="2" fontId="15" fillId="3" borderId="133" xfId="0" applyNumberFormat="1" applyFont="1" applyFill="1" applyBorder="1" applyAlignment="1">
      <alignment horizontal="right" vertical="center"/>
    </xf>
    <xf numFmtId="0" fontId="10" fillId="0" borderId="133" xfId="0" applyFont="1" applyFill="1" applyBorder="1" applyAlignment="1">
      <alignment horizontal="center" vertical="center"/>
    </xf>
    <xf numFmtId="0" fontId="15" fillId="0" borderId="133" xfId="0" applyFont="1" applyFill="1" applyBorder="1" applyAlignment="1">
      <alignment horizontal="center" vertical="center"/>
    </xf>
    <xf numFmtId="0" fontId="15" fillId="0" borderId="123" xfId="0" applyFont="1" applyFill="1" applyBorder="1" applyAlignment="1">
      <alignment horizontal="center" vertical="center"/>
    </xf>
    <xf numFmtId="2" fontId="10" fillId="3" borderId="123" xfId="0" applyNumberFormat="1" applyFont="1" applyFill="1" applyBorder="1" applyAlignment="1">
      <alignment horizontal="right" vertical="center"/>
    </xf>
    <xf numFmtId="0" fontId="17" fillId="33" borderId="19" xfId="0" applyFont="1" applyFill="1" applyBorder="1" applyAlignment="1">
      <alignment horizontal="center" vertical="center"/>
    </xf>
    <xf numFmtId="0" fontId="7" fillId="33" borderId="20" xfId="0" quotePrefix="1" applyFont="1" applyFill="1" applyBorder="1" applyAlignment="1">
      <alignment horizontal="center" vertical="center"/>
    </xf>
    <xf numFmtId="0" fontId="7" fillId="33" borderId="20" xfId="0" applyFont="1" applyFill="1" applyBorder="1" applyAlignment="1">
      <alignment horizontal="left" vertical="center" wrapText="1"/>
    </xf>
    <xf numFmtId="2" fontId="7" fillId="33" borderId="20" xfId="0" applyNumberFormat="1" applyFont="1" applyFill="1" applyBorder="1" applyAlignment="1">
      <alignment horizontal="right" vertical="center" wrapText="1"/>
    </xf>
    <xf numFmtId="167" fontId="10" fillId="33" borderId="78" xfId="0" applyNumberFormat="1" applyFont="1" applyFill="1" applyBorder="1" applyAlignment="1">
      <alignment horizontal="right" vertical="center" wrapText="1"/>
    </xf>
    <xf numFmtId="4" fontId="7" fillId="33" borderId="20" xfId="0" applyNumberFormat="1" applyFont="1" applyFill="1" applyBorder="1" applyAlignment="1">
      <alignment horizontal="right" vertical="center" wrapText="1"/>
    </xf>
    <xf numFmtId="0" fontId="10" fillId="0" borderId="104" xfId="0" applyFont="1" applyFill="1" applyBorder="1" applyAlignment="1">
      <alignment horizontal="center" vertical="center"/>
    </xf>
    <xf numFmtId="167" fontId="10" fillId="0" borderId="134" xfId="0" applyNumberFormat="1" applyFont="1" applyFill="1" applyBorder="1" applyAlignment="1">
      <alignment horizontal="right" vertical="center" wrapText="1"/>
    </xf>
    <xf numFmtId="0" fontId="17" fillId="33" borderId="104" xfId="0" applyFont="1" applyFill="1" applyBorder="1" applyAlignment="1">
      <alignment horizontal="center" vertical="center"/>
    </xf>
    <xf numFmtId="0" fontId="7" fillId="33" borderId="133" xfId="0" quotePrefix="1" applyFont="1" applyFill="1" applyBorder="1" applyAlignment="1">
      <alignment horizontal="center" vertical="center"/>
    </xf>
    <xf numFmtId="0" fontId="7" fillId="33" borderId="133" xfId="0" applyFont="1" applyFill="1" applyBorder="1" applyAlignment="1">
      <alignment horizontal="left" vertical="center" wrapText="1"/>
    </xf>
    <xf numFmtId="2" fontId="7" fillId="33" borderId="133" xfId="0" applyNumberFormat="1" applyFont="1" applyFill="1" applyBorder="1" applyAlignment="1">
      <alignment horizontal="right" vertical="center" wrapText="1"/>
    </xf>
    <xf numFmtId="167" fontId="10" fillId="33" borderId="134" xfId="0" applyNumberFormat="1" applyFont="1" applyFill="1" applyBorder="1" applyAlignment="1">
      <alignment horizontal="right" vertical="center" wrapText="1"/>
    </xf>
    <xf numFmtId="4" fontId="7" fillId="33" borderId="133" xfId="0" applyNumberFormat="1" applyFont="1" applyFill="1" applyBorder="1" applyAlignment="1">
      <alignment horizontal="right" vertical="center" wrapText="1"/>
    </xf>
    <xf numFmtId="0" fontId="10" fillId="0" borderId="120" xfId="0" quotePrefix="1" applyFont="1" applyBorder="1" applyAlignment="1">
      <alignment horizontal="center" vertical="center"/>
    </xf>
    <xf numFmtId="173" fontId="15" fillId="0" borderId="120" xfId="1" applyNumberFormat="1" applyFont="1" applyBorder="1" applyAlignment="1">
      <alignment horizontal="center" vertical="center"/>
    </xf>
    <xf numFmtId="167" fontId="10" fillId="0" borderId="121" xfId="0" applyNumberFormat="1" applyFont="1" applyFill="1" applyBorder="1" applyAlignment="1">
      <alignment horizontal="right" vertical="center" wrapText="1"/>
    </xf>
    <xf numFmtId="4" fontId="10" fillId="0" borderId="112" xfId="0" applyNumberFormat="1" applyFont="1" applyBorder="1" applyAlignment="1">
      <alignment horizontal="right" vertical="center"/>
    </xf>
    <xf numFmtId="2" fontId="10" fillId="0" borderId="55" xfId="0" applyNumberFormat="1" applyFont="1" applyFill="1" applyBorder="1" applyAlignment="1">
      <alignment horizontal="right" vertical="center"/>
    </xf>
    <xf numFmtId="167" fontId="10" fillId="0" borderId="123" xfId="0" applyNumberFormat="1" applyFont="1" applyFill="1" applyBorder="1" applyAlignment="1">
      <alignment horizontal="right" vertical="center" wrapText="1"/>
    </xf>
    <xf numFmtId="0" fontId="33" fillId="33" borderId="133" xfId="0" applyFont="1" applyFill="1" applyBorder="1" applyAlignment="1">
      <alignment horizontal="left" vertical="center" wrapText="1"/>
    </xf>
    <xf numFmtId="167" fontId="10" fillId="33" borderId="133" xfId="0" applyNumberFormat="1" applyFont="1" applyFill="1" applyBorder="1" applyAlignment="1">
      <alignment horizontal="right" vertical="center" wrapText="1"/>
    </xf>
    <xf numFmtId="4" fontId="10" fillId="33" borderId="133" xfId="0" applyNumberFormat="1" applyFont="1" applyFill="1" applyBorder="1" applyAlignment="1">
      <alignment horizontal="right" vertical="center"/>
    </xf>
    <xf numFmtId="0" fontId="30" fillId="0" borderId="133" xfId="0" applyFont="1" applyBorder="1" applyAlignment="1">
      <alignment horizontal="center" vertical="center"/>
    </xf>
    <xf numFmtId="167" fontId="10" fillId="0" borderId="133" xfId="0" applyNumberFormat="1" applyFont="1" applyFill="1" applyBorder="1" applyAlignment="1">
      <alignment horizontal="right" vertical="center" wrapText="1"/>
    </xf>
    <xf numFmtId="0" fontId="8" fillId="0" borderId="133" xfId="0" quotePrefix="1" applyFont="1" applyFill="1" applyBorder="1" applyAlignment="1">
      <alignment horizontal="center" vertical="center" wrapText="1"/>
    </xf>
    <xf numFmtId="10" fontId="22" fillId="0" borderId="123" xfId="0" applyNumberFormat="1" applyFont="1" applyBorder="1" applyAlignment="1">
      <alignment horizontal="right" vertical="center"/>
    </xf>
    <xf numFmtId="0" fontId="10" fillId="6" borderId="133" xfId="0" applyFont="1" applyFill="1" applyBorder="1" applyAlignment="1">
      <alignment horizontal="center" vertical="center"/>
    </xf>
    <xf numFmtId="166" fontId="17" fillId="2" borderId="19" xfId="0" quotePrefix="1" applyNumberFormat="1" applyFont="1" applyFill="1" applyBorder="1" applyAlignment="1">
      <alignment horizontal="center" vertical="center"/>
    </xf>
    <xf numFmtId="0" fontId="17" fillId="2" borderId="20" xfId="0" applyFont="1" applyFill="1" applyBorder="1" applyAlignment="1">
      <alignment horizontal="left" vertical="center" wrapText="1"/>
    </xf>
    <xf numFmtId="0" fontId="17" fillId="2" borderId="20" xfId="0" applyFont="1" applyFill="1" applyBorder="1" applyAlignment="1">
      <alignment horizontal="center" vertical="center" wrapText="1"/>
    </xf>
    <xf numFmtId="2" fontId="17" fillId="5" borderId="20" xfId="0" applyNumberFormat="1" applyFont="1" applyFill="1" applyBorder="1" applyAlignment="1">
      <alignment horizontal="right" vertical="center" wrapText="1"/>
    </xf>
    <xf numFmtId="0" fontId="17" fillId="2" borderId="20" xfId="0" applyFont="1" applyFill="1" applyBorder="1" applyAlignment="1">
      <alignment horizontal="right" vertical="center" wrapText="1"/>
    </xf>
    <xf numFmtId="4" fontId="17" fillId="2" borderId="20" xfId="0" applyNumberFormat="1" applyFont="1" applyFill="1" applyBorder="1" applyAlignment="1">
      <alignment horizontal="right" vertical="center" wrapText="1"/>
    </xf>
    <xf numFmtId="4" fontId="17" fillId="2" borderId="38" xfId="0" applyNumberFormat="1" applyFont="1" applyFill="1" applyBorder="1" applyAlignment="1">
      <alignment horizontal="center" vertical="center" wrapText="1"/>
    </xf>
    <xf numFmtId="0" fontId="10" fillId="0" borderId="112" xfId="0" quotePrefix="1" applyFont="1" applyBorder="1" applyAlignment="1">
      <alignment horizontal="center" vertical="center"/>
    </xf>
    <xf numFmtId="0" fontId="10" fillId="0" borderId="121" xfId="0" quotePrefix="1" applyFont="1" applyBorder="1" applyAlignment="1">
      <alignment horizontal="left" vertical="center"/>
    </xf>
    <xf numFmtId="0" fontId="10" fillId="0" borderId="120" xfId="0" applyFont="1" applyBorder="1" applyAlignment="1">
      <alignment horizontal="right" vertical="center"/>
    </xf>
    <xf numFmtId="10" fontId="22" fillId="0" borderId="120" xfId="0" applyNumberFormat="1" applyFont="1" applyBorder="1" applyAlignment="1">
      <alignment horizontal="right" vertical="center"/>
    </xf>
    <xf numFmtId="0" fontId="15" fillId="0" borderId="104" xfId="0" applyFont="1" applyBorder="1" applyAlignment="1">
      <alignment vertical="center"/>
    </xf>
    <xf numFmtId="0" fontId="21" fillId="0" borderId="133" xfId="0" applyFont="1" applyBorder="1" applyAlignment="1">
      <alignment horizontal="justify" vertical="center" wrapText="1"/>
    </xf>
    <xf numFmtId="0" fontId="21" fillId="0" borderId="133" xfId="0" applyFont="1" applyBorder="1" applyAlignment="1">
      <alignment horizontal="center" vertical="center" wrapText="1"/>
    </xf>
    <xf numFmtId="171" fontId="21" fillId="0" borderId="133" xfId="0" applyNumberFormat="1" applyFont="1" applyBorder="1" applyAlignment="1">
      <alignment horizontal="center" vertical="center" wrapText="1"/>
    </xf>
    <xf numFmtId="167" fontId="21" fillId="0" borderId="124" xfId="0" applyNumberFormat="1" applyFont="1" applyBorder="1" applyAlignment="1">
      <alignment horizontal="center" vertical="center" wrapText="1"/>
    </xf>
    <xf numFmtId="171" fontId="9" fillId="0" borderId="133" xfId="0" applyNumberFormat="1" applyFont="1" applyBorder="1" applyAlignment="1">
      <alignment horizontal="center" vertical="center"/>
    </xf>
    <xf numFmtId="167" fontId="23" fillId="0" borderId="124" xfId="0" applyNumberFormat="1" applyFont="1" applyBorder="1" applyAlignment="1">
      <alignment horizontal="center" vertical="center" wrapText="1"/>
    </xf>
    <xf numFmtId="0" fontId="15" fillId="0" borderId="133" xfId="0" applyFont="1" applyBorder="1" applyAlignment="1">
      <alignment horizontal="justify" vertical="center" wrapText="1"/>
    </xf>
    <xf numFmtId="171" fontId="15" fillId="0" borderId="133" xfId="0" applyNumberFormat="1" applyFont="1" applyBorder="1" applyAlignment="1">
      <alignment horizontal="center" vertical="center" wrapText="1"/>
    </xf>
    <xf numFmtId="4" fontId="17" fillId="6" borderId="133" xfId="0" applyNumberFormat="1" applyFont="1" applyFill="1" applyBorder="1" applyAlignment="1">
      <alignment horizontal="right" vertical="center"/>
    </xf>
    <xf numFmtId="178" fontId="9" fillId="0" borderId="133" xfId="0" applyNumberFormat="1" applyFont="1" applyBorder="1" applyAlignment="1">
      <alignment horizontal="center" vertical="center"/>
    </xf>
    <xf numFmtId="172" fontId="9" fillId="0" borderId="133" xfId="0" applyNumberFormat="1" applyFont="1" applyBorder="1" applyAlignment="1">
      <alignment horizontal="center" vertical="center"/>
    </xf>
    <xf numFmtId="0" fontId="9" fillId="0" borderId="104" xfId="0" applyFont="1" applyBorder="1" applyAlignment="1">
      <alignment horizontal="center" vertical="center" wrapText="1"/>
    </xf>
    <xf numFmtId="0" fontId="25" fillId="0" borderId="133" xfId="0" applyFont="1" applyBorder="1" applyAlignment="1">
      <alignment wrapText="1"/>
    </xf>
    <xf numFmtId="2" fontId="15" fillId="0" borderId="133" xfId="0" applyNumberFormat="1" applyFont="1" applyBorder="1" applyAlignment="1">
      <alignment horizontal="center" vertical="center"/>
    </xf>
    <xf numFmtId="167" fontId="24" fillId="0" borderId="124" xfId="0" applyNumberFormat="1" applyFont="1" applyBorder="1" applyAlignment="1">
      <alignment horizontal="center" vertical="center" wrapText="1"/>
    </xf>
    <xf numFmtId="0" fontId="0" fillId="0" borderId="21" xfId="0" applyBorder="1"/>
    <xf numFmtId="0" fontId="0" fillId="0" borderId="120" xfId="0" applyBorder="1" applyAlignment="1">
      <alignment horizontal="left" vertical="center" wrapText="1"/>
    </xf>
    <xf numFmtId="0" fontId="0" fillId="0" borderId="120" xfId="0" applyBorder="1" applyAlignment="1"/>
    <xf numFmtId="0" fontId="0" fillId="0" borderId="17" xfId="0" applyBorder="1" applyAlignment="1">
      <alignment horizontal="left" vertical="center" wrapText="1"/>
    </xf>
    <xf numFmtId="0" fontId="9" fillId="0" borderId="124" xfId="0" applyFont="1" applyBorder="1" applyAlignment="1">
      <alignment horizontal="center" vertical="center" wrapText="1"/>
    </xf>
    <xf numFmtId="0" fontId="23" fillId="0" borderId="124" xfId="0" applyFont="1" applyBorder="1" applyAlignment="1">
      <alignment horizontal="left" vertical="center" wrapText="1"/>
    </xf>
    <xf numFmtId="0" fontId="9" fillId="0" borderId="133" xfId="0" quotePrefix="1" applyFont="1" applyFill="1" applyBorder="1" applyAlignment="1">
      <alignment horizontal="center" vertical="center"/>
    </xf>
    <xf numFmtId="171" fontId="9" fillId="0" borderId="133" xfId="0" applyNumberFormat="1" applyFont="1" applyFill="1" applyBorder="1" applyAlignment="1">
      <alignment horizontal="center" vertical="center"/>
    </xf>
    <xf numFmtId="0" fontId="15" fillId="0" borderId="104" xfId="0" applyFont="1" applyFill="1" applyBorder="1" applyAlignment="1">
      <alignment vertical="center"/>
    </xf>
    <xf numFmtId="0" fontId="21" fillId="0" borderId="133" xfId="0" applyFont="1" applyFill="1" applyBorder="1" applyAlignment="1">
      <alignment horizontal="justify" vertical="center" wrapText="1"/>
    </xf>
    <xf numFmtId="0" fontId="21" fillId="0" borderId="133" xfId="0" applyFont="1" applyFill="1" applyBorder="1" applyAlignment="1">
      <alignment horizontal="center" vertical="center" wrapText="1"/>
    </xf>
    <xf numFmtId="171" fontId="21" fillId="0" borderId="133" xfId="0" applyNumberFormat="1" applyFont="1" applyFill="1" applyBorder="1" applyAlignment="1">
      <alignment horizontal="center" vertical="center" wrapText="1"/>
    </xf>
    <xf numFmtId="0" fontId="17" fillId="0" borderId="133" xfId="0" applyFont="1" applyFill="1" applyBorder="1" applyAlignment="1">
      <alignment horizontal="center" vertical="center" wrapText="1"/>
    </xf>
    <xf numFmtId="0" fontId="31" fillId="30" borderId="104" xfId="5" applyFont="1" applyFill="1" applyBorder="1" applyAlignment="1">
      <alignment horizontal="center" vertical="center" wrapText="1"/>
    </xf>
    <xf numFmtId="0" fontId="77" fillId="0" borderId="133" xfId="0" applyFont="1" applyBorder="1"/>
    <xf numFmtId="0" fontId="15" fillId="0" borderId="104" xfId="0" applyFont="1" applyFill="1" applyBorder="1" applyAlignment="1">
      <alignment horizontal="center" vertical="center"/>
    </xf>
    <xf numFmtId="0" fontId="15" fillId="0" borderId="133" xfId="0" applyFont="1" applyFill="1" applyBorder="1" applyAlignment="1">
      <alignment horizontal="justify" vertical="center" wrapText="1"/>
    </xf>
    <xf numFmtId="0" fontId="15" fillId="0" borderId="133" xfId="0" applyFont="1" applyFill="1" applyBorder="1" applyAlignment="1">
      <alignment horizontal="center" vertical="center" wrapText="1"/>
    </xf>
    <xf numFmtId="171" fontId="15" fillId="0" borderId="133" xfId="0" applyNumberFormat="1" applyFont="1" applyFill="1" applyBorder="1" applyAlignment="1">
      <alignment horizontal="center" vertical="center" wrapText="1"/>
    </xf>
    <xf numFmtId="4" fontId="17" fillId="0" borderId="133" xfId="0" applyNumberFormat="1" applyFont="1" applyFill="1" applyBorder="1" applyAlignment="1">
      <alignment horizontal="right" vertical="center"/>
    </xf>
    <xf numFmtId="0" fontId="9" fillId="0" borderId="104" xfId="0" quotePrefix="1" applyFont="1" applyFill="1" applyBorder="1" applyAlignment="1">
      <alignment horizontal="center" vertical="center"/>
    </xf>
    <xf numFmtId="0" fontId="9" fillId="0" borderId="133" xfId="0" applyFont="1" applyBorder="1"/>
    <xf numFmtId="0" fontId="21" fillId="0" borderId="133" xfId="0" applyFont="1" applyBorder="1" applyAlignment="1">
      <alignment horizontal="left" vertical="center"/>
    </xf>
    <xf numFmtId="0" fontId="77" fillId="0" borderId="133" xfId="0" applyFont="1" applyBorder="1" applyAlignment="1">
      <alignment horizontal="left" vertical="center" wrapText="1"/>
    </xf>
    <xf numFmtId="0" fontId="9" fillId="0" borderId="104" xfId="0" applyFont="1" applyFill="1" applyBorder="1" applyAlignment="1">
      <alignment horizontal="center" vertical="center" wrapText="1"/>
    </xf>
    <xf numFmtId="0" fontId="25" fillId="0" borderId="133" xfId="0" applyFont="1" applyFill="1" applyBorder="1" applyAlignment="1">
      <alignment wrapText="1"/>
    </xf>
    <xf numFmtId="2" fontId="15" fillId="0" borderId="133" xfId="0" applyNumberFormat="1" applyFont="1" applyFill="1" applyBorder="1" applyAlignment="1">
      <alignment horizontal="center" vertical="center"/>
    </xf>
    <xf numFmtId="0" fontId="26" fillId="0" borderId="10" xfId="0" applyFont="1" applyBorder="1" applyAlignment="1">
      <alignment horizontal="center" vertical="center"/>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10" fillId="0" borderId="0" xfId="0" applyFont="1" applyBorder="1" applyAlignment="1">
      <alignment vertical="center" wrapText="1"/>
    </xf>
    <xf numFmtId="0" fontId="24" fillId="0" borderId="0" xfId="0" applyFont="1" applyBorder="1" applyAlignment="1">
      <alignment horizontal="right" vertical="center"/>
    </xf>
    <xf numFmtId="0" fontId="10" fillId="0" borderId="123" xfId="0" applyFont="1" applyFill="1" applyBorder="1" applyAlignment="1">
      <alignment horizontal="center" vertical="center"/>
    </xf>
    <xf numFmtId="2" fontId="10" fillId="3" borderId="123" xfId="1" applyNumberFormat="1" applyFont="1" applyFill="1" applyBorder="1" applyAlignment="1" applyProtection="1">
      <alignment horizontal="right" vertical="center"/>
      <protection locked="0"/>
    </xf>
    <xf numFmtId="0" fontId="10" fillId="0" borderId="15" xfId="0" quotePrefix="1" applyFont="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Border="1" applyAlignment="1">
      <alignment horizontal="left" vertical="center" wrapText="1"/>
    </xf>
    <xf numFmtId="2" fontId="10" fillId="3" borderId="6" xfId="1" applyNumberFormat="1" applyFont="1" applyFill="1" applyBorder="1" applyAlignment="1" applyProtection="1">
      <alignment horizontal="right" vertical="center"/>
      <protection locked="0"/>
    </xf>
    <xf numFmtId="4" fontId="10" fillId="0" borderId="2" xfId="0" applyNumberFormat="1" applyFont="1" applyBorder="1" applyAlignment="1">
      <alignment horizontal="right" vertical="center"/>
    </xf>
    <xf numFmtId="2" fontId="10" fillId="3" borderId="133" xfId="1" applyNumberFormat="1" applyFont="1" applyFill="1" applyBorder="1" applyAlignment="1" applyProtection="1">
      <alignment horizontal="right" vertical="center"/>
      <protection locked="0"/>
    </xf>
    <xf numFmtId="0" fontId="10" fillId="0" borderId="125" xfId="0" quotePrefix="1" applyFont="1" applyBorder="1" applyAlignment="1">
      <alignment horizontal="center" vertical="center"/>
    </xf>
    <xf numFmtId="0" fontId="10" fillId="0" borderId="123" xfId="0" quotePrefix="1" applyFont="1" applyFill="1" applyBorder="1" applyAlignment="1">
      <alignment horizontal="left" vertical="center" wrapText="1"/>
    </xf>
    <xf numFmtId="0" fontId="9" fillId="0" borderId="133" xfId="0" quotePrefix="1" applyFont="1" applyBorder="1" applyAlignment="1">
      <alignment horizontal="center" vertical="center"/>
    </xf>
    <xf numFmtId="0" fontId="17" fillId="4" borderId="104" xfId="0" applyFont="1" applyFill="1" applyBorder="1" applyAlignment="1">
      <alignment vertical="center"/>
    </xf>
    <xf numFmtId="0" fontId="17" fillId="0" borderId="133" xfId="0" applyFont="1" applyBorder="1" applyAlignment="1">
      <alignment horizontal="justify" vertical="center" wrapText="1"/>
    </xf>
    <xf numFmtId="0" fontId="17" fillId="0" borderId="133" xfId="0" applyFont="1" applyBorder="1" applyAlignment="1">
      <alignment horizontal="center" vertical="center" wrapText="1"/>
    </xf>
    <xf numFmtId="171" fontId="17" fillId="0" borderId="133" xfId="0" applyNumberFormat="1" applyFont="1" applyBorder="1" applyAlignment="1">
      <alignment horizontal="center" vertical="center" wrapText="1"/>
    </xf>
    <xf numFmtId="167" fontId="17" fillId="0" borderId="133" xfId="0" applyNumberFormat="1" applyFont="1" applyBorder="1" applyAlignment="1">
      <alignment horizontal="center" vertical="center" wrapText="1"/>
    </xf>
    <xf numFmtId="0" fontId="9" fillId="0" borderId="133" xfId="0" applyFont="1" applyBorder="1" applyAlignment="1">
      <alignment horizontal="justify" vertical="center" wrapText="1"/>
    </xf>
    <xf numFmtId="0" fontId="31" fillId="0" borderId="104" xfId="5" applyFont="1" applyBorder="1" applyAlignment="1">
      <alignment horizontal="center" vertical="center" wrapText="1"/>
    </xf>
    <xf numFmtId="0" fontId="31" fillId="0" borderId="133" xfId="5" applyFont="1" applyBorder="1" applyAlignment="1">
      <alignment horizontal="left" vertical="center" wrapText="1"/>
    </xf>
    <xf numFmtId="167" fontId="10" fillId="0" borderId="133" xfId="0" applyNumberFormat="1" applyFont="1" applyBorder="1" applyAlignment="1">
      <alignment vertical="center" wrapText="1"/>
    </xf>
    <xf numFmtId="167" fontId="10" fillId="0" borderId="133" xfId="0" applyNumberFormat="1" applyFont="1" applyBorder="1" applyAlignment="1">
      <alignment vertical="center"/>
    </xf>
    <xf numFmtId="0" fontId="23" fillId="0" borderId="133" xfId="0" applyFont="1" applyBorder="1" applyAlignment="1">
      <alignment horizontal="left" vertical="center" wrapText="1"/>
    </xf>
    <xf numFmtId="0" fontId="9" fillId="0" borderId="133" xfId="0" applyFont="1" applyBorder="1" applyAlignment="1">
      <alignment horizontal="left" vertical="center"/>
    </xf>
    <xf numFmtId="0" fontId="24" fillId="0" borderId="120" xfId="0" applyFont="1" applyBorder="1" applyAlignment="1">
      <alignment horizontal="right" vertical="center"/>
    </xf>
    <xf numFmtId="172" fontId="10" fillId="0" borderId="133" xfId="0" applyNumberFormat="1" applyFont="1" applyBorder="1" applyAlignment="1">
      <alignment horizontal="center" vertical="center"/>
    </xf>
    <xf numFmtId="172" fontId="15" fillId="0" borderId="133" xfId="0" applyNumberFormat="1" applyFont="1" applyBorder="1" applyAlignment="1">
      <alignment horizontal="center" vertical="center" wrapText="1"/>
    </xf>
    <xf numFmtId="2" fontId="24" fillId="0" borderId="120" xfId="0" applyNumberFormat="1" applyFont="1" applyBorder="1" applyAlignment="1">
      <alignment horizontal="center" vertical="center"/>
    </xf>
    <xf numFmtId="0" fontId="15" fillId="0" borderId="104" xfId="0" applyFont="1" applyBorder="1" applyAlignment="1">
      <alignment horizontal="center" vertical="center"/>
    </xf>
    <xf numFmtId="0" fontId="10" fillId="0" borderId="133" xfId="0" applyFont="1" applyBorder="1" applyAlignment="1">
      <alignment vertical="center" wrapText="1"/>
    </xf>
    <xf numFmtId="0" fontId="31" fillId="0" borderId="28" xfId="5" applyFont="1" applyBorder="1" applyAlignment="1">
      <alignment horizontal="center" vertical="center" wrapText="1"/>
    </xf>
    <xf numFmtId="0" fontId="31" fillId="0" borderId="6" xfId="5" applyFont="1" applyBorder="1" applyAlignment="1">
      <alignment horizontal="left" vertical="center" wrapText="1"/>
    </xf>
    <xf numFmtId="167" fontId="10" fillId="0" borderId="6" xfId="0" applyNumberFormat="1" applyFont="1" applyBorder="1" applyAlignment="1">
      <alignment vertical="center" wrapText="1"/>
    </xf>
    <xf numFmtId="167" fontId="10" fillId="0" borderId="6" xfId="0" applyNumberFormat="1" applyFont="1" applyBorder="1" applyAlignment="1">
      <alignment vertical="center"/>
    </xf>
    <xf numFmtId="4" fontId="17" fillId="6" borderId="55" xfId="0" applyNumberFormat="1" applyFont="1" applyFill="1" applyBorder="1" applyAlignment="1">
      <alignment horizontal="right" vertical="center"/>
    </xf>
    <xf numFmtId="167" fontId="17" fillId="0" borderId="13" xfId="0" applyNumberFormat="1" applyFont="1" applyBorder="1" applyAlignment="1">
      <alignment horizontal="center" vertical="center"/>
    </xf>
    <xf numFmtId="0" fontId="10" fillId="0" borderId="120" xfId="0" applyFont="1" applyBorder="1" applyAlignment="1">
      <alignment vertical="center" wrapText="1"/>
    </xf>
    <xf numFmtId="167" fontId="10" fillId="0" borderId="120" xfId="0" applyNumberFormat="1" applyFont="1" applyBorder="1" applyAlignment="1">
      <alignment vertical="center" wrapText="1"/>
    </xf>
    <xf numFmtId="167" fontId="10" fillId="0" borderId="120" xfId="0" applyNumberFormat="1" applyFont="1" applyBorder="1" applyAlignment="1">
      <alignment vertical="center"/>
    </xf>
    <xf numFmtId="4" fontId="17" fillId="6" borderId="120" xfId="0" applyNumberFormat="1" applyFont="1" applyFill="1" applyBorder="1" applyAlignment="1">
      <alignment horizontal="right" vertical="center"/>
    </xf>
    <xf numFmtId="0" fontId="17" fillId="0" borderId="104" xfId="0" applyFont="1" applyFill="1" applyBorder="1" applyAlignment="1">
      <alignment vertical="center"/>
    </xf>
    <xf numFmtId="0" fontId="22" fillId="0" borderId="133" xfId="0" applyFont="1" applyFill="1" applyBorder="1" applyAlignment="1">
      <alignment horizontal="justify" vertical="center" wrapText="1"/>
    </xf>
    <xf numFmtId="0" fontId="22" fillId="0" borderId="133" xfId="0" applyFont="1" applyFill="1" applyBorder="1" applyAlignment="1">
      <alignment horizontal="center" vertical="center" wrapText="1"/>
    </xf>
    <xf numFmtId="171" fontId="22" fillId="0" borderId="133" xfId="0" applyNumberFormat="1" applyFont="1" applyFill="1" applyBorder="1" applyAlignment="1">
      <alignment horizontal="center" vertical="center" wrapText="1"/>
    </xf>
    <xf numFmtId="167" fontId="22" fillId="0" borderId="133" xfId="0" applyNumberFormat="1" applyFont="1" applyFill="1" applyBorder="1" applyAlignment="1">
      <alignment horizontal="center" vertical="center" wrapText="1"/>
    </xf>
    <xf numFmtId="0" fontId="9" fillId="0" borderId="104" xfId="0" applyFont="1" applyFill="1" applyBorder="1" applyAlignment="1">
      <alignment horizontal="center" vertical="center"/>
    </xf>
    <xf numFmtId="172" fontId="9" fillId="0" borderId="133" xfId="0" applyNumberFormat="1" applyFont="1" applyFill="1" applyBorder="1" applyAlignment="1">
      <alignment horizontal="center" vertical="center"/>
    </xf>
    <xf numFmtId="0" fontId="31" fillId="0" borderId="104" xfId="5" applyFont="1" applyFill="1" applyBorder="1" applyAlignment="1">
      <alignment horizontal="center" vertical="center" wrapText="1"/>
    </xf>
    <xf numFmtId="0" fontId="31" fillId="0" borderId="133" xfId="5" applyFont="1" applyFill="1" applyBorder="1" applyAlignment="1">
      <alignment horizontal="left" vertical="center" wrapText="1"/>
    </xf>
    <xf numFmtId="167" fontId="10" fillId="0" borderId="133" xfId="0" applyNumberFormat="1" applyFont="1" applyFill="1" applyBorder="1" applyAlignment="1">
      <alignment vertical="center" wrapText="1"/>
    </xf>
    <xf numFmtId="167" fontId="10" fillId="0" borderId="133" xfId="0" applyNumberFormat="1" applyFont="1" applyFill="1" applyBorder="1" applyAlignment="1">
      <alignment vertical="center"/>
    </xf>
    <xf numFmtId="0" fontId="24" fillId="0" borderId="133" xfId="0" applyFont="1" applyFill="1" applyBorder="1" applyAlignment="1">
      <alignment horizontal="center" vertical="center" wrapText="1"/>
    </xf>
    <xf numFmtId="171" fontId="24" fillId="0" borderId="133" xfId="0" applyNumberFormat="1" applyFont="1" applyFill="1" applyBorder="1" applyAlignment="1">
      <alignment horizontal="center" vertical="center" wrapText="1"/>
    </xf>
    <xf numFmtId="166" fontId="9" fillId="0" borderId="104" xfId="0" applyNumberFormat="1" applyFont="1" applyFill="1" applyBorder="1" applyAlignment="1">
      <alignment horizontal="center" vertical="center" wrapText="1"/>
    </xf>
    <xf numFmtId="171" fontId="23" fillId="0" borderId="133" xfId="0" applyNumberFormat="1" applyFont="1" applyFill="1" applyBorder="1" applyAlignment="1">
      <alignment horizontal="center" vertical="center" wrapText="1"/>
    </xf>
    <xf numFmtId="0" fontId="23" fillId="0" borderId="133" xfId="0" applyFont="1" applyFill="1" applyBorder="1" applyAlignment="1">
      <alignment horizontal="left" vertical="center" wrapText="1"/>
    </xf>
    <xf numFmtId="166" fontId="10" fillId="0" borderId="104" xfId="0" applyNumberFormat="1" applyFont="1" applyFill="1" applyBorder="1" applyAlignment="1">
      <alignment horizontal="center" vertical="center" wrapText="1"/>
    </xf>
    <xf numFmtId="0" fontId="10" fillId="5" borderId="33" xfId="0" applyFont="1" applyFill="1" applyBorder="1" applyAlignment="1">
      <alignment horizontal="center" vertical="center"/>
    </xf>
    <xf numFmtId="167" fontId="22" fillId="5" borderId="36" xfId="0" applyNumberFormat="1" applyFont="1" applyFill="1" applyBorder="1" applyAlignment="1">
      <alignment horizontal="center" vertical="center" wrapText="1"/>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0" fontId="9" fillId="6" borderId="133" xfId="0" quotePrefix="1" applyFont="1" applyFill="1" applyBorder="1" applyAlignment="1">
      <alignment horizontal="left" vertical="center" wrapText="1"/>
    </xf>
    <xf numFmtId="0" fontId="22" fillId="0" borderId="133" xfId="0" applyFont="1" applyBorder="1" applyAlignment="1">
      <alignment horizontal="justify" vertical="center" wrapText="1"/>
    </xf>
    <xf numFmtId="0" fontId="23" fillId="0" borderId="133"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33" xfId="0" applyFont="1" applyFill="1" applyBorder="1" applyAlignment="1">
      <alignment horizontal="left" vertical="center" wrapText="1"/>
    </xf>
    <xf numFmtId="0" fontId="15" fillId="0" borderId="135" xfId="0" applyFont="1" applyBorder="1" applyAlignment="1">
      <alignment horizontal="center" vertical="center" wrapText="1"/>
    </xf>
    <xf numFmtId="0" fontId="17" fillId="0" borderId="104" xfId="0" applyFont="1" applyBorder="1" applyAlignment="1">
      <alignment vertical="center" wrapText="1"/>
    </xf>
    <xf numFmtId="0" fontId="10" fillId="2" borderId="16" xfId="0" applyFont="1" applyFill="1" applyBorder="1" applyAlignment="1">
      <alignment horizontal="center" vertical="center"/>
    </xf>
    <xf numFmtId="0" fontId="21" fillId="0" borderId="120" xfId="0" applyFont="1" applyBorder="1" applyAlignment="1">
      <alignment horizontal="justify" vertical="center" wrapText="1"/>
    </xf>
    <xf numFmtId="0" fontId="21" fillId="0" borderId="120" xfId="0" applyFont="1" applyBorder="1" applyAlignment="1">
      <alignment horizontal="center" vertical="center" wrapText="1"/>
    </xf>
    <xf numFmtId="171" fontId="21" fillId="0" borderId="120" xfId="0" applyNumberFormat="1" applyFont="1" applyBorder="1" applyAlignment="1">
      <alignment horizontal="center" vertical="center" wrapText="1"/>
    </xf>
    <xf numFmtId="0" fontId="17" fillId="6" borderId="120" xfId="0" applyFont="1" applyFill="1" applyBorder="1" applyAlignment="1">
      <alignment horizontal="center" vertical="center" wrapText="1"/>
    </xf>
    <xf numFmtId="0" fontId="15" fillId="0" borderId="120" xfId="0" applyFont="1" applyBorder="1" applyAlignment="1">
      <alignment horizontal="center" vertical="center" wrapText="1"/>
    </xf>
    <xf numFmtId="172" fontId="23" fillId="0" borderId="120" xfId="0" applyNumberFormat="1" applyFont="1" applyBorder="1" applyAlignment="1">
      <alignment horizontal="center" vertical="center" wrapText="1"/>
    </xf>
    <xf numFmtId="4" fontId="17" fillId="6" borderId="6" xfId="0" applyNumberFormat="1" applyFont="1" applyFill="1" applyBorder="1" applyAlignment="1">
      <alignment horizontal="right" vertical="center"/>
    </xf>
    <xf numFmtId="0" fontId="77" fillId="0" borderId="133" xfId="0" applyFont="1" applyBorder="1" applyAlignment="1">
      <alignment horizontal="left" vertical="center"/>
    </xf>
    <xf numFmtId="0" fontId="68" fillId="5" borderId="42" xfId="0" applyFont="1" applyFill="1" applyBorder="1" applyAlignment="1">
      <alignment horizontal="center" vertical="center"/>
    </xf>
    <xf numFmtId="167" fontId="21" fillId="0" borderId="128" xfId="0" applyNumberFormat="1" applyFont="1" applyFill="1" applyBorder="1" applyAlignment="1">
      <alignment horizontal="center" vertical="center" wrapText="1"/>
    </xf>
    <xf numFmtId="167" fontId="17" fillId="0" borderId="130" xfId="3" applyNumberFormat="1" applyFont="1" applyFill="1" applyBorder="1" applyAlignment="1">
      <alignment horizontal="center" vertical="center" wrapText="1"/>
    </xf>
    <xf numFmtId="0" fontId="10" fillId="0" borderId="10" xfId="3" applyFont="1" applyFill="1" applyBorder="1" applyAlignment="1">
      <alignment horizontal="center" vertical="center"/>
    </xf>
    <xf numFmtId="167" fontId="17" fillId="0" borderId="11" xfId="3" applyNumberFormat="1" applyFont="1" applyFill="1" applyBorder="1" applyAlignment="1">
      <alignment horizontal="center" vertical="center" wrapText="1"/>
    </xf>
    <xf numFmtId="0" fontId="85" fillId="0" borderId="133" xfId="0" applyFont="1" applyBorder="1"/>
    <xf numFmtId="172" fontId="23" fillId="0" borderId="14" xfId="0" applyNumberFormat="1" applyFont="1" applyFill="1" applyBorder="1" applyAlignment="1">
      <alignment horizontal="center" vertical="center" wrapText="1"/>
    </xf>
    <xf numFmtId="171" fontId="23" fillId="0" borderId="14" xfId="0" applyNumberFormat="1" applyFont="1" applyFill="1" applyBorder="1" applyAlignment="1">
      <alignment horizontal="center" vertical="center" wrapText="1"/>
    </xf>
    <xf numFmtId="181" fontId="23" fillId="0" borderId="14" xfId="0" applyNumberFormat="1" applyFont="1" applyFill="1" applyBorder="1" applyAlignment="1">
      <alignment horizontal="center" vertical="center" wrapText="1"/>
    </xf>
    <xf numFmtId="178" fontId="24" fillId="0" borderId="14" xfId="0" applyNumberFormat="1" applyFont="1" applyFill="1" applyBorder="1" applyAlignment="1">
      <alignment horizontal="center" vertical="center" wrapText="1"/>
    </xf>
    <xf numFmtId="0" fontId="68" fillId="2" borderId="42" xfId="0" applyFont="1" applyFill="1" applyBorder="1" applyAlignment="1">
      <alignment horizontal="center" vertical="center"/>
    </xf>
    <xf numFmtId="0" fontId="9" fillId="0" borderId="104" xfId="0" quotePrefix="1" applyFont="1" applyBorder="1" applyAlignment="1">
      <alignment horizontal="center" vertical="center"/>
    </xf>
    <xf numFmtId="167" fontId="9" fillId="0" borderId="133" xfId="0" applyNumberFormat="1" applyFont="1" applyBorder="1" applyAlignment="1">
      <alignment horizontal="center" vertical="center" wrapText="1"/>
    </xf>
    <xf numFmtId="164" fontId="9" fillId="0" borderId="133" xfId="0" quotePrefix="1" applyNumberFormat="1" applyFont="1" applyBorder="1" applyAlignment="1">
      <alignment horizontal="center" vertical="center" wrapText="1"/>
    </xf>
    <xf numFmtId="0" fontId="22" fillId="0" borderId="133" xfId="0" applyFont="1" applyBorder="1" applyAlignment="1">
      <alignment horizontal="right" vertical="center" wrapText="1"/>
    </xf>
    <xf numFmtId="167" fontId="9" fillId="0" borderId="133" xfId="0" applyNumberFormat="1" applyFont="1" applyBorder="1" applyAlignment="1">
      <alignment vertical="center"/>
    </xf>
    <xf numFmtId="0" fontId="60" fillId="0" borderId="10" xfId="0" applyFont="1" applyBorder="1" applyAlignment="1">
      <alignment horizontal="center"/>
    </xf>
    <xf numFmtId="0" fontId="60" fillId="0" borderId="11" xfId="0" applyFont="1" applyBorder="1" applyAlignment="1">
      <alignment horizontal="center"/>
    </xf>
    <xf numFmtId="0" fontId="9" fillId="6" borderId="104" xfId="55" applyNumberFormat="1" applyFont="1" applyFill="1" applyBorder="1" applyAlignment="1">
      <alignment horizontal="center" vertical="center" wrapText="1"/>
    </xf>
    <xf numFmtId="179" fontId="9" fillId="0" borderId="133" xfId="0" quotePrefix="1" applyNumberFormat="1" applyFont="1" applyBorder="1" applyAlignment="1">
      <alignment horizontal="center" vertical="center" wrapText="1"/>
    </xf>
    <xf numFmtId="167" fontId="9" fillId="0" borderId="133" xfId="0" applyNumberFormat="1" applyFont="1" applyBorder="1" applyAlignment="1">
      <alignment horizontal="right" vertical="center" wrapText="1"/>
    </xf>
    <xf numFmtId="0" fontId="9" fillId="0" borderId="133" xfId="0" applyFont="1" applyBorder="1" applyAlignment="1">
      <alignment vertical="center" wrapText="1"/>
    </xf>
    <xf numFmtId="0" fontId="22" fillId="0" borderId="120" xfId="0" applyFont="1" applyBorder="1" applyAlignment="1">
      <alignment horizontal="right" vertical="center"/>
    </xf>
    <xf numFmtId="167" fontId="22" fillId="0" borderId="120" xfId="0" applyNumberFormat="1" applyFont="1" applyBorder="1" applyAlignment="1">
      <alignment vertical="center"/>
    </xf>
    <xf numFmtId="0" fontId="10" fillId="0" borderId="6" xfId="0" quotePrefix="1" applyFont="1" applyBorder="1" applyAlignment="1">
      <alignment horizontal="center" vertical="center"/>
    </xf>
    <xf numFmtId="0" fontId="8" fillId="0" borderId="6" xfId="0" quotePrefix="1" applyFont="1" applyBorder="1" applyAlignment="1">
      <alignment horizontal="center" vertical="center"/>
    </xf>
    <xf numFmtId="0" fontId="10" fillId="0" borderId="123" xfId="0" quotePrefix="1" applyFont="1" applyBorder="1" applyAlignment="1">
      <alignment horizontal="left" vertical="center" wrapText="1"/>
    </xf>
    <xf numFmtId="0" fontId="10" fillId="0" borderId="133" xfId="0" quotePrefix="1" applyFont="1" applyBorder="1" applyAlignment="1">
      <alignment horizontal="left" vertical="center" wrapText="1"/>
    </xf>
    <xf numFmtId="0" fontId="10" fillId="0" borderId="133" xfId="0" quotePrefix="1" applyFont="1" applyFill="1" applyBorder="1" applyAlignment="1">
      <alignment horizontal="right" vertical="center" wrapText="1"/>
    </xf>
    <xf numFmtId="0" fontId="9" fillId="0" borderId="134" xfId="0" applyFont="1" applyFill="1" applyBorder="1" applyAlignment="1">
      <alignment horizontal="center" vertical="center"/>
    </xf>
    <xf numFmtId="0" fontId="9" fillId="0" borderId="133" xfId="0" applyFont="1" applyFill="1" applyBorder="1" applyAlignment="1">
      <alignment horizontal="center" vertical="center"/>
    </xf>
    <xf numFmtId="0" fontId="10" fillId="0" borderId="6" xfId="0" applyFont="1" applyFill="1" applyBorder="1" applyAlignment="1">
      <alignment horizontal="left" vertical="center" wrapText="1"/>
    </xf>
    <xf numFmtId="0" fontId="9" fillId="0" borderId="77" xfId="0" applyFont="1" applyBorder="1" applyAlignment="1">
      <alignment horizontal="center" vertical="center"/>
    </xf>
    <xf numFmtId="0" fontId="84" fillId="0" borderId="133" xfId="0" applyFont="1" applyFill="1" applyBorder="1" applyAlignment="1">
      <alignment horizontal="left" vertical="center" wrapText="1"/>
    </xf>
    <xf numFmtId="0" fontId="15" fillId="0" borderId="133" xfId="0" applyFont="1" applyBorder="1" applyAlignment="1">
      <alignment horizontal="left" vertical="center"/>
    </xf>
    <xf numFmtId="0" fontId="10" fillId="0" borderId="134" xfId="0" applyFont="1" applyFill="1" applyBorder="1" applyAlignment="1">
      <alignment horizontal="center" vertical="center"/>
    </xf>
    <xf numFmtId="0" fontId="10" fillId="0" borderId="133" xfId="0" quotePrefix="1" applyFont="1" applyBorder="1" applyAlignment="1">
      <alignment horizontal="left" vertical="center"/>
    </xf>
    <xf numFmtId="2" fontId="10" fillId="3" borderId="133" xfId="0" applyNumberFormat="1" applyFont="1" applyFill="1" applyBorder="1" applyAlignment="1">
      <alignment horizontal="right" vertical="center"/>
    </xf>
    <xf numFmtId="2" fontId="15" fillId="3" borderId="6" xfId="0" applyNumberFormat="1" applyFont="1" applyFill="1" applyBorder="1" applyAlignment="1">
      <alignment horizontal="right" vertical="center"/>
    </xf>
    <xf numFmtId="4" fontId="10" fillId="3" borderId="133" xfId="0" applyNumberFormat="1" applyFont="1" applyFill="1" applyBorder="1" applyAlignment="1">
      <alignment vertical="center"/>
    </xf>
    <xf numFmtId="10" fontId="22" fillId="0" borderId="133" xfId="0" applyNumberFormat="1" applyFont="1" applyBorder="1" applyAlignment="1">
      <alignment horizontal="right" vertical="center"/>
    </xf>
    <xf numFmtId="4" fontId="10" fillId="32" borderId="55" xfId="0" applyNumberFormat="1" applyFont="1" applyFill="1" applyBorder="1" applyAlignment="1">
      <alignment horizontal="right" vertical="center"/>
    </xf>
    <xf numFmtId="2" fontId="15" fillId="0" borderId="133" xfId="0" applyNumberFormat="1" applyFont="1" applyFill="1" applyBorder="1" applyAlignment="1">
      <alignment horizontal="right" vertical="center"/>
    </xf>
    <xf numFmtId="0" fontId="17" fillId="32" borderId="10" xfId="0" applyFont="1" applyFill="1" applyBorder="1" applyAlignment="1">
      <alignment horizontal="center" vertical="center"/>
    </xf>
    <xf numFmtId="0" fontId="10" fillId="32" borderId="55" xfId="0" quotePrefix="1" applyFont="1" applyFill="1" applyBorder="1" applyAlignment="1">
      <alignment horizontal="center" vertical="center"/>
    </xf>
    <xf numFmtId="0" fontId="17" fillId="32" borderId="55" xfId="0" quotePrefix="1" applyFont="1" applyFill="1" applyBorder="1" applyAlignment="1">
      <alignment horizontal="left" vertical="center"/>
    </xf>
    <xf numFmtId="2" fontId="10" fillId="32" borderId="55" xfId="0" applyNumberFormat="1" applyFont="1" applyFill="1" applyBorder="1" applyAlignment="1">
      <alignment horizontal="right" vertical="center"/>
    </xf>
    <xf numFmtId="4" fontId="10" fillId="32" borderId="55" xfId="0" applyNumberFormat="1" applyFont="1" applyFill="1" applyBorder="1" applyAlignment="1">
      <alignment horizontal="right" vertical="center" wrapText="1"/>
    </xf>
    <xf numFmtId="4" fontId="10" fillId="32" borderId="59" xfId="0" applyNumberFormat="1" applyFont="1" applyFill="1" applyBorder="1" applyAlignment="1">
      <alignment horizontal="right" vertical="center"/>
    </xf>
    <xf numFmtId="0" fontId="10" fillId="0" borderId="77" xfId="0" applyFont="1" applyBorder="1" applyAlignment="1">
      <alignment horizontal="center" vertical="center"/>
    </xf>
    <xf numFmtId="0" fontId="10" fillId="0" borderId="55" xfId="0" quotePrefix="1" applyFont="1" applyBorder="1" applyAlignment="1">
      <alignment horizontal="center" vertical="center"/>
    </xf>
    <xf numFmtId="2" fontId="10" fillId="0" borderId="55" xfId="0" applyNumberFormat="1" applyFont="1" applyFill="1" applyBorder="1" applyAlignment="1">
      <alignment vertical="center"/>
    </xf>
    <xf numFmtId="0" fontId="10" fillId="0" borderId="55" xfId="0" applyFont="1" applyBorder="1" applyAlignment="1">
      <alignment horizontal="center" vertical="center"/>
    </xf>
    <xf numFmtId="0" fontId="17" fillId="2" borderId="133" xfId="0" quotePrefix="1" applyFont="1" applyFill="1" applyBorder="1" applyAlignment="1">
      <alignment horizontal="center" vertical="center"/>
    </xf>
    <xf numFmtId="0" fontId="17" fillId="2" borderId="133" xfId="0" applyFont="1" applyFill="1" applyBorder="1" applyAlignment="1">
      <alignment horizontal="left" vertical="center" wrapText="1"/>
    </xf>
    <xf numFmtId="0" fontId="10" fillId="0" borderId="55" xfId="0" applyFont="1" applyBorder="1" applyAlignment="1">
      <alignment horizontal="left" vertical="center" wrapText="1"/>
    </xf>
    <xf numFmtId="0" fontId="17" fillId="2" borderId="133" xfId="0" applyFont="1" applyFill="1" applyBorder="1" applyAlignment="1">
      <alignment horizontal="center" vertical="center" wrapText="1"/>
    </xf>
    <xf numFmtId="2" fontId="17" fillId="5" borderId="133" xfId="0" applyNumberFormat="1" applyFont="1" applyFill="1" applyBorder="1" applyAlignment="1">
      <alignment horizontal="center" vertical="center" wrapText="1"/>
    </xf>
    <xf numFmtId="4" fontId="17" fillId="2" borderId="133" xfId="0" applyNumberFormat="1" applyFont="1" applyFill="1" applyBorder="1" applyAlignment="1">
      <alignment horizontal="center" vertical="center" wrapText="1"/>
    </xf>
    <xf numFmtId="4" fontId="10" fillId="0" borderId="55" xfId="0" applyNumberFormat="1" applyFont="1" applyFill="1" applyBorder="1" applyAlignment="1">
      <alignment horizontal="right" vertical="center"/>
    </xf>
    <xf numFmtId="2" fontId="10" fillId="0" borderId="123" xfId="0" applyNumberFormat="1" applyFont="1" applyFill="1" applyBorder="1" applyAlignment="1">
      <alignment vertical="center"/>
    </xf>
    <xf numFmtId="4" fontId="10" fillId="5" borderId="133" xfId="0" applyNumberFormat="1" applyFont="1" applyFill="1" applyBorder="1" applyAlignment="1">
      <alignment horizontal="right" vertical="center"/>
    </xf>
    <xf numFmtId="0" fontId="9" fillId="0" borderId="119" xfId="0" applyFont="1" applyBorder="1" applyAlignment="1">
      <alignment horizontal="center" vertical="center"/>
    </xf>
    <xf numFmtId="167" fontId="10" fillId="0" borderId="0" xfId="0" applyNumberFormat="1" applyFont="1" applyFill="1" applyBorder="1" applyAlignment="1">
      <alignment horizontal="left" vertical="center"/>
    </xf>
    <xf numFmtId="4" fontId="10" fillId="32" borderId="133" xfId="0" applyNumberFormat="1" applyFont="1" applyFill="1" applyBorder="1" applyAlignment="1">
      <alignment horizontal="right" vertical="center"/>
    </xf>
    <xf numFmtId="0" fontId="10" fillId="32" borderId="133" xfId="0" quotePrefix="1" applyFont="1" applyFill="1" applyBorder="1" applyAlignment="1">
      <alignment horizontal="center" vertical="center"/>
    </xf>
    <xf numFmtId="0" fontId="17" fillId="32" borderId="133" xfId="0" quotePrefix="1" applyFont="1" applyFill="1" applyBorder="1" applyAlignment="1">
      <alignment horizontal="left" vertical="center"/>
    </xf>
    <xf numFmtId="2" fontId="10" fillId="32" borderId="133" xfId="0" applyNumberFormat="1" applyFont="1" applyFill="1" applyBorder="1" applyAlignment="1">
      <alignment horizontal="right" vertical="center"/>
    </xf>
    <xf numFmtId="4" fontId="10" fillId="32" borderId="133" xfId="0" applyNumberFormat="1" applyFont="1" applyFill="1" applyBorder="1" applyAlignment="1">
      <alignment horizontal="right" vertical="center" wrapText="1"/>
    </xf>
    <xf numFmtId="0" fontId="8" fillId="0" borderId="0" xfId="0" applyFont="1" applyBorder="1" applyAlignment="1">
      <alignment horizontal="left" vertical="center" wrapText="1"/>
    </xf>
    <xf numFmtId="0" fontId="8" fillId="0" borderId="43" xfId="0" applyFont="1" applyBorder="1" applyAlignment="1">
      <alignment horizontal="left" vertical="center" wrapText="1"/>
    </xf>
    <xf numFmtId="2" fontId="72" fillId="0" borderId="0" xfId="0" applyNumberFormat="1" applyFont="1" applyFill="1" applyBorder="1" applyAlignment="1">
      <alignment horizontal="center" vertical="center" wrapText="1"/>
    </xf>
    <xf numFmtId="4" fontId="71" fillId="0" borderId="0" xfId="0" applyNumberFormat="1" applyFont="1" applyBorder="1" applyAlignment="1">
      <alignment horizontal="center" vertical="center"/>
    </xf>
    <xf numFmtId="0" fontId="10" fillId="0" borderId="6" xfId="0" quotePrefix="1" applyFont="1" applyFill="1" applyBorder="1" applyAlignment="1">
      <alignment horizontal="left" vertical="center" wrapText="1"/>
    </xf>
    <xf numFmtId="0" fontId="10" fillId="0" borderId="75" xfId="0" quotePrefix="1" applyFont="1" applyBorder="1" applyAlignment="1">
      <alignment horizontal="center" vertical="center"/>
    </xf>
    <xf numFmtId="0" fontId="10" fillId="0" borderId="6" xfId="0" quotePrefix="1" applyFont="1" applyFill="1" applyBorder="1" applyAlignment="1">
      <alignment horizontal="center" vertical="center" wrapText="1"/>
    </xf>
    <xf numFmtId="4" fontId="10" fillId="3" borderId="6" xfId="0" applyNumberFormat="1" applyFont="1" applyFill="1" applyBorder="1" applyAlignment="1">
      <alignment horizontal="right" vertical="center" wrapText="1"/>
    </xf>
    <xf numFmtId="0" fontId="10" fillId="0" borderId="133" xfId="0" quotePrefix="1" applyFont="1" applyFill="1" applyBorder="1" applyAlignment="1">
      <alignment horizontal="left" vertical="center" wrapText="1"/>
    </xf>
    <xf numFmtId="4" fontId="10" fillId="0" borderId="0" xfId="0" applyNumberFormat="1" applyFont="1" applyBorder="1" applyAlignment="1">
      <alignment horizontal="center" vertical="center"/>
    </xf>
    <xf numFmtId="0" fontId="18" fillId="0" borderId="0" xfId="0" applyFont="1" applyAlignment="1">
      <alignment horizontal="center" vertical="center"/>
    </xf>
    <xf numFmtId="182" fontId="15" fillId="0" borderId="0" xfId="0" applyNumberFormat="1" applyFont="1" applyAlignment="1">
      <alignment horizontal="left" vertical="center"/>
    </xf>
    <xf numFmtId="182" fontId="0" fillId="0" borderId="0" xfId="0" applyNumberFormat="1" applyAlignment="1">
      <alignment horizontal="left" vertical="center"/>
    </xf>
    <xf numFmtId="0" fontId="10" fillId="0" borderId="118" xfId="0" applyFont="1" applyFill="1" applyBorder="1" applyAlignment="1">
      <alignment horizontal="center" vertical="center"/>
    </xf>
    <xf numFmtId="0" fontId="10" fillId="0" borderId="110" xfId="0" quotePrefix="1" applyFont="1" applyBorder="1" applyAlignment="1">
      <alignment horizontal="center" vertical="center"/>
    </xf>
    <xf numFmtId="0" fontId="10" fillId="32" borderId="104" xfId="0" applyFont="1" applyFill="1" applyBorder="1" applyAlignment="1">
      <alignment horizontal="center" vertical="center"/>
    </xf>
    <xf numFmtId="0" fontId="84" fillId="0" borderId="133" xfId="0" applyFont="1" applyBorder="1" applyAlignment="1">
      <alignment horizontal="left" vertical="center"/>
    </xf>
    <xf numFmtId="0" fontId="10" fillId="0" borderId="104" xfId="0" quotePrefix="1" applyFont="1" applyBorder="1" applyAlignment="1">
      <alignment horizontal="center" vertical="center"/>
    </xf>
    <xf numFmtId="166" fontId="10" fillId="0" borderId="104" xfId="0" quotePrefix="1" applyNumberFormat="1" applyFont="1" applyFill="1" applyBorder="1" applyAlignment="1">
      <alignment horizontal="center" vertical="center"/>
    </xf>
    <xf numFmtId="0" fontId="10" fillId="0" borderId="120" xfId="0" applyFont="1" applyFill="1" applyBorder="1" applyAlignment="1">
      <alignment horizontal="right" vertical="center" wrapText="1"/>
    </xf>
    <xf numFmtId="4" fontId="10" fillId="0" borderId="120" xfId="0" applyNumberFormat="1" applyFont="1" applyFill="1" applyBorder="1" applyAlignment="1">
      <alignment horizontal="right" vertical="center" wrapText="1"/>
    </xf>
    <xf numFmtId="0" fontId="9" fillId="6" borderId="135" xfId="0" applyFont="1" applyFill="1" applyBorder="1" applyAlignment="1">
      <alignment horizontal="center" vertical="center"/>
    </xf>
    <xf numFmtId="0" fontId="17" fillId="32" borderId="118" xfId="0" applyFont="1" applyFill="1" applyBorder="1" applyAlignment="1">
      <alignment horizontal="center" vertical="center"/>
    </xf>
    <xf numFmtId="0" fontId="10" fillId="0" borderId="133" xfId="0" applyFont="1" applyFill="1" applyBorder="1" applyAlignment="1">
      <alignment horizontal="justify" vertical="center" wrapText="1"/>
    </xf>
    <xf numFmtId="0" fontId="17" fillId="32" borderId="104" xfId="0" applyFont="1" applyFill="1" applyBorder="1" applyAlignment="1">
      <alignment horizontal="center" vertical="center"/>
    </xf>
    <xf numFmtId="0" fontId="10" fillId="0" borderId="119" xfId="0" quotePrefix="1" applyFont="1" applyBorder="1" applyAlignment="1">
      <alignment horizontal="left" vertical="center" wrapText="1"/>
    </xf>
    <xf numFmtId="0" fontId="10" fillId="0" borderId="121" xfId="0" quotePrefix="1" applyFont="1" applyBorder="1" applyAlignment="1">
      <alignment horizontal="center" vertical="center"/>
    </xf>
    <xf numFmtId="0" fontId="10" fillId="6" borderId="133" xfId="0" applyFont="1" applyFill="1" applyBorder="1" applyAlignment="1">
      <alignment horizontal="left" vertical="center" wrapText="1"/>
    </xf>
    <xf numFmtId="0" fontId="10" fillId="0" borderId="133" xfId="0" applyFont="1" applyBorder="1" applyAlignment="1">
      <alignment horizontal="right" vertical="center"/>
    </xf>
    <xf numFmtId="10" fontId="17" fillId="0" borderId="133" xfId="0" applyNumberFormat="1" applyFont="1" applyBorder="1" applyAlignment="1">
      <alignment horizontal="right" vertical="center"/>
    </xf>
    <xf numFmtId="4" fontId="17" fillId="0" borderId="14" xfId="0" applyNumberFormat="1" applyFont="1" applyBorder="1" applyAlignment="1">
      <alignment horizontal="right" vertical="center"/>
    </xf>
    <xf numFmtId="0" fontId="10" fillId="32" borderId="120" xfId="0" quotePrefix="1" applyFont="1" applyFill="1" applyBorder="1" applyAlignment="1">
      <alignment horizontal="center" vertical="center"/>
    </xf>
    <xf numFmtId="0" fontId="17" fillId="32" borderId="120" xfId="0" quotePrefix="1" applyFont="1" applyFill="1" applyBorder="1" applyAlignment="1">
      <alignment horizontal="left" vertical="center"/>
    </xf>
    <xf numFmtId="2" fontId="10" fillId="32" borderId="120" xfId="0" applyNumberFormat="1" applyFont="1" applyFill="1" applyBorder="1" applyAlignment="1">
      <alignment horizontal="right" vertical="center"/>
    </xf>
    <xf numFmtId="4" fontId="10" fillId="32" borderId="120" xfId="0" applyNumberFormat="1" applyFont="1" applyFill="1" applyBorder="1" applyAlignment="1">
      <alignment horizontal="right" vertical="center" wrapText="1"/>
    </xf>
    <xf numFmtId="4" fontId="10" fillId="32" borderId="120" xfId="0" applyNumberFormat="1" applyFont="1" applyFill="1" applyBorder="1" applyAlignment="1">
      <alignment horizontal="right" vertical="center"/>
    </xf>
    <xf numFmtId="0" fontId="15" fillId="0" borderId="133" xfId="0" applyFont="1" applyBorder="1" applyAlignment="1">
      <alignment horizontal="center" vertical="center"/>
    </xf>
    <xf numFmtId="166" fontId="17" fillId="2" borderId="104" xfId="0" quotePrefix="1" applyNumberFormat="1" applyFont="1" applyFill="1" applyBorder="1" applyAlignment="1">
      <alignment horizontal="center" vertical="center"/>
    </xf>
    <xf numFmtId="4" fontId="17" fillId="2" borderId="14" xfId="0" applyNumberFormat="1" applyFont="1" applyFill="1" applyBorder="1" applyAlignment="1">
      <alignment horizontal="center" vertical="center" wrapText="1"/>
    </xf>
    <xf numFmtId="4" fontId="10" fillId="0" borderId="133" xfId="0" applyNumberFormat="1" applyFont="1" applyFill="1" applyBorder="1" applyAlignment="1">
      <alignment horizontal="center" vertical="center" wrapText="1"/>
    </xf>
    <xf numFmtId="4" fontId="10" fillId="0" borderId="133" xfId="0" applyNumberFormat="1" applyFont="1" applyBorder="1" applyAlignment="1">
      <alignment horizontal="center" vertical="center"/>
    </xf>
    <xf numFmtId="2" fontId="10" fillId="3" borderId="133" xfId="1" applyNumberFormat="1" applyFont="1" applyFill="1" applyBorder="1" applyAlignment="1">
      <alignment horizontal="right" vertical="center" wrapText="1"/>
    </xf>
    <xf numFmtId="4" fontId="10" fillId="0" borderId="135" xfId="0" applyNumberFormat="1" applyFont="1" applyBorder="1" applyAlignment="1">
      <alignment horizontal="right" vertical="center"/>
    </xf>
    <xf numFmtId="2" fontId="10" fillId="3" borderId="133" xfId="1" applyNumberFormat="1" applyFont="1" applyFill="1" applyBorder="1" applyAlignment="1">
      <alignment horizontal="right" vertical="center"/>
    </xf>
    <xf numFmtId="0" fontId="10" fillId="0" borderId="133" xfId="0" applyFont="1" applyFill="1" applyBorder="1" applyAlignment="1">
      <alignment vertical="center" wrapText="1"/>
    </xf>
    <xf numFmtId="0" fontId="30" fillId="0" borderId="120" xfId="0" applyFont="1" applyBorder="1" applyAlignment="1">
      <alignment wrapText="1"/>
    </xf>
    <xf numFmtId="2" fontId="10" fillId="0" borderId="120" xfId="0" applyNumberFormat="1" applyFont="1" applyFill="1" applyBorder="1" applyAlignment="1">
      <alignment vertical="center"/>
    </xf>
    <xf numFmtId="0" fontId="10" fillId="0" borderId="120" xfId="0" applyFont="1" applyBorder="1" applyAlignment="1">
      <alignment horizontal="center" vertical="center"/>
    </xf>
    <xf numFmtId="2" fontId="10" fillId="6" borderId="120" xfId="1" applyNumberFormat="1" applyFont="1" applyFill="1" applyBorder="1" applyAlignment="1">
      <alignment horizontal="center" vertical="center"/>
    </xf>
    <xf numFmtId="4" fontId="10" fillId="0" borderId="135" xfId="0" applyNumberFormat="1" applyFont="1" applyBorder="1" applyAlignment="1">
      <alignment horizontal="center" vertical="center"/>
    </xf>
    <xf numFmtId="0" fontId="9" fillId="0" borderId="133" xfId="0" quotePrefix="1" applyFont="1" applyFill="1" applyBorder="1" applyAlignment="1">
      <alignment horizontal="center" vertical="center" wrapText="1"/>
    </xf>
    <xf numFmtId="0" fontId="17" fillId="36" borderId="118" xfId="0" quotePrefix="1" applyFont="1" applyFill="1" applyBorder="1" applyAlignment="1">
      <alignment horizontal="center" vertical="center"/>
    </xf>
    <xf numFmtId="0" fontId="7" fillId="36" borderId="133" xfId="0" quotePrefix="1" applyFont="1" applyFill="1" applyBorder="1" applyAlignment="1">
      <alignment horizontal="center" vertical="center"/>
    </xf>
    <xf numFmtId="0" fontId="21" fillId="36" borderId="133" xfId="0" applyFont="1" applyFill="1" applyBorder="1" applyAlignment="1">
      <alignment horizontal="justify" vertical="center"/>
    </xf>
    <xf numFmtId="0" fontId="10" fillId="36" borderId="133" xfId="0" quotePrefix="1" applyFont="1" applyFill="1" applyBorder="1" applyAlignment="1">
      <alignment horizontal="center" vertical="center"/>
    </xf>
    <xf numFmtId="2" fontId="7" fillId="36" borderId="133" xfId="0" applyNumberFormat="1" applyFont="1" applyFill="1" applyBorder="1" applyAlignment="1">
      <alignment horizontal="center" vertical="center" wrapText="1"/>
    </xf>
    <xf numFmtId="4" fontId="7" fillId="36" borderId="133" xfId="0" applyNumberFormat="1" applyFont="1" applyFill="1" applyBorder="1" applyAlignment="1">
      <alignment horizontal="center" vertical="center" wrapText="1"/>
    </xf>
    <xf numFmtId="2" fontId="10" fillId="36" borderId="133" xfId="1" applyNumberFormat="1" applyFont="1" applyFill="1" applyBorder="1" applyAlignment="1">
      <alignment horizontal="center" vertical="center"/>
    </xf>
    <xf numFmtId="0" fontId="10" fillId="0" borderId="118" xfId="0" quotePrefix="1" applyFont="1" applyBorder="1" applyAlignment="1">
      <alignment horizontal="center" vertical="center"/>
    </xf>
    <xf numFmtId="0" fontId="10" fillId="0" borderId="133" xfId="0" applyFont="1" applyFill="1" applyBorder="1" applyAlignment="1" applyProtection="1">
      <alignment horizontal="left" vertical="center" wrapText="1"/>
      <protection locked="0"/>
    </xf>
    <xf numFmtId="0" fontId="10" fillId="0" borderId="133" xfId="0" applyFont="1" applyFill="1" applyBorder="1" applyAlignment="1" applyProtection="1">
      <alignment horizontal="center" vertical="center"/>
      <protection locked="0"/>
    </xf>
    <xf numFmtId="43" fontId="10" fillId="0" borderId="133" xfId="1" applyFont="1" applyFill="1" applyBorder="1" applyAlignment="1">
      <alignment horizontal="center" vertical="center"/>
    </xf>
    <xf numFmtId="0" fontId="10" fillId="0" borderId="134" xfId="0" quotePrefix="1" applyFont="1" applyFill="1" applyBorder="1" applyAlignment="1">
      <alignment horizontal="center" vertical="center" wrapText="1"/>
    </xf>
    <xf numFmtId="2" fontId="10" fillId="6" borderId="120" xfId="1" applyNumberFormat="1" applyFont="1" applyFill="1" applyBorder="1" applyAlignment="1">
      <alignment horizontal="right" vertical="center"/>
    </xf>
    <xf numFmtId="10" fontId="17" fillId="0" borderId="120" xfId="0" applyNumberFormat="1" applyFont="1" applyBorder="1" applyAlignment="1">
      <alignment horizontal="right" vertical="center"/>
    </xf>
    <xf numFmtId="0" fontId="17" fillId="33" borderId="104" xfId="0" quotePrefix="1" applyFont="1" applyFill="1" applyBorder="1" applyAlignment="1">
      <alignment horizontal="center" vertical="center"/>
    </xf>
    <xf numFmtId="0" fontId="17" fillId="33" borderId="133" xfId="0" applyFont="1" applyFill="1" applyBorder="1" applyAlignment="1">
      <alignment horizontal="left" vertical="center" wrapText="1"/>
    </xf>
    <xf numFmtId="0" fontId="10" fillId="0" borderId="118" xfId="0" quotePrefix="1" applyFont="1" applyFill="1" applyBorder="1" applyAlignment="1">
      <alignment horizontal="center" vertical="center"/>
    </xf>
    <xf numFmtId="0" fontId="15" fillId="0" borderId="133" xfId="1" applyNumberFormat="1" applyFont="1" applyFill="1" applyBorder="1" applyAlignment="1">
      <alignment horizontal="center" vertical="center"/>
    </xf>
    <xf numFmtId="173" fontId="14" fillId="0" borderId="133" xfId="1" applyNumberFormat="1" applyFont="1" applyBorder="1" applyAlignment="1">
      <alignment horizontal="center" vertical="center"/>
    </xf>
    <xf numFmtId="0" fontId="9" fillId="0" borderId="133" xfId="1" applyNumberFormat="1" applyFont="1" applyFill="1" applyBorder="1" applyAlignment="1">
      <alignment horizontal="center" vertical="center"/>
    </xf>
    <xf numFmtId="0" fontId="9" fillId="6" borderId="133" xfId="0" quotePrefix="1" applyFont="1" applyFill="1" applyBorder="1" applyAlignment="1">
      <alignment horizontal="center" vertical="center" wrapText="1"/>
    </xf>
    <xf numFmtId="0" fontId="10" fillId="6" borderId="133" xfId="0" quotePrefix="1" applyFont="1" applyFill="1" applyBorder="1" applyAlignment="1">
      <alignment horizontal="center" vertical="center" wrapText="1"/>
    </xf>
    <xf numFmtId="0" fontId="10" fillId="6" borderId="123" xfId="0" quotePrefix="1" applyFont="1" applyFill="1" applyBorder="1" applyAlignment="1">
      <alignment horizontal="center" vertical="center" wrapText="1"/>
    </xf>
    <xf numFmtId="4" fontId="10" fillId="33" borderId="14" xfId="0" applyNumberFormat="1" applyFont="1" applyFill="1" applyBorder="1" applyAlignment="1">
      <alignment horizontal="right" vertical="center"/>
    </xf>
    <xf numFmtId="4" fontId="10" fillId="0" borderId="120" xfId="0" applyNumberFormat="1" applyFont="1" applyFill="1" applyBorder="1" applyAlignment="1">
      <alignment horizontal="right" vertical="center"/>
    </xf>
    <xf numFmtId="0" fontId="10" fillId="0" borderId="133" xfId="0" applyFont="1" applyBorder="1" applyAlignment="1">
      <alignment horizontal="left" vertical="center"/>
    </xf>
    <xf numFmtId="0" fontId="10" fillId="0" borderId="133" xfId="5" applyFont="1" applyBorder="1" applyAlignment="1">
      <alignment horizontal="left" vertical="center" wrapText="1"/>
    </xf>
    <xf numFmtId="2" fontId="10" fillId="0" borderId="120" xfId="0" applyNumberFormat="1" applyFont="1" applyBorder="1" applyAlignment="1">
      <alignment horizontal="right" vertical="center"/>
    </xf>
    <xf numFmtId="0" fontId="8" fillId="0" borderId="118" xfId="0" applyFont="1" applyBorder="1" applyAlignment="1">
      <alignment horizontal="center" vertical="center"/>
    </xf>
    <xf numFmtId="0" fontId="15" fillId="0" borderId="0" xfId="0" applyFont="1" applyBorder="1" applyAlignment="1">
      <alignment vertical="center"/>
    </xf>
    <xf numFmtId="0" fontId="2" fillId="0" borderId="0" xfId="0" applyFont="1" applyBorder="1" applyAlignment="1">
      <alignment horizontal="center" vertical="center"/>
    </xf>
    <xf numFmtId="164" fontId="15" fillId="0" borderId="0" xfId="0" applyNumberFormat="1" applyFont="1" applyFill="1" applyBorder="1" applyAlignment="1">
      <alignment vertical="center"/>
    </xf>
    <xf numFmtId="0" fontId="55" fillId="0" borderId="0" xfId="0" applyFont="1" applyBorder="1" applyAlignment="1">
      <alignment horizontal="center" vertical="center"/>
    </xf>
    <xf numFmtId="0" fontId="17" fillId="32" borderId="75" xfId="0" applyFont="1" applyFill="1" applyBorder="1" applyAlignment="1">
      <alignment horizontal="center" vertical="center"/>
    </xf>
    <xf numFmtId="0" fontId="17" fillId="32" borderId="28" xfId="0" applyFont="1" applyFill="1" applyBorder="1" applyAlignment="1">
      <alignment horizontal="center" vertical="center"/>
    </xf>
    <xf numFmtId="2" fontId="10" fillId="0" borderId="6" xfId="0" applyNumberFormat="1" applyFont="1" applyFill="1" applyBorder="1" applyAlignment="1">
      <alignment horizontal="right" vertical="center" wrapText="1"/>
    </xf>
    <xf numFmtId="0" fontId="9" fillId="0" borderId="113" xfId="0" applyFont="1" applyBorder="1" applyAlignment="1">
      <alignment horizontal="center" vertical="center"/>
    </xf>
    <xf numFmtId="0" fontId="10" fillId="0" borderId="113" xfId="0" applyFont="1" applyBorder="1" applyAlignment="1">
      <alignment horizontal="center" vertical="center"/>
    </xf>
    <xf numFmtId="0" fontId="8" fillId="0" borderId="113" xfId="0" applyFont="1" applyBorder="1" applyAlignment="1">
      <alignment vertical="center"/>
    </xf>
    <xf numFmtId="2" fontId="8" fillId="0" borderId="113" xfId="0" applyNumberFormat="1" applyFont="1" applyBorder="1" applyAlignment="1">
      <alignment horizontal="right" vertical="center" wrapText="1"/>
    </xf>
    <xf numFmtId="0" fontId="8" fillId="0" borderId="113" xfId="0" applyFont="1" applyBorder="1" applyAlignment="1">
      <alignment horizontal="center" vertical="center" wrapText="1"/>
    </xf>
    <xf numFmtId="4" fontId="7" fillId="0" borderId="113" xfId="1" applyNumberFormat="1" applyFont="1" applyBorder="1" applyAlignment="1">
      <alignment horizontal="right" vertical="center" wrapText="1"/>
    </xf>
    <xf numFmtId="164" fontId="17" fillId="0" borderId="113" xfId="0" applyNumberFormat="1" applyFont="1" applyBorder="1" applyAlignment="1">
      <alignment vertical="center" wrapText="1"/>
    </xf>
    <xf numFmtId="0" fontId="10" fillId="0" borderId="114" xfId="0" applyFont="1" applyBorder="1" applyAlignment="1">
      <alignment horizontal="right" vertical="center" wrapText="1"/>
    </xf>
    <xf numFmtId="0" fontId="10" fillId="0" borderId="104" xfId="0" quotePrefix="1" applyFont="1" applyFill="1" applyBorder="1" applyAlignment="1">
      <alignment horizontal="center" vertical="center"/>
    </xf>
    <xf numFmtId="0" fontId="10" fillId="0" borderId="57" xfId="0" quotePrefix="1" applyFont="1" applyBorder="1" applyAlignment="1">
      <alignment horizontal="left" vertical="center"/>
    </xf>
    <xf numFmtId="4" fontId="10" fillId="6" borderId="123" xfId="0" applyNumberFormat="1" applyFont="1" applyFill="1" applyBorder="1" applyAlignment="1">
      <alignment horizontal="right" vertical="center"/>
    </xf>
    <xf numFmtId="0" fontId="10" fillId="0" borderId="75" xfId="0" quotePrefix="1" applyFont="1" applyFill="1" applyBorder="1" applyAlignment="1">
      <alignment horizontal="center" vertical="center"/>
    </xf>
    <xf numFmtId="0" fontId="15" fillId="0" borderId="6" xfId="1" applyNumberFormat="1" applyFont="1" applyFill="1" applyBorder="1" applyAlignment="1">
      <alignment horizontal="center" vertical="center"/>
    </xf>
    <xf numFmtId="173" fontId="10" fillId="0" borderId="6" xfId="1" applyNumberFormat="1" applyFont="1" applyFill="1" applyBorder="1" applyAlignment="1">
      <alignment horizontal="left" vertical="center" wrapText="1"/>
    </xf>
    <xf numFmtId="0" fontId="17" fillId="33" borderId="133" xfId="0" applyFont="1" applyFill="1" applyBorder="1" applyAlignment="1">
      <alignment vertical="center" wrapText="1"/>
    </xf>
    <xf numFmtId="0" fontId="17" fillId="33" borderId="133" xfId="0" applyFont="1" applyFill="1" applyBorder="1" applyAlignment="1">
      <alignment horizontal="right" vertical="center" wrapText="1"/>
    </xf>
    <xf numFmtId="0" fontId="22" fillId="33" borderId="133" xfId="0" applyFont="1" applyFill="1" applyBorder="1" applyAlignment="1">
      <alignment horizontal="left" vertical="center" wrapText="1"/>
    </xf>
    <xf numFmtId="0" fontId="17" fillId="33" borderId="127" xfId="0" applyFont="1" applyFill="1" applyBorder="1" applyAlignment="1">
      <alignment horizontal="center" vertical="center"/>
    </xf>
    <xf numFmtId="0" fontId="7" fillId="33" borderId="123" xfId="0" quotePrefix="1" applyFont="1" applyFill="1" applyBorder="1" applyAlignment="1">
      <alignment horizontal="center" vertical="center"/>
    </xf>
    <xf numFmtId="0" fontId="7" fillId="33" borderId="123" xfId="0" applyFont="1" applyFill="1" applyBorder="1" applyAlignment="1">
      <alignment horizontal="left" vertical="center" wrapText="1"/>
    </xf>
    <xf numFmtId="2" fontId="7" fillId="33" borderId="123" xfId="0" applyNumberFormat="1" applyFont="1" applyFill="1" applyBorder="1" applyAlignment="1">
      <alignment horizontal="right" vertical="center" wrapText="1"/>
    </xf>
    <xf numFmtId="167" fontId="10" fillId="33" borderId="119" xfId="0" applyNumberFormat="1" applyFont="1" applyFill="1" applyBorder="1" applyAlignment="1">
      <alignment horizontal="right" vertical="center" wrapText="1"/>
    </xf>
    <xf numFmtId="4" fontId="7" fillId="33" borderId="123" xfId="0" applyNumberFormat="1" applyFont="1" applyFill="1" applyBorder="1" applyAlignment="1">
      <alignment horizontal="right" vertical="center" wrapText="1"/>
    </xf>
    <xf numFmtId="0" fontId="17" fillId="5" borderId="133" xfId="0" applyFont="1" applyFill="1" applyBorder="1" applyAlignment="1">
      <alignment horizontal="left" vertical="center" wrapText="1"/>
    </xf>
    <xf numFmtId="2" fontId="7" fillId="5" borderId="133" xfId="0" applyNumberFormat="1" applyFont="1" applyFill="1" applyBorder="1" applyAlignment="1">
      <alignment horizontal="right" vertical="center" wrapText="1"/>
    </xf>
    <xf numFmtId="4" fontId="7" fillId="2" borderId="133" xfId="0" applyNumberFormat="1" applyFont="1" applyFill="1" applyBorder="1" applyAlignment="1">
      <alignment horizontal="right" vertical="center" wrapText="1"/>
    </xf>
    <xf numFmtId="0" fontId="10" fillId="0" borderId="55" xfId="0" quotePrefix="1" applyFont="1" applyBorder="1" applyAlignment="1">
      <alignment horizontal="left" vertical="center"/>
    </xf>
    <xf numFmtId="2" fontId="17" fillId="5" borderId="133" xfId="0" applyNumberFormat="1" applyFont="1" applyFill="1" applyBorder="1" applyAlignment="1">
      <alignment horizontal="right" vertical="center" wrapText="1"/>
    </xf>
    <xf numFmtId="0" fontId="17" fillId="2" borderId="133" xfId="0" applyFont="1" applyFill="1" applyBorder="1" applyAlignment="1">
      <alignment horizontal="right" vertical="center" wrapText="1"/>
    </xf>
    <xf numFmtId="4" fontId="17" fillId="2" borderId="133" xfId="0" applyNumberFormat="1" applyFont="1" applyFill="1" applyBorder="1" applyAlignment="1">
      <alignment horizontal="right" vertical="center" wrapText="1"/>
    </xf>
    <xf numFmtId="4" fontId="10" fillId="0" borderId="55" xfId="0" applyNumberFormat="1" applyFont="1" applyBorder="1" applyAlignment="1">
      <alignment vertical="center"/>
    </xf>
    <xf numFmtId="4" fontId="17" fillId="0" borderId="59" xfId="0" applyNumberFormat="1" applyFont="1" applyBorder="1" applyAlignment="1">
      <alignment horizontal="right" vertical="center"/>
    </xf>
    <xf numFmtId="0" fontId="9" fillId="5" borderId="20" xfId="0" quotePrefix="1" applyFont="1" applyFill="1" applyBorder="1" applyAlignment="1">
      <alignment horizontal="center" vertical="center"/>
    </xf>
    <xf numFmtId="2" fontId="17" fillId="5" borderId="20" xfId="0" applyNumberFormat="1" applyFont="1" applyFill="1" applyBorder="1" applyAlignment="1">
      <alignment horizontal="center" vertical="center" wrapText="1"/>
    </xf>
    <xf numFmtId="4" fontId="10" fillId="5" borderId="20" xfId="0" applyNumberFormat="1" applyFont="1" applyFill="1" applyBorder="1" applyAlignment="1">
      <alignment vertical="center"/>
    </xf>
    <xf numFmtId="4" fontId="17" fillId="2" borderId="20" xfId="0" applyNumberFormat="1" applyFont="1" applyFill="1" applyBorder="1" applyAlignment="1">
      <alignment horizontal="center" vertical="center" wrapText="1"/>
    </xf>
    <xf numFmtId="0" fontId="22" fillId="33" borderId="104" xfId="0" quotePrefix="1" applyFont="1" applyFill="1" applyBorder="1" applyAlignment="1">
      <alignment horizontal="center" vertical="center"/>
    </xf>
    <xf numFmtId="0" fontId="17" fillId="33" borderId="14" xfId="0" applyFont="1" applyFill="1" applyBorder="1" applyAlignment="1">
      <alignment vertical="center" wrapText="1"/>
    </xf>
    <xf numFmtId="4" fontId="7" fillId="2" borderId="14" xfId="0" applyNumberFormat="1" applyFont="1" applyFill="1" applyBorder="1" applyAlignment="1">
      <alignment horizontal="center" vertical="center" wrapText="1"/>
    </xf>
    <xf numFmtId="0" fontId="9" fillId="0" borderId="133" xfId="0" applyFont="1" applyBorder="1" applyAlignment="1">
      <alignment horizontal="center" vertical="center"/>
    </xf>
    <xf numFmtId="0" fontId="17" fillId="0" borderId="45" xfId="0" applyFont="1" applyBorder="1" applyAlignment="1">
      <alignment vertical="center" wrapText="1"/>
    </xf>
    <xf numFmtId="4" fontId="7" fillId="0" borderId="43" xfId="0" applyNumberFormat="1" applyFont="1" applyBorder="1" applyAlignment="1">
      <alignment horizontal="right" vertical="center"/>
    </xf>
    <xf numFmtId="168" fontId="7" fillId="0" borderId="44" xfId="0" applyNumberFormat="1" applyFont="1" applyBorder="1" applyAlignment="1">
      <alignment horizontal="right" vertical="center"/>
    </xf>
    <xf numFmtId="0" fontId="0" fillId="0" borderId="31" xfId="0" applyBorder="1" applyAlignment="1">
      <alignment vertical="center"/>
    </xf>
    <xf numFmtId="169" fontId="17" fillId="0" borderId="11" xfId="1" applyNumberFormat="1" applyFont="1" applyBorder="1" applyAlignment="1">
      <alignment horizontal="right" vertical="center" wrapText="1"/>
    </xf>
    <xf numFmtId="4" fontId="10" fillId="3" borderId="55" xfId="0" applyNumberFormat="1" applyFont="1" applyFill="1" applyBorder="1" applyAlignment="1">
      <alignment horizontal="right" vertical="center"/>
    </xf>
    <xf numFmtId="0" fontId="1" fillId="0" borderId="0" xfId="57" applyProtection="1">
      <protection locked="0"/>
    </xf>
    <xf numFmtId="0" fontId="112" fillId="6" borderId="58" xfId="57" applyFont="1" applyFill="1" applyBorder="1" applyAlignment="1" applyProtection="1">
      <alignment vertical="center" wrapText="1"/>
      <protection locked="0"/>
    </xf>
    <xf numFmtId="0" fontId="1" fillId="0" borderId="134" xfId="57" applyBorder="1" applyAlignment="1" applyProtection="1">
      <alignment horizontal="center" vertical="center"/>
      <protection locked="0"/>
    </xf>
    <xf numFmtId="0" fontId="1" fillId="0" borderId="133" xfId="57" applyBorder="1" applyAlignment="1" applyProtection="1">
      <alignment horizontal="center" vertical="center"/>
      <protection locked="0"/>
    </xf>
    <xf numFmtId="10" fontId="113" fillId="6" borderId="57" xfId="57" applyNumberFormat="1" applyFont="1" applyFill="1" applyBorder="1" applyAlignment="1" applyProtection="1">
      <alignment horizontal="left" vertical="center"/>
      <protection locked="0"/>
    </xf>
    <xf numFmtId="4" fontId="1" fillId="0" borderId="133" xfId="59" applyNumberFormat="1" applyFont="1" applyBorder="1" applyAlignment="1" applyProtection="1">
      <alignment vertical="center"/>
      <protection locked="0"/>
    </xf>
    <xf numFmtId="44" fontId="1" fillId="0" borderId="133" xfId="60" applyFont="1" applyBorder="1" applyAlignment="1" applyProtection="1">
      <alignment vertical="center"/>
      <protection locked="0"/>
    </xf>
    <xf numFmtId="10" fontId="1" fillId="0" borderId="134" xfId="58" applyNumberFormat="1" applyFont="1" applyBorder="1" applyAlignment="1" applyProtection="1">
      <alignment horizontal="center" vertical="center"/>
      <protection locked="0"/>
    </xf>
    <xf numFmtId="43" fontId="1" fillId="0" borderId="133" xfId="60" applyNumberFormat="1" applyFont="1" applyBorder="1" applyAlignment="1" applyProtection="1">
      <alignment horizontal="center" vertical="center"/>
      <protection locked="0"/>
    </xf>
    <xf numFmtId="0" fontId="112" fillId="6" borderId="77" xfId="57" applyFont="1" applyFill="1" applyBorder="1" applyAlignment="1" applyProtection="1">
      <alignment vertical="center" wrapText="1"/>
      <protection locked="0"/>
    </xf>
    <xf numFmtId="10" fontId="102" fillId="6" borderId="133" xfId="58" applyNumberFormat="1" applyFont="1" applyFill="1" applyBorder="1" applyAlignment="1" applyProtection="1">
      <alignment horizontal="center" vertical="center"/>
      <protection locked="0"/>
    </xf>
    <xf numFmtId="0" fontId="112" fillId="0" borderId="134" xfId="57" applyFont="1" applyBorder="1" applyAlignment="1" applyProtection="1">
      <alignment horizontal="center" vertical="center" wrapText="1"/>
      <protection locked="0"/>
    </xf>
    <xf numFmtId="0" fontId="112" fillId="0" borderId="133" xfId="57" applyFont="1" applyBorder="1" applyAlignment="1" applyProtection="1">
      <alignment horizontal="center" vertical="center"/>
      <protection locked="0"/>
    </xf>
    <xf numFmtId="0" fontId="0" fillId="0" borderId="0" xfId="0" applyProtection="1">
      <protection locked="0"/>
    </xf>
    <xf numFmtId="1" fontId="112" fillId="44" borderId="133" xfId="57" applyNumberFormat="1" applyFont="1" applyFill="1" applyBorder="1" applyAlignment="1" applyProtection="1">
      <alignment horizontal="center" vertical="center" wrapText="1"/>
      <protection hidden="1"/>
    </xf>
    <xf numFmtId="0" fontId="112" fillId="44" borderId="133" xfId="57" applyFont="1" applyFill="1" applyBorder="1" applyAlignment="1" applyProtection="1">
      <alignment horizontal="center" vertical="center"/>
      <protection hidden="1"/>
    </xf>
    <xf numFmtId="43" fontId="1" fillId="0" borderId="0" xfId="57" applyNumberFormat="1" applyProtection="1">
      <protection hidden="1"/>
    </xf>
    <xf numFmtId="2" fontId="0" fillId="0" borderId="0" xfId="0" applyNumberFormat="1" applyProtection="1">
      <protection hidden="1"/>
    </xf>
    <xf numFmtId="0" fontId="112" fillId="6" borderId="6" xfId="57" applyFont="1" applyFill="1" applyBorder="1" applyAlignment="1" applyProtection="1">
      <alignment horizontal="center" vertical="center" wrapText="1"/>
      <protection hidden="1"/>
    </xf>
    <xf numFmtId="0" fontId="112" fillId="6" borderId="77" xfId="57" applyFont="1" applyFill="1" applyBorder="1" applyAlignment="1" applyProtection="1">
      <alignment horizontal="center" vertical="center" wrapText="1"/>
      <protection hidden="1"/>
    </xf>
    <xf numFmtId="0" fontId="112" fillId="6" borderId="3" xfId="57" applyFont="1" applyFill="1" applyBorder="1" applyAlignment="1" applyProtection="1">
      <alignment horizontal="center" vertical="center" wrapText="1"/>
      <protection hidden="1"/>
    </xf>
    <xf numFmtId="0" fontId="112" fillId="6" borderId="3" xfId="57" applyFont="1" applyFill="1" applyBorder="1" applyAlignment="1" applyProtection="1">
      <alignment horizontal="left" vertical="center" wrapText="1"/>
      <protection hidden="1"/>
    </xf>
    <xf numFmtId="2" fontId="112" fillId="6" borderId="3" xfId="57" applyNumberFormat="1" applyFont="1" applyFill="1" applyBorder="1" applyAlignment="1" applyProtection="1">
      <alignment horizontal="center" vertical="center" wrapText="1"/>
      <protection hidden="1"/>
    </xf>
    <xf numFmtId="43" fontId="112" fillId="6" borderId="3" xfId="61" applyFont="1" applyFill="1" applyBorder="1" applyAlignment="1" applyProtection="1">
      <alignment horizontal="center" vertical="center" wrapText="1"/>
      <protection hidden="1"/>
    </xf>
    <xf numFmtId="0" fontId="112" fillId="6" borderId="2" xfId="57" applyFont="1" applyFill="1" applyBorder="1" applyAlignment="1" applyProtection="1">
      <alignment horizontal="center" vertical="center" wrapText="1"/>
      <protection hidden="1"/>
    </xf>
    <xf numFmtId="0" fontId="1" fillId="0" borderId="0" xfId="57" applyProtection="1">
      <protection hidden="1"/>
    </xf>
    <xf numFmtId="4" fontId="0" fillId="0" borderId="0" xfId="0" applyNumberFormat="1" applyProtection="1">
      <protection locked="0"/>
    </xf>
    <xf numFmtId="0" fontId="113" fillId="6" borderId="58" xfId="57" applyFont="1" applyFill="1" applyBorder="1" applyAlignment="1" applyProtection="1">
      <alignment horizontal="center" vertical="center" wrapText="1"/>
      <protection hidden="1"/>
    </xf>
    <xf numFmtId="0" fontId="113" fillId="6" borderId="0" xfId="57" applyFont="1" applyFill="1" applyAlignment="1" applyProtection="1">
      <alignment horizontal="center" vertical="center" wrapText="1"/>
      <protection hidden="1"/>
    </xf>
    <xf numFmtId="0" fontId="113" fillId="6" borderId="0" xfId="57" applyFont="1" applyFill="1" applyAlignment="1" applyProtection="1">
      <alignment horizontal="left" vertical="center" wrapText="1"/>
      <protection hidden="1"/>
    </xf>
    <xf numFmtId="0" fontId="113" fillId="6" borderId="0" xfId="57" applyFont="1" applyFill="1" applyAlignment="1" applyProtection="1">
      <alignment horizontal="center" vertical="center"/>
      <protection hidden="1"/>
    </xf>
    <xf numFmtId="4" fontId="113" fillId="6" borderId="0" xfId="61" applyNumberFormat="1" applyFont="1" applyFill="1" applyBorder="1" applyAlignment="1" applyProtection="1">
      <alignment horizontal="center" vertical="center"/>
      <protection hidden="1"/>
    </xf>
    <xf numFmtId="44" fontId="113" fillId="6" borderId="0" xfId="60" applyFont="1" applyFill="1" applyBorder="1" applyAlignment="1" applyProtection="1">
      <alignment horizontal="center" vertical="center"/>
      <protection hidden="1"/>
    </xf>
    <xf numFmtId="44" fontId="113" fillId="6" borderId="57" xfId="60" applyFont="1" applyFill="1" applyBorder="1" applyAlignment="1" applyProtection="1">
      <alignment horizontal="center" vertical="center"/>
      <protection hidden="1"/>
    </xf>
    <xf numFmtId="0" fontId="0" fillId="0" borderId="0" xfId="0" applyProtection="1">
      <protection hidden="1"/>
    </xf>
    <xf numFmtId="182" fontId="112" fillId="0" borderId="123" xfId="62" applyNumberFormat="1" applyFont="1" applyBorder="1" applyAlignment="1" applyProtection="1">
      <alignment horizontal="right" vertical="center"/>
      <protection hidden="1"/>
    </xf>
    <xf numFmtId="167" fontId="113" fillId="6" borderId="0" xfId="61" applyNumberFormat="1" applyFont="1" applyFill="1" applyBorder="1" applyAlignment="1" applyProtection="1">
      <alignment horizontal="center" vertical="center"/>
      <protection hidden="1"/>
    </xf>
    <xf numFmtId="0" fontId="113" fillId="6" borderId="0" xfId="61" applyNumberFormat="1" applyFont="1" applyFill="1" applyBorder="1" applyAlignment="1" applyProtection="1">
      <alignment horizontal="center" vertical="center"/>
      <protection hidden="1"/>
    </xf>
    <xf numFmtId="2" fontId="113" fillId="6" borderId="0" xfId="61" applyNumberFormat="1" applyFont="1" applyFill="1" applyBorder="1" applyAlignment="1" applyProtection="1">
      <alignment horizontal="center" vertical="center"/>
      <protection hidden="1"/>
    </xf>
    <xf numFmtId="171" fontId="113" fillId="6" borderId="0" xfId="61" applyNumberFormat="1" applyFont="1" applyFill="1" applyBorder="1" applyAlignment="1" applyProtection="1">
      <alignment horizontal="center" vertical="center"/>
      <protection hidden="1"/>
    </xf>
    <xf numFmtId="176" fontId="113" fillId="6" borderId="0" xfId="61" applyNumberFormat="1" applyFont="1" applyFill="1" applyBorder="1" applyAlignment="1" applyProtection="1">
      <alignment horizontal="center" vertical="center"/>
      <protection hidden="1"/>
    </xf>
    <xf numFmtId="172" fontId="113" fillId="6" borderId="0" xfId="61" applyNumberFormat="1" applyFont="1" applyFill="1" applyBorder="1" applyAlignment="1" applyProtection="1">
      <alignment horizontal="center" vertical="center"/>
      <protection hidden="1"/>
    </xf>
    <xf numFmtId="178" fontId="113" fillId="6" borderId="0" xfId="61" applyNumberFormat="1" applyFont="1" applyFill="1" applyBorder="1" applyAlignment="1" applyProtection="1">
      <alignment horizontal="center" vertical="center"/>
      <protection hidden="1"/>
    </xf>
    <xf numFmtId="167" fontId="113" fillId="6" borderId="0" xfId="57" applyNumberFormat="1" applyFont="1" applyFill="1" applyAlignment="1" applyProtection="1">
      <alignment horizontal="center" vertical="center"/>
      <protection hidden="1"/>
    </xf>
    <xf numFmtId="164" fontId="113" fillId="6" borderId="0" xfId="61" applyNumberFormat="1" applyFont="1" applyFill="1" applyBorder="1" applyAlignment="1" applyProtection="1">
      <alignment horizontal="center" vertical="center"/>
      <protection hidden="1"/>
    </xf>
    <xf numFmtId="179" fontId="113" fillId="6" borderId="0" xfId="61" applyNumberFormat="1" applyFont="1" applyFill="1" applyBorder="1" applyAlignment="1" applyProtection="1">
      <alignment horizontal="center" vertical="center"/>
      <protection hidden="1"/>
    </xf>
    <xf numFmtId="166" fontId="113" fillId="6" borderId="0" xfId="57" applyNumberFormat="1" applyFont="1" applyFill="1" applyAlignment="1" applyProtection="1">
      <alignment horizontal="center" vertical="center" wrapText="1"/>
      <protection hidden="1"/>
    </xf>
    <xf numFmtId="175" fontId="113" fillId="6" borderId="0" xfId="61" applyNumberFormat="1" applyFont="1" applyFill="1" applyBorder="1" applyAlignment="1" applyProtection="1">
      <alignment horizontal="center" vertical="center"/>
      <protection hidden="1"/>
    </xf>
    <xf numFmtId="173" fontId="113" fillId="6" borderId="0" xfId="61" applyNumberFormat="1" applyFont="1" applyFill="1" applyBorder="1" applyAlignment="1" applyProtection="1">
      <alignment horizontal="center" vertical="center"/>
      <protection hidden="1"/>
    </xf>
    <xf numFmtId="0" fontId="113" fillId="6" borderId="0" xfId="57" quotePrefix="1" applyFont="1" applyFill="1" applyAlignment="1" applyProtection="1">
      <alignment horizontal="center" vertical="center" wrapText="1"/>
      <protection hidden="1"/>
    </xf>
    <xf numFmtId="0" fontId="10" fillId="0" borderId="0" xfId="0" applyFont="1" applyBorder="1" applyAlignment="1">
      <alignment horizontal="left" vertical="center" wrapText="1"/>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6" borderId="134" xfId="0" applyFont="1" applyFill="1" applyBorder="1" applyAlignment="1">
      <alignment horizontal="center" vertical="center"/>
    </xf>
    <xf numFmtId="167" fontId="0" fillId="0" borderId="0" xfId="0" applyNumberFormat="1"/>
    <xf numFmtId="4" fontId="0" fillId="0" borderId="0" xfId="0" applyNumberFormat="1"/>
    <xf numFmtId="164" fontId="0" fillId="0" borderId="0" xfId="0" applyNumberFormat="1"/>
    <xf numFmtId="14" fontId="0" fillId="0" borderId="0" xfId="0" applyNumberFormat="1"/>
    <xf numFmtId="10" fontId="0" fillId="0" borderId="0" xfId="0" applyNumberFormat="1"/>
    <xf numFmtId="0" fontId="15" fillId="6" borderId="24" xfId="0" applyFont="1" applyFill="1" applyBorder="1" applyAlignment="1">
      <alignment vertical="center"/>
    </xf>
    <xf numFmtId="0" fontId="15" fillId="6" borderId="31" xfId="0" applyFont="1" applyFill="1" applyBorder="1" applyAlignment="1">
      <alignment vertical="center"/>
    </xf>
    <xf numFmtId="0" fontId="3" fillId="6" borderId="31" xfId="0" applyFont="1" applyFill="1" applyBorder="1" applyAlignment="1">
      <alignment vertical="center"/>
    </xf>
    <xf numFmtId="0" fontId="4" fillId="6" borderId="31" xfId="0" applyFont="1" applyFill="1" applyBorder="1" applyAlignment="1">
      <alignment vertical="center"/>
    </xf>
    <xf numFmtId="0" fontId="15" fillId="6" borderId="0" xfId="0" applyFont="1" applyFill="1" applyBorder="1" applyAlignment="1">
      <alignment vertical="center" wrapText="1"/>
    </xf>
    <xf numFmtId="0" fontId="7" fillId="6" borderId="0" xfId="0" applyFont="1" applyFill="1" applyBorder="1" applyAlignment="1">
      <alignment horizontal="center" vertical="center" wrapText="1"/>
    </xf>
    <xf numFmtId="0" fontId="6" fillId="6" borderId="0" xfId="0" applyFont="1" applyFill="1" applyBorder="1" applyAlignment="1">
      <alignment vertical="center" wrapText="1"/>
    </xf>
    <xf numFmtId="0" fontId="5" fillId="6" borderId="0" xfId="0" applyFont="1" applyFill="1" applyBorder="1" applyAlignment="1">
      <alignment horizontal="center" vertical="center" wrapText="1"/>
    </xf>
    <xf numFmtId="0" fontId="114" fillId="46" borderId="139" xfId="0" applyFont="1" applyFill="1" applyBorder="1" applyAlignment="1">
      <alignment horizontal="right"/>
    </xf>
    <xf numFmtId="0" fontId="118" fillId="6" borderId="55" xfId="0" applyFont="1" applyFill="1" applyBorder="1" applyAlignment="1">
      <alignment horizontal="center" vertical="center" wrapText="1"/>
    </xf>
    <xf numFmtId="0" fontId="118" fillId="6" borderId="59" xfId="0" applyFont="1" applyFill="1" applyBorder="1" applyAlignment="1">
      <alignment horizontal="center" vertical="center" wrapText="1"/>
    </xf>
    <xf numFmtId="0" fontId="120" fillId="0" borderId="15" xfId="64" applyFont="1" applyBorder="1" applyAlignment="1">
      <alignment horizontal="center" vertical="center" wrapText="1"/>
    </xf>
    <xf numFmtId="0" fontId="120" fillId="0" borderId="55" xfId="64" applyFont="1" applyBorder="1" applyAlignment="1">
      <alignment horizontal="left" vertical="center" wrapText="1"/>
    </xf>
    <xf numFmtId="10" fontId="120" fillId="0" borderId="55" xfId="65" applyNumberFormat="1" applyFont="1" applyBorder="1" applyAlignment="1">
      <alignment horizontal="center" vertical="center" wrapText="1"/>
    </xf>
    <xf numFmtId="10" fontId="120" fillId="0" borderId="59" xfId="65" applyNumberFormat="1" applyFont="1" applyBorder="1" applyAlignment="1">
      <alignment horizontal="center" vertical="center" wrapText="1"/>
    </xf>
    <xf numFmtId="0" fontId="121" fillId="0" borderId="15" xfId="64" applyFont="1" applyBorder="1" applyAlignment="1">
      <alignment horizontal="center" vertical="center" wrapText="1"/>
    </xf>
    <xf numFmtId="0" fontId="121" fillId="0" borderId="55" xfId="64" applyFont="1" applyBorder="1" applyAlignment="1">
      <alignment horizontal="center" vertical="center" wrapText="1"/>
    </xf>
    <xf numFmtId="10" fontId="121" fillId="0" borderId="55" xfId="65" applyNumberFormat="1" applyFont="1" applyBorder="1" applyAlignment="1">
      <alignment horizontal="center" vertical="center" wrapText="1"/>
    </xf>
    <xf numFmtId="10" fontId="121" fillId="0" borderId="59" xfId="65" applyNumberFormat="1" applyFont="1" applyBorder="1" applyAlignment="1">
      <alignment horizontal="center" vertical="center" wrapText="1"/>
    </xf>
    <xf numFmtId="0" fontId="119" fillId="47" borderId="15" xfId="0" applyFont="1" applyFill="1" applyBorder="1" applyAlignment="1">
      <alignment vertical="center"/>
    </xf>
    <xf numFmtId="0" fontId="119" fillId="47" borderId="55" xfId="0" applyFont="1" applyFill="1" applyBorder="1" applyAlignment="1">
      <alignment vertical="center"/>
    </xf>
    <xf numFmtId="0" fontId="119" fillId="47" borderId="59" xfId="0" applyFont="1" applyFill="1" applyBorder="1" applyAlignment="1">
      <alignment vertical="center"/>
    </xf>
    <xf numFmtId="0" fontId="119" fillId="47" borderId="116" xfId="0" applyFont="1" applyFill="1" applyBorder="1" applyAlignment="1">
      <alignment vertical="center"/>
    </xf>
    <xf numFmtId="0" fontId="119" fillId="47" borderId="131" xfId="0" applyFont="1" applyFill="1" applyBorder="1" applyAlignment="1">
      <alignment vertical="center"/>
    </xf>
    <xf numFmtId="10" fontId="119" fillId="47" borderId="120" xfId="0" applyNumberFormat="1" applyFont="1" applyFill="1" applyBorder="1" applyAlignment="1">
      <alignment horizontal="center" vertical="center"/>
    </xf>
    <xf numFmtId="10" fontId="119" fillId="47" borderId="17" xfId="0" applyNumberFormat="1" applyFont="1" applyFill="1" applyBorder="1" applyAlignment="1">
      <alignment horizontal="center" vertical="center"/>
    </xf>
    <xf numFmtId="0" fontId="0" fillId="0" borderId="0" xfId="0" applyAlignment="1">
      <alignment horizontal="right"/>
    </xf>
    <xf numFmtId="0" fontId="0" fillId="6" borderId="0" xfId="0" applyFill="1"/>
    <xf numFmtId="0" fontId="0" fillId="6" borderId="0" xfId="0" applyFill="1" applyAlignment="1">
      <alignment horizontal="right"/>
    </xf>
    <xf numFmtId="0" fontId="0" fillId="0" borderId="0" xfId="0" applyBorder="1" applyAlignment="1">
      <alignment horizontal="right"/>
    </xf>
    <xf numFmtId="0" fontId="3" fillId="6" borderId="0" xfId="0" applyFont="1" applyFill="1" applyBorder="1" applyAlignment="1">
      <alignment vertical="center"/>
    </xf>
    <xf numFmtId="0" fontId="26" fillId="6" borderId="0" xfId="0" applyFont="1" applyFill="1" applyBorder="1" applyAlignment="1">
      <alignment vertical="center"/>
    </xf>
    <xf numFmtId="0" fontId="2" fillId="6" borderId="0" xfId="0" applyFont="1" applyFill="1" applyBorder="1" applyAlignment="1">
      <alignment vertical="center"/>
    </xf>
    <xf numFmtId="0" fontId="12" fillId="6" borderId="0" xfId="0" applyFont="1" applyFill="1" applyBorder="1" applyAlignment="1">
      <alignment vertical="center"/>
    </xf>
    <xf numFmtId="0" fontId="0" fillId="6" borderId="0" xfId="0" applyFill="1" applyBorder="1" applyAlignment="1">
      <alignment vertical="center"/>
    </xf>
    <xf numFmtId="0" fontId="7" fillId="0" borderId="10" xfId="0" applyFont="1" applyFill="1" applyBorder="1" applyAlignment="1">
      <alignment vertical="center"/>
    </xf>
    <xf numFmtId="0" fontId="8" fillId="0" borderId="0" xfId="0" applyFont="1" applyFill="1" applyBorder="1" applyAlignment="1">
      <alignment vertical="center" wrapText="1"/>
    </xf>
    <xf numFmtId="0" fontId="0" fillId="0" borderId="0" xfId="0" applyBorder="1" applyAlignment="1">
      <alignment vertical="center" wrapText="1"/>
    </xf>
    <xf numFmtId="0" fontId="8" fillId="0" borderId="11" xfId="0" applyFont="1" applyBorder="1" applyAlignment="1">
      <alignment vertical="center"/>
    </xf>
    <xf numFmtId="0" fontId="0" fillId="6" borderId="119" xfId="0" applyFill="1" applyBorder="1" applyAlignment="1">
      <alignment vertical="center"/>
    </xf>
    <xf numFmtId="0" fontId="3" fillId="6" borderId="102" xfId="0" applyFont="1" applyFill="1" applyBorder="1" applyAlignment="1">
      <alignment vertical="center"/>
    </xf>
    <xf numFmtId="0" fontId="26" fillId="6" borderId="102" xfId="0" applyFont="1" applyFill="1" applyBorder="1" applyAlignment="1">
      <alignment vertical="center"/>
    </xf>
    <xf numFmtId="0" fontId="26" fillId="6" borderId="126" xfId="0" applyFont="1" applyFill="1" applyBorder="1" applyAlignment="1">
      <alignment vertical="center"/>
    </xf>
    <xf numFmtId="0" fontId="0" fillId="6" borderId="58" xfId="0" applyFill="1" applyBorder="1" applyAlignment="1">
      <alignment vertical="center"/>
    </xf>
    <xf numFmtId="0" fontId="26" fillId="6" borderId="57" xfId="0" applyFont="1" applyFill="1" applyBorder="1" applyAlignment="1">
      <alignment vertical="center"/>
    </xf>
    <xf numFmtId="0" fontId="0" fillId="6" borderId="57" xfId="0" applyFill="1" applyBorder="1" applyAlignment="1">
      <alignment vertical="center"/>
    </xf>
    <xf numFmtId="0" fontId="0" fillId="6" borderId="77" xfId="0" applyFill="1" applyBorder="1" applyAlignment="1">
      <alignment vertical="center"/>
    </xf>
    <xf numFmtId="0" fontId="12" fillId="6" borderId="3" xfId="0" applyFont="1" applyFill="1" applyBorder="1" applyAlignment="1">
      <alignment vertical="center"/>
    </xf>
    <xf numFmtId="0" fontId="0" fillId="6" borderId="3" xfId="0" applyFill="1" applyBorder="1" applyAlignment="1">
      <alignment vertical="center"/>
    </xf>
    <xf numFmtId="0" fontId="0" fillId="6" borderId="2" xfId="0" applyFill="1" applyBorder="1" applyAlignment="1">
      <alignment vertical="center"/>
    </xf>
    <xf numFmtId="0" fontId="10" fillId="0" borderId="39" xfId="0" quotePrefix="1" applyFont="1" applyBorder="1" applyAlignment="1">
      <alignment horizontal="center" vertical="center"/>
    </xf>
    <xf numFmtId="0" fontId="10" fillId="0" borderId="37" xfId="0" quotePrefix="1" applyFont="1" applyBorder="1" applyAlignment="1">
      <alignment horizontal="center" vertical="center"/>
    </xf>
    <xf numFmtId="0" fontId="10" fillId="0" borderId="12" xfId="0" quotePrefix="1" applyFont="1" applyBorder="1" applyAlignment="1">
      <alignment horizontal="center" vertical="center"/>
    </xf>
    <xf numFmtId="0" fontId="10" fillId="0" borderId="0" xfId="0" applyFont="1" applyAlignment="1">
      <alignment horizontal="left" vertical="center" wrapText="1"/>
    </xf>
    <xf numFmtId="0" fontId="10" fillId="0" borderId="57" xfId="0" applyFont="1" applyBorder="1" applyAlignment="1">
      <alignment horizontal="center" vertical="center"/>
    </xf>
    <xf numFmtId="0" fontId="15" fillId="0" borderId="0" xfId="0" applyFont="1" applyAlignment="1">
      <alignment horizontal="left" vertical="center" wrapText="1"/>
    </xf>
    <xf numFmtId="0" fontId="10" fillId="0" borderId="133" xfId="0" quotePrefix="1" applyFont="1" applyBorder="1" applyAlignment="1">
      <alignment horizontal="center" vertical="center" wrapText="1"/>
    </xf>
    <xf numFmtId="0" fontId="18" fillId="6" borderId="135" xfId="0" applyFont="1" applyFill="1" applyBorder="1" applyAlignment="1">
      <alignment horizontal="center" vertical="center"/>
    </xf>
    <xf numFmtId="0" fontId="10" fillId="6" borderId="135" xfId="0" applyFont="1" applyFill="1" applyBorder="1" applyAlignment="1">
      <alignment horizontal="center" vertical="center"/>
    </xf>
    <xf numFmtId="0" fontId="10" fillId="0" borderId="28" xfId="0" applyFont="1" applyBorder="1" applyAlignment="1">
      <alignment horizontal="center" vertical="center"/>
    </xf>
    <xf numFmtId="0" fontId="15" fillId="0" borderId="6" xfId="0" applyFont="1" applyBorder="1" applyAlignment="1">
      <alignment horizontal="center" vertical="center"/>
    </xf>
    <xf numFmtId="0" fontId="10" fillId="0" borderId="6" xfId="0" applyFont="1" applyBorder="1" applyAlignment="1">
      <alignment horizontal="center" vertical="center"/>
    </xf>
    <xf numFmtId="0" fontId="30" fillId="0" borderId="6" xfId="0" applyFont="1" applyBorder="1" applyAlignment="1">
      <alignment horizontal="center" vertical="center"/>
    </xf>
    <xf numFmtId="0" fontId="30" fillId="0" borderId="55" xfId="0" applyFont="1" applyBorder="1" applyAlignment="1">
      <alignment horizontal="center" vertical="center"/>
    </xf>
    <xf numFmtId="0" fontId="10" fillId="0" borderId="133" xfId="0" applyFont="1" applyFill="1" applyBorder="1" applyAlignment="1">
      <alignment horizontal="right" vertical="center" wrapText="1"/>
    </xf>
    <xf numFmtId="0" fontId="30" fillId="0" borderId="2" xfId="0" applyFont="1" applyBorder="1" applyAlignment="1">
      <alignment horizontal="center" vertical="center"/>
    </xf>
    <xf numFmtId="0" fontId="30" fillId="0" borderId="135" xfId="0" applyFont="1" applyBorder="1" applyAlignment="1">
      <alignment horizontal="center" vertical="center"/>
    </xf>
    <xf numFmtId="0" fontId="10" fillId="0" borderId="135" xfId="0" applyFont="1" applyBorder="1" applyAlignment="1">
      <alignment horizontal="center" vertical="center"/>
    </xf>
    <xf numFmtId="0" fontId="29" fillId="2" borderId="133" xfId="0" applyFont="1" applyFill="1" applyBorder="1" applyAlignment="1">
      <alignment horizontal="center" vertical="center" wrapText="1"/>
    </xf>
    <xf numFmtId="0" fontId="29" fillId="33" borderId="123" xfId="0" applyFont="1" applyFill="1" applyBorder="1" applyAlignment="1">
      <alignment horizontal="center" vertical="center" wrapText="1"/>
    </xf>
    <xf numFmtId="0" fontId="29" fillId="33" borderId="20" xfId="0" applyFont="1" applyFill="1" applyBorder="1" applyAlignment="1">
      <alignment horizontal="center" vertical="center" wrapText="1"/>
    </xf>
    <xf numFmtId="0" fontId="29" fillId="33" borderId="133" xfId="0" applyFont="1" applyFill="1" applyBorder="1" applyAlignment="1">
      <alignment horizontal="center" vertical="center" wrapText="1"/>
    </xf>
    <xf numFmtId="0" fontId="29" fillId="33" borderId="18"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7" fillId="4" borderId="23" xfId="0" applyFont="1" applyFill="1" applyBorder="1" applyAlignment="1">
      <alignment horizontal="left" vertical="center" wrapText="1"/>
    </xf>
    <xf numFmtId="0" fontId="0" fillId="0" borderId="8" xfId="0" applyBorder="1" applyAlignment="1">
      <alignment horizontal="left" vertical="center" wrapText="1"/>
    </xf>
    <xf numFmtId="4" fontId="7" fillId="0" borderId="5" xfId="1" applyNumberFormat="1" applyFont="1" applyBorder="1" applyAlignment="1">
      <alignment horizontal="left" vertical="center" wrapText="1"/>
    </xf>
    <xf numFmtId="0" fontId="0" fillId="0" borderId="30" xfId="0" applyBorder="1" applyAlignment="1">
      <alignment horizontal="left" vertical="center" wrapText="1"/>
    </xf>
    <xf numFmtId="0" fontId="17" fillId="4" borderId="127" xfId="0" applyFont="1" applyFill="1" applyBorder="1" applyAlignment="1">
      <alignment horizontal="center" vertical="center" wrapText="1"/>
    </xf>
    <xf numFmtId="0" fontId="17" fillId="4" borderId="123" xfId="0" applyFont="1" applyFill="1" applyBorder="1" applyAlignment="1">
      <alignment horizontal="center" vertical="center" wrapText="1"/>
    </xf>
    <xf numFmtId="0" fontId="10" fillId="0" borderId="119" xfId="0" applyFont="1" applyBorder="1" applyAlignment="1">
      <alignment horizontal="center" vertical="center" wrapText="1"/>
    </xf>
    <xf numFmtId="0" fontId="26" fillId="6" borderId="0" xfId="0" applyFont="1" applyFill="1" applyBorder="1" applyAlignment="1">
      <alignment horizontal="center" vertical="center"/>
    </xf>
    <xf numFmtId="0" fontId="8" fillId="0" borderId="31"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0" fillId="0" borderId="0" xfId="0" applyFont="1" applyBorder="1" applyAlignment="1">
      <alignment vertical="center" wrapText="1"/>
    </xf>
    <xf numFmtId="0" fontId="10" fillId="0" borderId="43" xfId="0" applyFont="1" applyBorder="1" applyAlignment="1">
      <alignment vertical="center" wrapText="1"/>
    </xf>
    <xf numFmtId="0" fontId="0" fillId="0" borderId="43" xfId="0" applyFont="1" applyBorder="1" applyAlignment="1">
      <alignment vertical="center" wrapText="1"/>
    </xf>
    <xf numFmtId="0" fontId="7" fillId="0" borderId="50"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17" fillId="0" borderId="3" xfId="0" applyFont="1" applyBorder="1" applyAlignment="1">
      <alignment horizontal="lef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6" borderId="0" xfId="0" applyFill="1" applyAlignment="1">
      <alignment horizontal="center"/>
    </xf>
    <xf numFmtId="0" fontId="7" fillId="0" borderId="20" xfId="0" applyFont="1" applyBorder="1" applyAlignment="1">
      <alignment horizontal="center" vertical="center"/>
    </xf>
    <xf numFmtId="0" fontId="8" fillId="0" borderId="20" xfId="0" applyFont="1" applyBorder="1" applyAlignment="1">
      <alignment vertical="center"/>
    </xf>
    <xf numFmtId="0" fontId="7" fillId="4" borderId="133" xfId="0" applyFont="1" applyFill="1" applyBorder="1" applyAlignment="1">
      <alignment horizontal="right" vertical="center" wrapText="1"/>
    </xf>
    <xf numFmtId="0" fontId="0" fillId="0" borderId="133" xfId="0" applyBorder="1" applyAlignment="1">
      <alignment horizontal="right" vertical="center" wrapText="1"/>
    </xf>
    <xf numFmtId="4" fontId="7" fillId="0" borderId="133" xfId="0" applyNumberFormat="1" applyFont="1" applyBorder="1" applyAlignment="1">
      <alignment horizontal="left" vertical="center" wrapText="1"/>
    </xf>
    <xf numFmtId="0" fontId="7" fillId="0" borderId="133" xfId="0" applyFont="1" applyBorder="1" applyAlignment="1">
      <alignment horizontal="left" vertical="center" wrapText="1"/>
    </xf>
    <xf numFmtId="0" fontId="23" fillId="0" borderId="4" xfId="0" applyFont="1" applyBorder="1" applyAlignment="1">
      <alignment horizontal="left" vertical="center"/>
    </xf>
    <xf numFmtId="0" fontId="10" fillId="0" borderId="0" xfId="0" applyFont="1" applyBorder="1" applyAlignment="1">
      <alignment horizontal="center" vertical="center" wrapText="1"/>
    </xf>
    <xf numFmtId="2" fontId="9" fillId="0" borderId="4" xfId="0" applyNumberFormat="1" applyFont="1" applyFill="1" applyBorder="1" applyAlignment="1">
      <alignment horizontal="left" vertical="center" wrapText="1"/>
    </xf>
    <xf numFmtId="0" fontId="26" fillId="0" borderId="0" xfId="0" applyFont="1" applyBorder="1" applyAlignment="1">
      <alignment horizontal="center" vertical="center"/>
    </xf>
    <xf numFmtId="0" fontId="10" fillId="0" borderId="31" xfId="0" applyFont="1" applyBorder="1" applyAlignment="1">
      <alignment horizontal="left" vertical="center" wrapText="1"/>
    </xf>
    <xf numFmtId="0" fontId="0" fillId="0" borderId="113" xfId="0" applyBorder="1" applyAlignment="1">
      <alignment horizontal="center"/>
    </xf>
    <xf numFmtId="0" fontId="0" fillId="0" borderId="0" xfId="0" applyAlignment="1">
      <alignment horizontal="center"/>
    </xf>
    <xf numFmtId="0" fontId="112" fillId="0" borderId="134" xfId="57" applyFont="1" applyBorder="1" applyAlignment="1" applyProtection="1">
      <alignment horizontal="center" vertical="center"/>
      <protection hidden="1"/>
    </xf>
    <xf numFmtId="0" fontId="112" fillId="0" borderId="138" xfId="57" applyFont="1" applyBorder="1" applyAlignment="1" applyProtection="1">
      <alignment horizontal="center" vertical="center"/>
      <protection hidden="1"/>
    </xf>
    <xf numFmtId="0" fontId="112" fillId="0" borderId="135" xfId="57" applyFont="1" applyBorder="1" applyAlignment="1" applyProtection="1">
      <alignment horizontal="center" vertical="center"/>
      <protection hidden="1"/>
    </xf>
    <xf numFmtId="0" fontId="1" fillId="0" borderId="134" xfId="57" applyBorder="1" applyAlignment="1" applyProtection="1">
      <alignment horizontal="center"/>
      <protection hidden="1"/>
    </xf>
    <xf numFmtId="0" fontId="1" fillId="0" borderId="138" xfId="57" applyBorder="1" applyAlignment="1" applyProtection="1">
      <alignment horizontal="center"/>
      <protection hidden="1"/>
    </xf>
    <xf numFmtId="0" fontId="1" fillId="0" borderId="135" xfId="57" applyBorder="1" applyAlignment="1" applyProtection="1">
      <alignment horizontal="center"/>
      <protection hidden="1"/>
    </xf>
    <xf numFmtId="0" fontId="112" fillId="44" borderId="134" xfId="57" applyFont="1" applyFill="1" applyBorder="1" applyAlignment="1" applyProtection="1">
      <alignment horizontal="left" vertical="center" wrapText="1"/>
      <protection hidden="1"/>
    </xf>
    <xf numFmtId="0" fontId="112" fillId="44" borderId="138" xfId="57" applyFont="1" applyFill="1" applyBorder="1" applyAlignment="1" applyProtection="1">
      <alignment horizontal="left" vertical="center" wrapText="1"/>
      <protection hidden="1"/>
    </xf>
    <xf numFmtId="0" fontId="112" fillId="44" borderId="135" xfId="57" applyFont="1" applyFill="1" applyBorder="1" applyAlignment="1" applyProtection="1">
      <alignment horizontal="left" vertical="center" wrapText="1"/>
      <protection hidden="1"/>
    </xf>
    <xf numFmtId="0" fontId="0" fillId="0" borderId="3" xfId="0" applyBorder="1" applyAlignment="1">
      <alignment horizontal="center"/>
    </xf>
    <xf numFmtId="0" fontId="112" fillId="6" borderId="119" xfId="57" applyFont="1" applyFill="1" applyBorder="1" applyAlignment="1" applyProtection="1">
      <alignment horizontal="center" vertical="center"/>
      <protection locked="0"/>
    </xf>
    <xf numFmtId="0" fontId="112" fillId="6" borderId="102" xfId="57" applyFont="1" applyFill="1" applyBorder="1" applyAlignment="1" applyProtection="1">
      <alignment horizontal="center" vertical="center"/>
      <protection locked="0"/>
    </xf>
    <xf numFmtId="0" fontId="112" fillId="6" borderId="126" xfId="57" applyFont="1" applyFill="1" applyBorder="1" applyAlignment="1" applyProtection="1">
      <alignment horizontal="center" vertical="center"/>
      <protection locked="0"/>
    </xf>
    <xf numFmtId="0" fontId="112" fillId="6" borderId="77" xfId="57" applyFont="1" applyFill="1" applyBorder="1" applyAlignment="1" applyProtection="1">
      <alignment horizontal="center" vertical="center"/>
      <protection locked="0"/>
    </xf>
    <xf numFmtId="0" fontId="112" fillId="6" borderId="3" xfId="57" applyFont="1" applyFill="1" applyBorder="1" applyAlignment="1" applyProtection="1">
      <alignment horizontal="center" vertical="center"/>
      <protection locked="0"/>
    </xf>
    <xf numFmtId="0" fontId="112" fillId="6" borderId="2" xfId="57" applyFont="1" applyFill="1" applyBorder="1" applyAlignment="1" applyProtection="1">
      <alignment horizontal="center" vertical="center"/>
      <protection locked="0"/>
    </xf>
    <xf numFmtId="10" fontId="102" fillId="3" borderId="133" xfId="58" applyNumberFormat="1" applyFont="1" applyFill="1" applyBorder="1" applyAlignment="1" applyProtection="1">
      <alignment horizontal="center" vertical="center" wrapText="1"/>
      <protection locked="0"/>
    </xf>
    <xf numFmtId="0" fontId="1" fillId="0" borderId="133" xfId="57" applyBorder="1" applyAlignment="1" applyProtection="1">
      <alignment horizontal="center" vertical="center"/>
      <protection locked="0"/>
    </xf>
    <xf numFmtId="1" fontId="113" fillId="6" borderId="0" xfId="57" applyNumberFormat="1" applyFont="1" applyFill="1" applyAlignment="1" applyProtection="1">
      <alignment horizontal="left" vertical="center" wrapText="1"/>
      <protection locked="0"/>
    </xf>
    <xf numFmtId="0" fontId="113" fillId="6" borderId="0" xfId="57" applyFont="1" applyFill="1" applyAlignment="1" applyProtection="1">
      <alignment horizontal="left" vertical="center" wrapText="1"/>
      <protection locked="0"/>
    </xf>
    <xf numFmtId="0" fontId="113" fillId="6" borderId="57" xfId="57" applyFont="1" applyFill="1" applyBorder="1" applyAlignment="1" applyProtection="1">
      <alignment horizontal="left" vertical="center" wrapText="1"/>
      <protection locked="0"/>
    </xf>
    <xf numFmtId="2" fontId="113" fillId="6" borderId="0" xfId="57" applyNumberFormat="1" applyFont="1" applyFill="1" applyAlignment="1" applyProtection="1">
      <alignment horizontal="left" vertical="center"/>
      <protection locked="0"/>
    </xf>
    <xf numFmtId="1" fontId="113" fillId="6" borderId="3" xfId="57" applyNumberFormat="1" applyFont="1" applyFill="1" applyBorder="1" applyAlignment="1" applyProtection="1">
      <alignment horizontal="left" vertical="center"/>
      <protection locked="0"/>
    </xf>
    <xf numFmtId="0" fontId="113" fillId="6" borderId="3" xfId="57" applyFont="1" applyFill="1" applyBorder="1" applyAlignment="1" applyProtection="1">
      <alignment horizontal="left" vertical="center"/>
      <protection locked="0"/>
    </xf>
    <xf numFmtId="0" fontId="1" fillId="0" borderId="134" xfId="57" applyBorder="1" applyAlignment="1" applyProtection="1">
      <alignment horizontal="left"/>
      <protection locked="0"/>
    </xf>
    <xf numFmtId="0" fontId="1" fillId="0" borderId="138" xfId="57" applyBorder="1" applyAlignment="1" applyProtection="1">
      <alignment horizontal="left"/>
      <protection locked="0"/>
    </xf>
    <xf numFmtId="0" fontId="1" fillId="0" borderId="135" xfId="57" applyBorder="1" applyAlignment="1" applyProtection="1">
      <alignment horizontal="left"/>
      <protection locked="0"/>
    </xf>
    <xf numFmtId="0" fontId="112" fillId="0" borderId="134" xfId="57" applyFont="1" applyBorder="1" applyAlignment="1" applyProtection="1">
      <alignment horizontal="center" vertical="center"/>
      <protection locked="0"/>
    </xf>
    <xf numFmtId="0" fontId="112" fillId="0" borderId="138" xfId="57" applyFont="1" applyBorder="1" applyAlignment="1" applyProtection="1">
      <alignment horizontal="center" vertical="center"/>
      <protection locked="0"/>
    </xf>
    <xf numFmtId="0" fontId="112" fillId="0" borderId="135" xfId="57" applyFont="1" applyBorder="1" applyAlignment="1" applyProtection="1">
      <alignment horizontal="center" vertical="center"/>
      <protection locked="0"/>
    </xf>
    <xf numFmtId="0" fontId="21" fillId="0" borderId="50" xfId="0" applyFont="1" applyBorder="1" applyAlignment="1">
      <alignment horizontal="center" vertical="center"/>
    </xf>
    <xf numFmtId="0" fontId="21" fillId="0" borderId="40" xfId="0" applyFont="1" applyBorder="1" applyAlignment="1">
      <alignment horizontal="center" vertical="center"/>
    </xf>
    <xf numFmtId="0" fontId="21" fillId="0" borderId="51" xfId="0" applyFont="1" applyBorder="1" applyAlignment="1">
      <alignment horizontal="center" vertical="center"/>
    </xf>
    <xf numFmtId="0" fontId="17" fillId="2" borderId="117" xfId="3" applyFont="1" applyFill="1" applyBorder="1" applyAlignment="1">
      <alignment horizontal="right" vertical="center" wrapText="1"/>
    </xf>
    <xf numFmtId="0" fontId="17" fillId="2" borderId="113" xfId="3" applyFont="1" applyFill="1" applyBorder="1" applyAlignment="1">
      <alignment horizontal="right" vertical="center" wrapText="1"/>
    </xf>
    <xf numFmtId="0" fontId="17" fillId="2" borderId="132" xfId="3" applyFont="1" applyFill="1" applyBorder="1" applyAlignment="1">
      <alignment horizontal="right" vertical="center" wrapText="1"/>
    </xf>
    <xf numFmtId="0" fontId="22" fillId="2" borderId="35" xfId="3" applyFont="1" applyFill="1" applyBorder="1" applyAlignment="1">
      <alignment horizontal="center" vertical="center" wrapText="1"/>
    </xf>
    <xf numFmtId="0" fontId="22" fillId="2" borderId="40" xfId="3" applyFont="1" applyFill="1" applyBorder="1" applyAlignment="1">
      <alignment horizontal="center" vertical="center" wrapText="1"/>
    </xf>
    <xf numFmtId="0" fontId="22" fillId="2" borderId="52" xfId="3" applyFont="1" applyFill="1" applyBorder="1" applyAlignment="1">
      <alignment horizontal="center" vertical="center" wrapText="1"/>
    </xf>
    <xf numFmtId="0" fontId="9" fillId="0" borderId="40" xfId="0" applyFont="1" applyBorder="1" applyAlignment="1">
      <alignment horizontal="left" vertical="center" wrapText="1"/>
    </xf>
    <xf numFmtId="170" fontId="10" fillId="0" borderId="22" xfId="3" applyNumberFormat="1" applyFont="1" applyFill="1" applyBorder="1" applyAlignment="1">
      <alignment horizontal="right" vertical="center" wrapText="1"/>
    </xf>
    <xf numFmtId="170" fontId="10" fillId="0" borderId="4" xfId="3" applyNumberFormat="1" applyFont="1" applyFill="1" applyBorder="1" applyAlignment="1">
      <alignment horizontal="right" vertical="center" wrapText="1"/>
    </xf>
    <xf numFmtId="170" fontId="10" fillId="0" borderId="14" xfId="3" applyNumberFormat="1" applyFont="1" applyFill="1" applyBorder="1" applyAlignment="1">
      <alignment horizontal="right" vertical="center" wrapText="1"/>
    </xf>
    <xf numFmtId="0" fontId="22" fillId="2" borderId="131" xfId="3" applyFont="1" applyFill="1" applyBorder="1" applyAlignment="1">
      <alignment horizontal="right" vertical="center" wrapText="1"/>
    </xf>
    <xf numFmtId="0" fontId="17" fillId="2" borderId="131" xfId="3" applyFont="1" applyFill="1" applyBorder="1" applyAlignment="1">
      <alignment horizontal="right" vertical="center" wrapText="1"/>
    </xf>
    <xf numFmtId="0" fontId="22" fillId="2" borderId="58"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57" xfId="3" applyFont="1" applyFill="1" applyBorder="1" applyAlignment="1">
      <alignment horizontal="center" vertical="center" wrapText="1"/>
    </xf>
    <xf numFmtId="0" fontId="24" fillId="0" borderId="4" xfId="0" applyFont="1" applyBorder="1" applyAlignment="1">
      <alignment horizontal="center" vertical="center"/>
    </xf>
    <xf numFmtId="0" fontId="24" fillId="0" borderId="133" xfId="0" applyFont="1" applyBorder="1" applyAlignment="1">
      <alignment horizontal="center" vertical="center"/>
    </xf>
    <xf numFmtId="0" fontId="9" fillId="0" borderId="133" xfId="0" applyFont="1" applyBorder="1" applyAlignment="1">
      <alignment horizontal="center" vertical="center"/>
    </xf>
    <xf numFmtId="170" fontId="10" fillId="0" borderId="23" xfId="3" applyNumberFormat="1" applyFont="1" applyFill="1" applyBorder="1" applyAlignment="1">
      <alignment horizontal="right" vertical="center" wrapText="1"/>
    </xf>
    <xf numFmtId="170" fontId="10" fillId="0" borderId="9" xfId="3" applyNumberFormat="1" applyFont="1" applyFill="1" applyBorder="1" applyAlignment="1">
      <alignment horizontal="right" vertical="center" wrapText="1"/>
    </xf>
    <xf numFmtId="170" fontId="10" fillId="0" borderId="30" xfId="3" applyNumberFormat="1" applyFont="1" applyFill="1" applyBorder="1" applyAlignment="1">
      <alignment horizontal="right" vertical="center" wrapText="1"/>
    </xf>
    <xf numFmtId="0" fontId="22" fillId="2" borderId="37" xfId="3" applyFont="1" applyFill="1" applyBorder="1" applyAlignment="1">
      <alignment horizontal="right" vertical="center" wrapText="1"/>
    </xf>
    <xf numFmtId="0" fontId="22" fillId="2" borderId="53" xfId="3" applyFont="1" applyFill="1" applyBorder="1" applyAlignment="1">
      <alignment horizontal="right" vertical="center" wrapText="1"/>
    </xf>
    <xf numFmtId="170" fontId="10" fillId="0" borderId="104" xfId="3" applyNumberFormat="1" applyFont="1" applyFill="1" applyBorder="1" applyAlignment="1">
      <alignment horizontal="right" vertical="center" wrapText="1"/>
    </xf>
    <xf numFmtId="170" fontId="10" fillId="0" borderId="133" xfId="3" applyNumberFormat="1" applyFont="1" applyFill="1" applyBorder="1" applyAlignment="1">
      <alignment horizontal="right" vertical="center" wrapText="1"/>
    </xf>
    <xf numFmtId="170" fontId="10" fillId="0" borderId="124" xfId="3" applyNumberFormat="1" applyFont="1" applyFill="1" applyBorder="1" applyAlignment="1">
      <alignment horizontal="right" vertical="center" wrapText="1"/>
    </xf>
    <xf numFmtId="0" fontId="22" fillId="2" borderId="55" xfId="3" applyFont="1" applyFill="1" applyBorder="1" applyAlignment="1">
      <alignment horizontal="right" vertical="center" wrapText="1"/>
    </xf>
    <xf numFmtId="0" fontId="0" fillId="0" borderId="120" xfId="0" applyBorder="1" applyAlignment="1">
      <alignment horizontal="center" vertical="center" wrapText="1"/>
    </xf>
    <xf numFmtId="0" fontId="22" fillId="2" borderId="25"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80" xfId="3" applyFont="1" applyFill="1" applyBorder="1" applyAlignment="1">
      <alignment horizontal="center" vertical="center" wrapText="1"/>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23" fillId="0" borderId="136" xfId="0" applyFont="1" applyBorder="1" applyAlignment="1">
      <alignment horizontal="center"/>
    </xf>
    <xf numFmtId="0" fontId="23" fillId="0" borderId="137" xfId="0" applyFont="1" applyBorder="1" applyAlignment="1">
      <alignment horizontal="center"/>
    </xf>
    <xf numFmtId="0" fontId="23" fillId="0" borderId="37" xfId="0" applyFont="1" applyBorder="1" applyAlignment="1">
      <alignment horizontal="center"/>
    </xf>
    <xf numFmtId="0" fontId="23" fillId="0" borderId="39" xfId="0" applyFont="1" applyBorder="1" applyAlignment="1">
      <alignment horizontal="center"/>
    </xf>
    <xf numFmtId="170" fontId="9" fillId="0" borderId="22" xfId="3" applyNumberFormat="1" applyFont="1" applyFill="1" applyBorder="1" applyAlignment="1">
      <alignment horizontal="right" vertical="center" wrapText="1"/>
    </xf>
    <xf numFmtId="170" fontId="9" fillId="0" borderId="4" xfId="3" applyNumberFormat="1" applyFont="1" applyFill="1" applyBorder="1" applyAlignment="1">
      <alignment horizontal="right" vertical="center" wrapText="1"/>
    </xf>
    <xf numFmtId="170" fontId="9" fillId="0" borderId="14" xfId="3" applyNumberFormat="1" applyFont="1" applyFill="1" applyBorder="1" applyAlignment="1">
      <alignment horizontal="right" vertical="center" wrapText="1"/>
    </xf>
    <xf numFmtId="0" fontId="10" fillId="0" borderId="34" xfId="3" applyFont="1" applyFill="1" applyBorder="1" applyAlignment="1">
      <alignment horizontal="center" vertical="center" wrapText="1"/>
    </xf>
    <xf numFmtId="0" fontId="17" fillId="0" borderId="34" xfId="3" applyFont="1" applyFill="1" applyBorder="1" applyAlignment="1">
      <alignment horizontal="center" vertical="center" wrapText="1"/>
    </xf>
    <xf numFmtId="170" fontId="10" fillId="0" borderId="19" xfId="3" applyNumberFormat="1" applyFont="1" applyFill="1" applyBorder="1" applyAlignment="1">
      <alignment horizontal="right" vertical="center" wrapText="1"/>
    </xf>
    <xf numFmtId="170" fontId="10" fillId="0" borderId="20" xfId="3" applyNumberFormat="1" applyFont="1" applyFill="1" applyBorder="1" applyAlignment="1">
      <alignment horizontal="right" vertical="center" wrapText="1"/>
    </xf>
    <xf numFmtId="170" fontId="10" fillId="0" borderId="38" xfId="3" applyNumberFormat="1" applyFont="1" applyFill="1" applyBorder="1" applyAlignment="1">
      <alignment horizontal="right" vertical="center" wrapText="1"/>
    </xf>
    <xf numFmtId="170" fontId="10" fillId="0" borderId="21" xfId="3" applyNumberFormat="1" applyFont="1" applyFill="1" applyBorder="1" applyAlignment="1">
      <alignment horizontal="right" vertical="center" wrapText="1"/>
    </xf>
    <xf numFmtId="170" fontId="10" fillId="0" borderId="12" xfId="3" applyNumberFormat="1" applyFont="1" applyFill="1" applyBorder="1" applyAlignment="1">
      <alignment horizontal="right" vertical="center" wrapText="1"/>
    </xf>
    <xf numFmtId="170" fontId="10" fillId="0" borderId="17" xfId="3" applyNumberFormat="1" applyFont="1" applyFill="1" applyBorder="1" applyAlignment="1">
      <alignment horizontal="right" vertical="center" wrapText="1"/>
    </xf>
    <xf numFmtId="0" fontId="22" fillId="2" borderId="117" xfId="3" applyFont="1" applyFill="1" applyBorder="1" applyAlignment="1">
      <alignment horizontal="center" vertical="center" wrapText="1"/>
    </xf>
    <xf numFmtId="0" fontId="22" fillId="2" borderId="113" xfId="3" applyFont="1" applyFill="1" applyBorder="1" applyAlignment="1">
      <alignment horizontal="center" vertical="center" wrapText="1"/>
    </xf>
    <xf numFmtId="0" fontId="22" fillId="2" borderId="132" xfId="3" applyFont="1" applyFill="1" applyBorder="1" applyAlignment="1">
      <alignment horizontal="center" vertical="center" wrapText="1"/>
    </xf>
    <xf numFmtId="0" fontId="24" fillId="0" borderId="20" xfId="0" applyFont="1" applyBorder="1" applyAlignment="1">
      <alignment horizontal="center" vertical="center"/>
    </xf>
    <xf numFmtId="0" fontId="17" fillId="2" borderId="34" xfId="3" applyFont="1" applyFill="1" applyBorder="1" applyAlignment="1">
      <alignment horizontal="right" vertical="center" wrapText="1"/>
    </xf>
    <xf numFmtId="0" fontId="17" fillId="2" borderId="37" xfId="3" applyFont="1" applyFill="1" applyBorder="1" applyAlignment="1">
      <alignment horizontal="right" vertical="center" wrapText="1"/>
    </xf>
    <xf numFmtId="0" fontId="17" fillId="2" borderId="53" xfId="3" applyFont="1" applyFill="1" applyBorder="1" applyAlignment="1">
      <alignment horizontal="right" vertical="center" wrapText="1"/>
    </xf>
    <xf numFmtId="0" fontId="9" fillId="0" borderId="40" xfId="0" applyFont="1" applyFill="1" applyBorder="1" applyAlignment="1">
      <alignment horizontal="center" vertical="center" wrapText="1"/>
    </xf>
    <xf numFmtId="170" fontId="9" fillId="0" borderId="23" xfId="3" applyNumberFormat="1" applyFont="1" applyFill="1" applyBorder="1" applyAlignment="1">
      <alignment horizontal="right" vertical="center" wrapText="1"/>
    </xf>
    <xf numFmtId="170" fontId="9" fillId="0" borderId="9" xfId="3" applyNumberFormat="1" applyFont="1" applyFill="1" applyBorder="1" applyAlignment="1">
      <alignment horizontal="right" vertical="center" wrapText="1"/>
    </xf>
    <xf numFmtId="170" fontId="9" fillId="0" borderId="30" xfId="3" applyNumberFormat="1" applyFont="1" applyFill="1" applyBorder="1" applyAlignment="1">
      <alignment horizontal="right" vertical="center" wrapText="1"/>
    </xf>
    <xf numFmtId="170" fontId="10" fillId="0" borderId="69" xfId="3" applyNumberFormat="1" applyFont="1" applyFill="1" applyBorder="1" applyAlignment="1">
      <alignment horizontal="right" vertical="center" wrapText="1"/>
    </xf>
    <xf numFmtId="170" fontId="10" fillId="0" borderId="53" xfId="3" applyNumberFormat="1" applyFont="1" applyFill="1" applyBorder="1" applyAlignment="1">
      <alignment horizontal="right" vertical="center" wrapText="1"/>
    </xf>
    <xf numFmtId="170" fontId="10" fillId="0" borderId="54" xfId="3" applyNumberFormat="1" applyFont="1" applyFill="1" applyBorder="1" applyAlignment="1">
      <alignment horizontal="right" vertical="center" wrapText="1"/>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xf>
    <xf numFmtId="0" fontId="21" fillId="0" borderId="11" xfId="0" applyFont="1" applyBorder="1" applyAlignment="1">
      <alignment horizontal="center"/>
    </xf>
    <xf numFmtId="0" fontId="23" fillId="0" borderId="132" xfId="0" applyFont="1" applyBorder="1" applyAlignment="1">
      <alignment horizontal="center"/>
    </xf>
    <xf numFmtId="0" fontId="23" fillId="0" borderId="117" xfId="0" applyFont="1" applyBorder="1" applyAlignment="1">
      <alignment horizontal="center"/>
    </xf>
    <xf numFmtId="170" fontId="10" fillId="0" borderId="125" xfId="3" applyNumberFormat="1" applyFont="1" applyFill="1" applyBorder="1" applyAlignment="1">
      <alignment horizontal="right" vertical="center" wrapText="1"/>
    </xf>
    <xf numFmtId="170" fontId="10" fillId="0" borderId="102" xfId="3" applyNumberFormat="1" applyFont="1" applyFill="1" applyBorder="1" applyAlignment="1">
      <alignment horizontal="right" vertical="center" wrapText="1"/>
    </xf>
    <xf numFmtId="170" fontId="10" fillId="0" borderId="103" xfId="3" applyNumberFormat="1" applyFont="1" applyFill="1" applyBorder="1" applyAlignment="1">
      <alignment horizontal="right" vertical="center" wrapText="1"/>
    </xf>
    <xf numFmtId="0" fontId="26" fillId="0" borderId="50" xfId="0" applyFont="1" applyBorder="1" applyAlignment="1">
      <alignment horizontal="center" vertical="center"/>
    </xf>
    <xf numFmtId="0" fontId="26" fillId="0" borderId="40" xfId="0" applyFont="1" applyBorder="1" applyAlignment="1">
      <alignment horizontal="center" vertical="center"/>
    </xf>
    <xf numFmtId="0" fontId="26" fillId="0" borderId="51" xfId="0" applyFont="1" applyBorder="1" applyAlignment="1">
      <alignment horizontal="center" vertical="center"/>
    </xf>
    <xf numFmtId="170" fontId="9" fillId="0" borderId="19" xfId="3" applyNumberFormat="1" applyFont="1" applyFill="1" applyBorder="1" applyAlignment="1">
      <alignment horizontal="right" vertical="center" wrapText="1"/>
    </xf>
    <xf numFmtId="170" fontId="9" fillId="0" borderId="20" xfId="3" applyNumberFormat="1" applyFont="1" applyFill="1" applyBorder="1" applyAlignment="1">
      <alignment horizontal="right" vertical="center" wrapText="1"/>
    </xf>
    <xf numFmtId="170" fontId="9" fillId="0" borderId="38" xfId="3" applyNumberFormat="1" applyFont="1" applyFill="1" applyBorder="1" applyAlignment="1">
      <alignment horizontal="right" vertical="center" wrapText="1"/>
    </xf>
    <xf numFmtId="0" fontId="22" fillId="2" borderId="34" xfId="3" applyFont="1" applyFill="1" applyBorder="1" applyAlignment="1">
      <alignment horizontal="right" vertical="center" wrapText="1"/>
    </xf>
    <xf numFmtId="0" fontId="22" fillId="2" borderId="56" xfId="3" applyFont="1" applyFill="1" applyBorder="1" applyAlignment="1">
      <alignment horizontal="right" vertical="center" wrapText="1"/>
    </xf>
    <xf numFmtId="0" fontId="17" fillId="2" borderId="131" xfId="0" applyFont="1" applyFill="1" applyBorder="1" applyAlignment="1">
      <alignment horizontal="right" vertical="center" wrapText="1"/>
    </xf>
    <xf numFmtId="0" fontId="10" fillId="0" borderId="104" xfId="0" applyFont="1" applyBorder="1" applyAlignment="1">
      <alignment horizontal="right" vertical="center" wrapText="1"/>
    </xf>
    <xf numFmtId="0" fontId="10" fillId="0" borderId="133" xfId="0" applyFont="1" applyBorder="1" applyAlignment="1">
      <alignment horizontal="right" vertical="center" wrapText="1"/>
    </xf>
    <xf numFmtId="0" fontId="10" fillId="0" borderId="14" xfId="0" applyFont="1" applyBorder="1" applyAlignment="1">
      <alignment horizontal="right" vertical="center" wrapText="1"/>
    </xf>
    <xf numFmtId="0" fontId="26" fillId="0" borderId="45" xfId="0" applyFont="1" applyBorder="1" applyAlignment="1">
      <alignment horizontal="center" vertical="center"/>
    </xf>
    <xf numFmtId="0" fontId="26" fillId="0" borderId="113" xfId="0" applyFont="1" applyBorder="1" applyAlignment="1">
      <alignment horizontal="center" vertical="center"/>
    </xf>
    <xf numFmtId="0" fontId="26" fillId="0" borderId="44" xfId="0" applyFont="1" applyBorder="1" applyAlignment="1">
      <alignment horizontal="center" vertical="center"/>
    </xf>
    <xf numFmtId="0" fontId="23" fillId="0" borderId="121" xfId="0" applyFont="1" applyBorder="1" applyAlignment="1">
      <alignment horizontal="center"/>
    </xf>
    <xf numFmtId="0" fontId="23" fillId="0" borderId="112" xfId="0" applyFont="1" applyBorder="1" applyAlignment="1">
      <alignment horizontal="center"/>
    </xf>
    <xf numFmtId="0" fontId="17" fillId="2" borderId="34" xfId="0" applyFont="1" applyFill="1" applyBorder="1" applyAlignment="1">
      <alignment horizontal="right" vertical="center" wrapText="1"/>
    </xf>
    <xf numFmtId="0" fontId="24" fillId="0" borderId="134" xfId="0" applyFont="1" applyBorder="1" applyAlignment="1">
      <alignment horizontal="center" vertical="center"/>
    </xf>
    <xf numFmtId="0" fontId="24" fillId="0" borderId="135" xfId="0" applyFont="1" applyBorder="1" applyAlignment="1">
      <alignment horizontal="center" vertical="center"/>
    </xf>
    <xf numFmtId="0" fontId="10" fillId="0" borderId="47" xfId="0" applyFont="1" applyBorder="1" applyAlignment="1">
      <alignment horizontal="right" vertical="center" wrapText="1"/>
    </xf>
    <xf numFmtId="0" fontId="10" fillId="0" borderId="48" xfId="0" applyFont="1" applyBorder="1" applyAlignment="1">
      <alignment horizontal="right" vertical="center" wrapText="1"/>
    </xf>
    <xf numFmtId="0" fontId="10" fillId="0" borderId="49" xfId="0" applyFont="1" applyBorder="1" applyAlignment="1">
      <alignment horizontal="right" vertical="center" wrapText="1"/>
    </xf>
    <xf numFmtId="0" fontId="17" fillId="2" borderId="35" xfId="0" applyFont="1" applyFill="1" applyBorder="1" applyAlignment="1">
      <alignment horizontal="right" vertical="center" wrapText="1"/>
    </xf>
    <xf numFmtId="0" fontId="17" fillId="2" borderId="40" xfId="0" applyFont="1" applyFill="1" applyBorder="1" applyAlignment="1">
      <alignment horizontal="right" vertical="center" wrapText="1"/>
    </xf>
    <xf numFmtId="0" fontId="17" fillId="2" borderId="52" xfId="0" applyFont="1" applyFill="1" applyBorder="1" applyAlignment="1">
      <alignment horizontal="right" vertical="center" wrapText="1"/>
    </xf>
    <xf numFmtId="0" fontId="22" fillId="2" borderId="78" xfId="3" applyFont="1" applyFill="1" applyBorder="1" applyAlignment="1">
      <alignment horizontal="center" vertical="center" wrapText="1"/>
    </xf>
    <xf numFmtId="0" fontId="22" fillId="2" borderId="48" xfId="3" applyFont="1" applyFill="1" applyBorder="1" applyAlignment="1">
      <alignment horizontal="center" vertical="center" wrapText="1"/>
    </xf>
    <xf numFmtId="0" fontId="22" fillId="2" borderId="79" xfId="3" applyFont="1" applyFill="1" applyBorder="1" applyAlignment="1">
      <alignment horizontal="center" vertical="center" wrapText="1"/>
    </xf>
    <xf numFmtId="0" fontId="9" fillId="0" borderId="121" xfId="0" applyFont="1" applyBorder="1" applyAlignment="1">
      <alignment horizontal="center" vertical="center"/>
    </xf>
    <xf numFmtId="0" fontId="9" fillId="0" borderId="112"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10" fillId="0" borderId="21" xfId="0" applyFont="1" applyBorder="1" applyAlignment="1">
      <alignment horizontal="right" vertical="center" wrapText="1"/>
    </xf>
    <xf numFmtId="0" fontId="10" fillId="0" borderId="120" xfId="0" applyFont="1" applyBorder="1" applyAlignment="1">
      <alignment horizontal="right" vertical="center" wrapText="1"/>
    </xf>
    <xf numFmtId="0" fontId="10" fillId="0" borderId="17" xfId="0" applyFont="1" applyBorder="1" applyAlignment="1">
      <alignment horizontal="right" vertical="center" wrapText="1"/>
    </xf>
    <xf numFmtId="0" fontId="9" fillId="0" borderId="47" xfId="0" applyFont="1" applyBorder="1" applyAlignment="1">
      <alignment horizontal="right" vertical="center" wrapText="1"/>
    </xf>
    <xf numFmtId="0" fontId="9" fillId="0" borderId="48" xfId="0" applyFont="1" applyBorder="1" applyAlignment="1">
      <alignment horizontal="right" vertical="center" wrapText="1"/>
    </xf>
    <xf numFmtId="0" fontId="9" fillId="0" borderId="49" xfId="0" applyFont="1" applyBorder="1" applyAlignment="1">
      <alignment horizontal="right" vertical="center" wrapText="1"/>
    </xf>
    <xf numFmtId="0" fontId="10" fillId="0" borderId="47" xfId="0" applyFont="1" applyFill="1" applyBorder="1" applyAlignment="1">
      <alignment horizontal="right" vertical="center" wrapText="1"/>
    </xf>
    <xf numFmtId="0" fontId="10" fillId="0" borderId="48" xfId="0" applyFont="1" applyFill="1" applyBorder="1" applyAlignment="1">
      <alignment horizontal="right" vertical="center" wrapText="1"/>
    </xf>
    <xf numFmtId="0" fontId="10" fillId="0" borderId="49" xfId="0" applyFont="1" applyFill="1" applyBorder="1" applyAlignment="1">
      <alignment horizontal="right" vertical="center" wrapText="1"/>
    </xf>
    <xf numFmtId="0" fontId="22" fillId="5" borderId="34" xfId="0" applyFont="1" applyFill="1" applyBorder="1" applyAlignment="1">
      <alignment horizontal="right" vertical="center" wrapText="1"/>
    </xf>
    <xf numFmtId="167" fontId="18" fillId="0" borderId="134" xfId="0" applyNumberFormat="1" applyFont="1" applyBorder="1" applyAlignment="1">
      <alignment horizontal="left" vertical="center" wrapText="1"/>
    </xf>
    <xf numFmtId="167" fontId="18" fillId="0" borderId="135" xfId="0" applyNumberFormat="1" applyFont="1" applyBorder="1" applyAlignment="1">
      <alignment horizontal="left" vertical="center" wrapText="1"/>
    </xf>
    <xf numFmtId="167" fontId="9" fillId="0" borderId="121" xfId="0" applyNumberFormat="1" applyFont="1" applyBorder="1" applyAlignment="1">
      <alignment horizontal="center" vertical="center"/>
    </xf>
    <xf numFmtId="167" fontId="9" fillId="0" borderId="112" xfId="0" applyNumberFormat="1" applyFont="1" applyBorder="1" applyAlignment="1">
      <alignment horizontal="center" vertical="center"/>
    </xf>
    <xf numFmtId="170" fontId="9" fillId="0" borderId="50" xfId="3" applyNumberFormat="1" applyFont="1" applyFill="1" applyBorder="1" applyAlignment="1">
      <alignment horizontal="justify" vertical="center" wrapText="1"/>
    </xf>
    <xf numFmtId="170" fontId="9" fillId="0" borderId="40" xfId="3" applyNumberFormat="1" applyFont="1" applyFill="1" applyBorder="1" applyAlignment="1">
      <alignment horizontal="justify" vertical="center" wrapText="1"/>
    </xf>
    <xf numFmtId="170" fontId="9" fillId="0" borderId="51" xfId="3" applyNumberFormat="1" applyFont="1" applyFill="1" applyBorder="1" applyAlignment="1">
      <alignment horizontal="justify" vertical="center" wrapText="1"/>
    </xf>
    <xf numFmtId="0" fontId="22" fillId="2" borderId="120" xfId="0" applyFont="1" applyFill="1" applyBorder="1" applyAlignment="1">
      <alignment horizontal="right" vertical="center" wrapText="1"/>
    </xf>
    <xf numFmtId="0" fontId="9" fillId="0" borderId="118" xfId="0" applyFont="1" applyFill="1" applyBorder="1" applyAlignment="1">
      <alignment horizontal="right" vertical="center" wrapText="1"/>
    </xf>
    <xf numFmtId="0" fontId="9" fillId="0" borderId="138" xfId="0" applyFont="1" applyFill="1" applyBorder="1" applyAlignment="1">
      <alignment horizontal="right" vertical="center" wrapText="1"/>
    </xf>
    <xf numFmtId="0" fontId="9" fillId="0" borderId="139" xfId="0" applyFont="1" applyFill="1" applyBorder="1" applyAlignment="1">
      <alignment horizontal="right" vertical="center" wrapText="1"/>
    </xf>
    <xf numFmtId="167" fontId="22" fillId="0" borderId="78" xfId="0" applyNumberFormat="1" applyFont="1" applyBorder="1" applyAlignment="1">
      <alignment horizontal="center" vertical="center"/>
    </xf>
    <xf numFmtId="167" fontId="22" fillId="0" borderId="79" xfId="0" applyNumberFormat="1" applyFont="1" applyBorder="1" applyAlignment="1">
      <alignment horizontal="center" vertical="center"/>
    </xf>
    <xf numFmtId="167" fontId="9" fillId="0" borderId="134" xfId="0" applyNumberFormat="1" applyFont="1" applyBorder="1" applyAlignment="1">
      <alignment horizontal="center" vertical="center"/>
    </xf>
    <xf numFmtId="167" fontId="9" fillId="0" borderId="135" xfId="0" applyNumberFormat="1" applyFont="1" applyBorder="1" applyAlignment="1">
      <alignment horizontal="center" vertical="center"/>
    </xf>
    <xf numFmtId="170" fontId="9" fillId="0" borderId="104" xfId="3" applyNumberFormat="1" applyFont="1" applyFill="1" applyBorder="1" applyAlignment="1">
      <alignment horizontal="right" vertical="center" wrapText="1"/>
    </xf>
    <xf numFmtId="170" fontId="9" fillId="0" borderId="133" xfId="3" applyNumberFormat="1" applyFont="1" applyFill="1" applyBorder="1" applyAlignment="1">
      <alignment horizontal="right" vertical="center" wrapText="1"/>
    </xf>
    <xf numFmtId="0" fontId="17" fillId="0" borderId="131" xfId="3" applyFont="1" applyFill="1" applyBorder="1" applyAlignment="1">
      <alignment horizontal="right" vertical="center" wrapText="1"/>
    </xf>
    <xf numFmtId="0" fontId="17" fillId="5" borderId="78" xfId="3" applyFont="1" applyFill="1" applyBorder="1" applyAlignment="1">
      <alignment horizontal="center" vertical="center"/>
    </xf>
    <xf numFmtId="0" fontId="17" fillId="5" borderId="79" xfId="3" applyFont="1" applyFill="1" applyBorder="1" applyAlignment="1">
      <alignment horizontal="center" vertical="center"/>
    </xf>
    <xf numFmtId="0" fontId="10" fillId="0" borderId="50" xfId="3" applyFont="1" applyFill="1" applyBorder="1" applyAlignment="1">
      <alignment horizontal="left" vertical="center" wrapText="1"/>
    </xf>
    <xf numFmtId="0" fontId="10" fillId="0" borderId="40" xfId="3" applyFont="1" applyFill="1" applyBorder="1" applyAlignment="1">
      <alignment horizontal="left" vertical="center" wrapText="1"/>
    </xf>
    <xf numFmtId="0" fontId="10" fillId="0" borderId="51" xfId="3" applyFont="1" applyFill="1" applyBorder="1" applyAlignment="1">
      <alignment horizontal="left" vertical="center" wrapText="1"/>
    </xf>
    <xf numFmtId="0" fontId="26" fillId="0" borderId="24" xfId="0" applyFont="1" applyBorder="1" applyAlignment="1">
      <alignment horizontal="center" vertical="center"/>
    </xf>
    <xf numFmtId="0" fontId="26" fillId="0" borderId="31" xfId="0" applyFont="1" applyBorder="1" applyAlignment="1">
      <alignment horizontal="center" vertical="center"/>
    </xf>
    <xf numFmtId="0" fontId="26" fillId="0" borderId="26" xfId="0" applyFont="1" applyBorder="1" applyAlignment="1">
      <alignment horizontal="center" vertical="center"/>
    </xf>
    <xf numFmtId="0" fontId="22" fillId="0" borderId="0" xfId="3" applyFont="1" applyFill="1" applyBorder="1" applyAlignment="1">
      <alignment horizontal="center" vertical="center" wrapText="1"/>
    </xf>
    <xf numFmtId="49" fontId="7" fillId="0" borderId="133" xfId="0" applyNumberFormat="1" applyFont="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8" fillId="0" borderId="36" xfId="0" applyFont="1" applyBorder="1" applyAlignment="1">
      <alignment vertical="center"/>
    </xf>
    <xf numFmtId="49" fontId="7" fillId="0" borderId="42"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33" xfId="0" applyFont="1" applyFill="1" applyBorder="1" applyAlignment="1">
      <alignment horizontal="center" vertical="center"/>
    </xf>
    <xf numFmtId="0" fontId="8" fillId="0" borderId="120" xfId="0" applyFont="1" applyBorder="1" applyAlignment="1">
      <alignment horizontal="center" vertical="center"/>
    </xf>
    <xf numFmtId="0" fontId="7" fillId="0" borderId="25" xfId="0" applyFont="1" applyBorder="1" applyAlignment="1">
      <alignment horizontal="center" vertical="center"/>
    </xf>
    <xf numFmtId="0" fontId="7" fillId="0" borderId="31" xfId="0" applyFont="1" applyBorder="1" applyAlignment="1">
      <alignment horizontal="center" vertical="center"/>
    </xf>
    <xf numFmtId="0" fontId="8" fillId="0" borderId="26" xfId="0" applyFont="1" applyBorder="1" applyAlignment="1">
      <alignment vertical="center"/>
    </xf>
    <xf numFmtId="0" fontId="8" fillId="0" borderId="0" xfId="0" applyFont="1" applyBorder="1" applyAlignment="1">
      <alignment horizontal="left" vertical="center" wrapText="1"/>
    </xf>
    <xf numFmtId="0" fontId="8" fillId="0" borderId="43" xfId="0" applyFont="1" applyBorder="1" applyAlignment="1">
      <alignment horizontal="left" vertical="center" wrapText="1"/>
    </xf>
    <xf numFmtId="0" fontId="26" fillId="6" borderId="3" xfId="0" applyFont="1" applyFill="1" applyBorder="1" applyAlignment="1">
      <alignment horizontal="center" vertical="center"/>
    </xf>
    <xf numFmtId="0" fontId="35" fillId="0" borderId="50" xfId="0" applyFont="1" applyBorder="1" applyAlignment="1">
      <alignment horizontal="left" vertical="center" wrapText="1"/>
    </xf>
    <xf numFmtId="0" fontId="35" fillId="0" borderId="40" xfId="0" applyFont="1" applyBorder="1" applyAlignment="1">
      <alignment horizontal="left" vertical="center" wrapText="1"/>
    </xf>
    <xf numFmtId="0" fontId="35" fillId="0" borderId="51" xfId="0" applyFont="1" applyBorder="1" applyAlignment="1">
      <alignment horizontal="left" vertical="center" wrapText="1"/>
    </xf>
    <xf numFmtId="0" fontId="58" fillId="0" borderId="33" xfId="0" applyFont="1" applyBorder="1" applyAlignment="1">
      <alignment horizontal="center" vertical="center"/>
    </xf>
    <xf numFmtId="0" fontId="58" fillId="0" borderId="34" xfId="0" applyFont="1" applyBorder="1" applyAlignment="1">
      <alignment horizontal="center" vertical="center"/>
    </xf>
    <xf numFmtId="0" fontId="58" fillId="0" borderId="19" xfId="0" applyFont="1" applyBorder="1" applyAlignment="1">
      <alignment horizontal="left" vertical="center"/>
    </xf>
    <xf numFmtId="0" fontId="58" fillId="0" borderId="20" xfId="0" applyFont="1" applyBorder="1" applyAlignment="1">
      <alignment horizontal="left" vertical="center"/>
    </xf>
    <xf numFmtId="0" fontId="7" fillId="0" borderId="24" xfId="0" applyFont="1" applyBorder="1" applyAlignment="1">
      <alignment horizontal="center" wrapText="1"/>
    </xf>
    <xf numFmtId="0" fontId="7" fillId="0" borderId="31" xfId="0" applyFont="1" applyBorder="1" applyAlignment="1">
      <alignment horizontal="center" wrapText="1"/>
    </xf>
    <xf numFmtId="0" fontId="22" fillId="0" borderId="10" xfId="0" applyFont="1" applyBorder="1" applyAlignment="1">
      <alignment horizontal="center" vertical="center" wrapText="1"/>
    </xf>
    <xf numFmtId="0" fontId="22" fillId="0" borderId="0" xfId="0" applyFont="1" applyBorder="1" applyAlignment="1">
      <alignment horizontal="center" vertical="center" wrapText="1"/>
    </xf>
    <xf numFmtId="0" fontId="24" fillId="0" borderId="10" xfId="0" applyFont="1" applyBorder="1" applyAlignment="1">
      <alignment horizontal="right" vertical="center"/>
    </xf>
    <xf numFmtId="0" fontId="24" fillId="0" borderId="0" xfId="0" applyFont="1" applyBorder="1" applyAlignment="1">
      <alignment horizontal="right" vertical="center"/>
    </xf>
    <xf numFmtId="0" fontId="56" fillId="0" borderId="24" xfId="0" applyFont="1" applyBorder="1" applyAlignment="1">
      <alignment horizontal="center" vertical="center" wrapText="1"/>
    </xf>
    <xf numFmtId="0" fontId="56" fillId="0" borderId="31" xfId="0" applyFont="1" applyBorder="1" applyAlignment="1">
      <alignment horizontal="center" vertical="center" wrapText="1"/>
    </xf>
    <xf numFmtId="0" fontId="56" fillId="0" borderId="26"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113" xfId="0" applyFont="1" applyBorder="1" applyAlignment="1">
      <alignment horizontal="center" vertical="center" wrapText="1"/>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0" fontId="114" fillId="45" borderId="10" xfId="0" applyFont="1" applyFill="1" applyBorder="1" applyAlignment="1">
      <alignment horizontal="center" vertical="center" wrapText="1"/>
    </xf>
    <xf numFmtId="0" fontId="114" fillId="45" borderId="0" xfId="0" applyFont="1" applyFill="1" applyAlignment="1">
      <alignment horizontal="center" vertical="center" wrapText="1"/>
    </xf>
    <xf numFmtId="0" fontId="114" fillId="45" borderId="11" xfId="0" applyFont="1" applyFill="1" applyBorder="1" applyAlignment="1">
      <alignment horizontal="center" vertical="center" wrapText="1"/>
    </xf>
    <xf numFmtId="0" fontId="116" fillId="6" borderId="118" xfId="63" applyFont="1" applyFill="1" applyBorder="1" applyAlignment="1">
      <alignment horizontal="center" vertical="center" wrapText="1"/>
    </xf>
    <xf numFmtId="0" fontId="116" fillId="6" borderId="138" xfId="63" applyFont="1" applyFill="1" applyBorder="1" applyAlignment="1">
      <alignment horizontal="center" vertical="center" wrapText="1"/>
    </xf>
    <xf numFmtId="0" fontId="116" fillId="6" borderId="139" xfId="63" applyFont="1" applyFill="1" applyBorder="1" applyAlignment="1">
      <alignment horizontal="center" vertical="center" wrapText="1"/>
    </xf>
    <xf numFmtId="0" fontId="114" fillId="46" borderId="118" xfId="0" applyFont="1" applyFill="1" applyBorder="1" applyAlignment="1">
      <alignment horizontal="right"/>
    </xf>
    <xf numFmtId="0" fontId="114" fillId="46" borderId="138" xfId="0" applyFont="1" applyFill="1" applyBorder="1" applyAlignment="1">
      <alignment horizontal="right"/>
    </xf>
    <xf numFmtId="0" fontId="117" fillId="0" borderId="125" xfId="0" applyFont="1" applyBorder="1" applyAlignment="1">
      <alignment horizontal="center"/>
    </xf>
    <xf numFmtId="0" fontId="117" fillId="0" borderId="102" xfId="0" applyFont="1" applyBorder="1" applyAlignment="1">
      <alignment horizontal="center"/>
    </xf>
    <xf numFmtId="0" fontId="117" fillId="0" borderId="103" xfId="0" applyFont="1" applyBorder="1" applyAlignment="1">
      <alignment horizontal="center"/>
    </xf>
    <xf numFmtId="0" fontId="118" fillId="6" borderId="42" xfId="0" applyFont="1" applyFill="1" applyBorder="1" applyAlignment="1">
      <alignment horizontal="center" vertical="center" wrapText="1"/>
    </xf>
    <xf numFmtId="0" fontId="118" fillId="6" borderId="15" xfId="0" applyFont="1" applyFill="1" applyBorder="1" applyAlignment="1">
      <alignment horizontal="center" vertical="center" wrapText="1"/>
    </xf>
    <xf numFmtId="0" fontId="118" fillId="6" borderId="18" xfId="0" applyFont="1" applyFill="1" applyBorder="1" applyAlignment="1">
      <alignment horizontal="center" vertical="center" wrapText="1"/>
    </xf>
    <xf numFmtId="0" fontId="118" fillId="6" borderId="55" xfId="0" applyFont="1" applyFill="1" applyBorder="1" applyAlignment="1">
      <alignment horizontal="center" vertical="center" wrapText="1"/>
    </xf>
    <xf numFmtId="0" fontId="119" fillId="46" borderId="18" xfId="0" applyFont="1" applyFill="1" applyBorder="1" applyAlignment="1">
      <alignment horizontal="center" vertical="center" wrapText="1"/>
    </xf>
    <xf numFmtId="0" fontId="119" fillId="46" borderId="46" xfId="0" applyFont="1" applyFill="1" applyBorder="1" applyAlignment="1">
      <alignment horizontal="center" vertical="center" wrapText="1"/>
    </xf>
    <xf numFmtId="0" fontId="119" fillId="47" borderId="15" xfId="0" applyFont="1" applyFill="1" applyBorder="1" applyAlignment="1">
      <alignment horizontal="center" vertical="center"/>
    </xf>
    <xf numFmtId="0" fontId="119" fillId="47" borderId="55" xfId="0" applyFont="1" applyFill="1" applyBorder="1" applyAlignment="1">
      <alignment horizontal="center" vertical="center"/>
    </xf>
    <xf numFmtId="0" fontId="119" fillId="47" borderId="59" xfId="0" applyFont="1" applyFill="1" applyBorder="1" applyAlignment="1">
      <alignment horizontal="center"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40" xfId="0" applyFont="1" applyBorder="1" applyAlignment="1">
      <alignment horizontal="center" vertical="center" wrapText="1"/>
    </xf>
    <xf numFmtId="0" fontId="9" fillId="0" borderId="51" xfId="0" applyFont="1" applyBorder="1" applyAlignment="1">
      <alignment horizontal="center" vertical="center" wrapText="1"/>
    </xf>
    <xf numFmtId="167" fontId="18" fillId="0" borderId="118" xfId="0" quotePrefix="1" applyNumberFormat="1" applyFont="1" applyFill="1" applyBorder="1" applyAlignment="1" applyProtection="1">
      <alignment horizontal="center" vertical="center" wrapText="1"/>
    </xf>
    <xf numFmtId="167" fontId="18" fillId="0" borderId="106" xfId="0" quotePrefix="1" applyNumberFormat="1" applyFont="1" applyFill="1" applyBorder="1" applyAlignment="1" applyProtection="1">
      <alignment horizontal="center" vertical="center" wrapText="1"/>
    </xf>
    <xf numFmtId="167" fontId="18" fillId="0" borderId="107" xfId="0" applyNumberFormat="1" applyFont="1" applyFill="1" applyBorder="1" applyAlignment="1" applyProtection="1">
      <alignment horizontal="center" vertical="center" wrapText="1"/>
    </xf>
    <xf numFmtId="167" fontId="18" fillId="0" borderId="108" xfId="0" applyNumberFormat="1" applyFont="1" applyFill="1" applyBorder="1" applyAlignment="1" applyProtection="1">
      <alignment horizontal="center" vertical="center" wrapText="1"/>
    </xf>
    <xf numFmtId="167" fontId="18" fillId="0" borderId="109" xfId="0" applyNumberFormat="1" applyFont="1" applyFill="1" applyBorder="1" applyAlignment="1" applyProtection="1">
      <alignment horizontal="center" vertical="center" wrapText="1"/>
    </xf>
    <xf numFmtId="0" fontId="68" fillId="41" borderId="69" xfId="0" applyNumberFormat="1" applyFont="1" applyFill="1" applyBorder="1" applyAlignment="1" applyProtection="1">
      <alignment horizontal="right" vertical="center" wrapText="1"/>
    </xf>
    <xf numFmtId="0" fontId="68" fillId="41" borderId="111" xfId="0" applyNumberFormat="1" applyFont="1" applyFill="1" applyBorder="1" applyAlignment="1" applyProtection="1">
      <alignment horizontal="right" vertical="center" wrapText="1"/>
    </xf>
    <xf numFmtId="0" fontId="68" fillId="41" borderId="39" xfId="0" applyNumberFormat="1" applyFont="1" applyFill="1" applyBorder="1" applyAlignment="1" applyProtection="1">
      <alignment horizontal="right" vertical="center" wrapText="1"/>
    </xf>
    <xf numFmtId="0" fontId="68" fillId="0" borderId="37" xfId="0" applyNumberFormat="1" applyFont="1" applyFill="1" applyBorder="1" applyAlignment="1" applyProtection="1">
      <alignment horizontal="center" vertical="center" wrapText="1"/>
    </xf>
    <xf numFmtId="0" fontId="68" fillId="0" borderId="111" xfId="0" applyNumberFormat="1" applyFont="1" applyFill="1" applyBorder="1" applyAlignment="1" applyProtection="1">
      <alignment horizontal="center" vertical="center" wrapText="1"/>
    </xf>
    <xf numFmtId="0" fontId="68" fillId="0" borderId="54" xfId="0" applyNumberFormat="1" applyFont="1" applyFill="1" applyBorder="1" applyAlignment="1" applyProtection="1">
      <alignment horizontal="center" vertical="center" wrapText="1"/>
    </xf>
    <xf numFmtId="0" fontId="68" fillId="35" borderId="35" xfId="0" applyNumberFormat="1" applyFont="1" applyFill="1" applyBorder="1" applyAlignment="1" applyProtection="1">
      <alignment horizontal="left" vertical="center"/>
    </xf>
    <xf numFmtId="0" fontId="68" fillId="35" borderId="40" xfId="0" applyNumberFormat="1" applyFont="1" applyFill="1" applyBorder="1" applyAlignment="1" applyProtection="1">
      <alignment horizontal="left" vertical="center"/>
    </xf>
    <xf numFmtId="0" fontId="68" fillId="35" borderId="51" xfId="0" applyNumberFormat="1" applyFont="1" applyFill="1" applyBorder="1" applyAlignment="1" applyProtection="1">
      <alignment horizontal="left" vertical="center"/>
    </xf>
    <xf numFmtId="0" fontId="18" fillId="0" borderId="75"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0" fontId="18" fillId="0" borderId="76" xfId="0" applyNumberFormat="1" applyFont="1" applyFill="1" applyBorder="1" applyAlignment="1" applyProtection="1">
      <alignment horizontal="center" vertical="center" wrapText="1"/>
    </xf>
    <xf numFmtId="2" fontId="18" fillId="0" borderId="118" xfId="0" applyNumberFormat="1" applyFont="1" applyFill="1" applyBorder="1" applyAlignment="1" applyProtection="1">
      <alignment horizontal="center" vertical="center" wrapText="1"/>
    </xf>
    <xf numFmtId="2" fontId="18" fillId="0" borderId="108" xfId="0" applyNumberFormat="1" applyFont="1" applyFill="1" applyBorder="1" applyAlignment="1" applyProtection="1">
      <alignment horizontal="center" vertical="center" wrapText="1"/>
    </xf>
    <xf numFmtId="2" fontId="18" fillId="0" borderId="109" xfId="0" applyNumberFormat="1" applyFont="1" applyFill="1" applyBorder="1" applyAlignment="1" applyProtection="1">
      <alignment horizontal="center" vertical="center" wrapText="1"/>
    </xf>
    <xf numFmtId="0" fontId="68" fillId="41" borderId="118" xfId="0" applyNumberFormat="1" applyFont="1" applyFill="1" applyBorder="1" applyAlignment="1" applyProtection="1">
      <alignment horizontal="center" vertical="center" wrapText="1"/>
    </xf>
    <xf numFmtId="0" fontId="68" fillId="41" borderId="106" xfId="0" applyNumberFormat="1" applyFont="1" applyFill="1" applyBorder="1" applyAlignment="1" applyProtection="1">
      <alignment horizontal="center" vertical="center" wrapText="1"/>
    </xf>
    <xf numFmtId="0" fontId="68" fillId="41" borderId="107" xfId="0" applyNumberFormat="1" applyFont="1" applyFill="1" applyBorder="1" applyAlignment="1" applyProtection="1">
      <alignment horizontal="center" vertical="center" wrapText="1"/>
    </xf>
    <xf numFmtId="0" fontId="68" fillId="41" borderId="108" xfId="0" applyNumberFormat="1" applyFont="1" applyFill="1" applyBorder="1" applyAlignment="1" applyProtection="1">
      <alignment horizontal="center" vertical="center" wrapText="1"/>
    </xf>
    <xf numFmtId="0" fontId="68" fillId="41" borderId="109" xfId="0" applyNumberFormat="1" applyFont="1" applyFill="1" applyBorder="1" applyAlignment="1" applyProtection="1">
      <alignment horizontal="center" vertical="center" wrapText="1"/>
    </xf>
    <xf numFmtId="167" fontId="18" fillId="0" borderId="118" xfId="0" quotePrefix="1" applyNumberFormat="1" applyFont="1" applyFill="1" applyBorder="1" applyAlignment="1" applyProtection="1">
      <alignment horizontal="left" vertical="center" wrapText="1"/>
    </xf>
    <xf numFmtId="167" fontId="18" fillId="0" borderId="106" xfId="0" quotePrefix="1" applyNumberFormat="1" applyFont="1" applyFill="1" applyBorder="1" applyAlignment="1" applyProtection="1">
      <alignment horizontal="left" vertical="center" wrapText="1"/>
    </xf>
    <xf numFmtId="167" fontId="18" fillId="0" borderId="107" xfId="0" quotePrefix="1" applyNumberFormat="1" applyFont="1" applyFill="1" applyBorder="1" applyAlignment="1" applyProtection="1">
      <alignment horizontal="center" vertical="center" wrapText="1"/>
    </xf>
    <xf numFmtId="167" fontId="18" fillId="0" borderId="108" xfId="0" quotePrefix="1" applyNumberFormat="1" applyFont="1" applyFill="1" applyBorder="1" applyAlignment="1" applyProtection="1">
      <alignment horizontal="center" vertical="center" wrapText="1"/>
    </xf>
    <xf numFmtId="167" fontId="18" fillId="0" borderId="109" xfId="0" quotePrefix="1" applyNumberFormat="1" applyFont="1" applyFill="1" applyBorder="1" applyAlignment="1" applyProtection="1">
      <alignment horizontal="center" vertical="center" wrapText="1"/>
    </xf>
    <xf numFmtId="0" fontId="18" fillId="0" borderId="118" xfId="0" applyNumberFormat="1" applyFont="1" applyFill="1" applyBorder="1" applyAlignment="1" applyProtection="1">
      <alignment horizontal="center" vertical="center" wrapText="1"/>
    </xf>
    <xf numFmtId="0" fontId="18" fillId="0" borderId="108" xfId="0" applyNumberFormat="1" applyFont="1" applyFill="1" applyBorder="1" applyAlignment="1" applyProtection="1">
      <alignment horizontal="center" vertical="center" wrapText="1"/>
    </xf>
    <xf numFmtId="0" fontId="18" fillId="0" borderId="109" xfId="0" applyNumberFormat="1" applyFont="1" applyFill="1" applyBorder="1" applyAlignment="1" applyProtection="1">
      <alignment horizontal="center" vertical="center" wrapText="1"/>
    </xf>
    <xf numFmtId="2" fontId="102" fillId="0" borderId="118" xfId="0" applyNumberFormat="1" applyFont="1" applyFill="1" applyBorder="1" applyAlignment="1" applyProtection="1">
      <alignment horizontal="center" vertical="center" wrapText="1"/>
    </xf>
    <xf numFmtId="2" fontId="102" fillId="0" borderId="108" xfId="0" applyNumberFormat="1" applyFont="1" applyFill="1" applyBorder="1" applyAlignment="1" applyProtection="1">
      <alignment horizontal="center" vertical="center" wrapText="1"/>
    </xf>
    <xf numFmtId="2" fontId="102" fillId="0" borderId="109" xfId="0" applyNumberFormat="1" applyFont="1" applyFill="1" applyBorder="1" applyAlignment="1" applyProtection="1">
      <alignment horizontal="center" vertical="center" wrapText="1"/>
    </xf>
    <xf numFmtId="0" fontId="68" fillId="41" borderId="107" xfId="0" applyNumberFormat="1" applyFont="1" applyFill="1" applyBorder="1" applyAlignment="1" applyProtection="1">
      <alignment horizontal="center" vertical="center"/>
    </xf>
    <xf numFmtId="0" fontId="68" fillId="41" borderId="108" xfId="0" applyNumberFormat="1" applyFont="1" applyFill="1" applyBorder="1" applyAlignment="1" applyProtection="1">
      <alignment horizontal="center" vertical="center"/>
    </xf>
    <xf numFmtId="0" fontId="68" fillId="41" borderId="109" xfId="0" applyNumberFormat="1" applyFont="1" applyFill="1" applyBorder="1" applyAlignment="1" applyProtection="1">
      <alignment horizontal="center" vertical="center"/>
    </xf>
    <xf numFmtId="0" fontId="68" fillId="0" borderId="119" xfId="0" applyNumberFormat="1" applyFont="1" applyFill="1" applyBorder="1" applyAlignment="1" applyProtection="1">
      <alignment horizontal="center" vertical="center"/>
    </xf>
    <xf numFmtId="0" fontId="68" fillId="0" borderId="102" xfId="0" applyNumberFormat="1" applyFont="1" applyFill="1" applyBorder="1" applyAlignment="1" applyProtection="1">
      <alignment horizontal="center" vertical="center"/>
    </xf>
    <xf numFmtId="0" fontId="68" fillId="0" borderId="103" xfId="0" applyNumberFormat="1" applyFont="1" applyFill="1" applyBorder="1" applyAlignment="1" applyProtection="1">
      <alignment horizontal="center" vertical="center"/>
    </xf>
    <xf numFmtId="0" fontId="68" fillId="0" borderId="77" xfId="0" applyNumberFormat="1" applyFont="1" applyFill="1" applyBorder="1" applyAlignment="1" applyProtection="1">
      <alignment horizontal="center" vertical="center"/>
    </xf>
    <xf numFmtId="0" fontId="68" fillId="0" borderId="3" xfId="0" applyNumberFormat="1" applyFont="1" applyFill="1" applyBorder="1" applyAlignment="1" applyProtection="1">
      <alignment horizontal="center" vertical="center"/>
    </xf>
    <xf numFmtId="0" fontId="68" fillId="0" borderId="76" xfId="0" applyNumberFormat="1" applyFont="1" applyFill="1" applyBorder="1" applyAlignment="1" applyProtection="1">
      <alignment horizontal="center" vertical="center"/>
    </xf>
    <xf numFmtId="0" fontId="68" fillId="41" borderId="119" xfId="0" applyNumberFormat="1" applyFont="1" applyFill="1" applyBorder="1" applyAlignment="1" applyProtection="1">
      <alignment horizontal="center" vertical="center"/>
    </xf>
    <xf numFmtId="0" fontId="68" fillId="41" borderId="103" xfId="0" applyNumberFormat="1" applyFont="1" applyFill="1" applyBorder="1" applyAlignment="1" applyProtection="1">
      <alignment horizontal="center" vertical="center"/>
    </xf>
    <xf numFmtId="0" fontId="18" fillId="0" borderId="58" xfId="0" applyNumberFormat="1" applyFont="1" applyFill="1" applyBorder="1" applyAlignment="1" applyProtection="1">
      <alignment horizontal="center" vertical="center"/>
    </xf>
    <xf numFmtId="0" fontId="18" fillId="0" borderId="11" xfId="0" applyNumberFormat="1" applyFont="1" applyFill="1" applyBorder="1" applyAlignment="1" applyProtection="1">
      <alignment horizontal="center" vertical="center"/>
    </xf>
    <xf numFmtId="0" fontId="18" fillId="0" borderId="117" xfId="0" applyNumberFormat="1" applyFont="1" applyFill="1" applyBorder="1" applyAlignment="1" applyProtection="1">
      <alignment horizontal="center" vertical="center"/>
    </xf>
    <xf numFmtId="0" fontId="18" fillId="0" borderId="114" xfId="0" applyNumberFormat="1" applyFont="1" applyFill="1" applyBorder="1" applyAlignment="1" applyProtection="1">
      <alignment horizontal="center" vertical="center"/>
    </xf>
    <xf numFmtId="0" fontId="68" fillId="0" borderId="58" xfId="0" applyNumberFormat="1" applyFont="1" applyFill="1" applyBorder="1" applyAlignment="1" applyProtection="1">
      <alignment horizontal="center" vertical="center"/>
    </xf>
    <xf numFmtId="0" fontId="68" fillId="0" borderId="11" xfId="0" applyNumberFormat="1" applyFont="1" applyFill="1" applyBorder="1" applyAlignment="1" applyProtection="1">
      <alignment horizontal="center" vertical="center"/>
    </xf>
    <xf numFmtId="0" fontId="18" fillId="0" borderId="47" xfId="0" applyNumberFormat="1" applyFont="1" applyFill="1" applyBorder="1" applyAlignment="1" applyProtection="1">
      <alignment horizontal="center" vertical="center" wrapText="1"/>
    </xf>
    <xf numFmtId="0" fontId="18" fillId="0" borderId="48" xfId="0" applyNumberFormat="1" applyFont="1" applyFill="1" applyBorder="1" applyAlignment="1" applyProtection="1">
      <alignment horizontal="center" vertical="center" wrapText="1"/>
    </xf>
    <xf numFmtId="0" fontId="18" fillId="0" borderId="49"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xf>
    <xf numFmtId="0" fontId="68" fillId="0" borderId="108" xfId="0" applyNumberFormat="1" applyFont="1" applyFill="1" applyBorder="1" applyAlignment="1" applyProtection="1">
      <alignment horizontal="center" vertical="center" wrapText="1"/>
    </xf>
    <xf numFmtId="0" fontId="68" fillId="0" borderId="109" xfId="0" applyNumberFormat="1" applyFont="1" applyFill="1" applyBorder="1" applyAlignment="1" applyProtection="1">
      <alignment horizontal="center" vertical="center" wrapText="1"/>
    </xf>
    <xf numFmtId="167" fontId="18" fillId="0" borderId="119" xfId="0" applyNumberFormat="1" applyFont="1" applyFill="1" applyBorder="1" applyAlignment="1" applyProtection="1">
      <alignment horizontal="center" vertical="center" wrapText="1"/>
    </xf>
    <xf numFmtId="167" fontId="18" fillId="0" borderId="102" xfId="0" applyNumberFormat="1" applyFont="1" applyFill="1" applyBorder="1" applyAlignment="1" applyProtection="1">
      <alignment horizontal="center" vertical="center" wrapText="1"/>
    </xf>
    <xf numFmtId="167" fontId="18" fillId="0" borderId="103" xfId="0" applyNumberFormat="1" applyFont="1" applyFill="1" applyBorder="1" applyAlignment="1" applyProtection="1">
      <alignment horizontal="center" vertical="center" wrapText="1"/>
    </xf>
    <xf numFmtId="167" fontId="18" fillId="0" borderId="77" xfId="0" applyNumberFormat="1" applyFont="1" applyFill="1" applyBorder="1" applyAlignment="1" applyProtection="1">
      <alignment horizontal="center" vertical="center" wrapText="1"/>
    </xf>
    <xf numFmtId="167" fontId="18" fillId="0" borderId="3" xfId="0" applyNumberFormat="1" applyFont="1" applyFill="1" applyBorder="1" applyAlignment="1" applyProtection="1">
      <alignment horizontal="center" vertical="center" wrapText="1"/>
    </xf>
    <xf numFmtId="167" fontId="18" fillId="0" borderId="76" xfId="0" applyNumberFormat="1" applyFont="1" applyFill="1" applyBorder="1" applyAlignment="1" applyProtection="1">
      <alignment horizontal="center" vertical="center" wrapText="1"/>
    </xf>
    <xf numFmtId="0" fontId="68" fillId="0" borderId="118" xfId="0" applyNumberFormat="1" applyFont="1" applyFill="1" applyBorder="1" applyAlignment="1" applyProtection="1">
      <alignment horizontal="center" vertical="center" wrapText="1"/>
    </xf>
    <xf numFmtId="0" fontId="68" fillId="0" borderId="106" xfId="0" applyNumberFormat="1" applyFont="1" applyFill="1" applyBorder="1" applyAlignment="1" applyProtection="1">
      <alignment horizontal="center" vertical="center" wrapText="1"/>
    </xf>
    <xf numFmtId="0" fontId="18" fillId="0" borderId="119" xfId="0" applyNumberFormat="1" applyFont="1" applyFill="1" applyBorder="1" applyAlignment="1" applyProtection="1">
      <alignment horizontal="center" vertical="center"/>
    </xf>
    <xf numFmtId="0" fontId="18" fillId="0" borderId="102" xfId="0" applyNumberFormat="1" applyFont="1" applyFill="1" applyBorder="1" applyAlignment="1" applyProtection="1">
      <alignment horizontal="center" vertical="center"/>
    </xf>
    <xf numFmtId="0" fontId="18" fillId="0" borderId="103" xfId="0" applyNumberFormat="1" applyFont="1" applyFill="1" applyBorder="1" applyAlignment="1" applyProtection="1">
      <alignment horizontal="center" vertical="center"/>
    </xf>
    <xf numFmtId="0" fontId="68" fillId="41" borderId="37" xfId="0" applyNumberFormat="1" applyFont="1" applyFill="1" applyBorder="1" applyAlignment="1" applyProtection="1">
      <alignment horizontal="center" vertical="center" wrapText="1"/>
    </xf>
    <xf numFmtId="0" fontId="68" fillId="41" borderId="111" xfId="0" applyNumberFormat="1" applyFont="1" applyFill="1" applyBorder="1" applyAlignment="1" applyProtection="1">
      <alignment horizontal="center" vertical="center" wrapText="1"/>
    </xf>
    <xf numFmtId="0" fontId="68" fillId="41" borderId="54" xfId="0" applyNumberFormat="1" applyFont="1" applyFill="1" applyBorder="1" applyAlignment="1" applyProtection="1">
      <alignment horizontal="center" vertical="center" wrapText="1"/>
    </xf>
    <xf numFmtId="0" fontId="35" fillId="0" borderId="47" xfId="0" applyNumberFormat="1" applyFont="1" applyFill="1" applyBorder="1" applyAlignment="1" applyProtection="1">
      <alignment horizontal="center" vertical="center" wrapText="1"/>
    </xf>
    <xf numFmtId="0" fontId="35" fillId="0" borderId="48" xfId="0" applyNumberFormat="1" applyFont="1" applyFill="1" applyBorder="1" applyAlignment="1" applyProtection="1">
      <alignment horizontal="center" vertical="center" wrapText="1"/>
    </xf>
    <xf numFmtId="0" fontId="35" fillId="0" borderId="49" xfId="0" applyNumberFormat="1" applyFont="1" applyFill="1" applyBorder="1" applyAlignment="1" applyProtection="1">
      <alignment horizontal="center" vertical="center" wrapText="1"/>
    </xf>
    <xf numFmtId="2" fontId="18" fillId="0" borderId="107" xfId="0" applyNumberFormat="1" applyFont="1" applyFill="1" applyBorder="1" applyAlignment="1" applyProtection="1">
      <alignment horizontal="center" vertical="center" wrapText="1"/>
    </xf>
    <xf numFmtId="2" fontId="18" fillId="0" borderId="106" xfId="0" applyNumberFormat="1" applyFont="1" applyFill="1" applyBorder="1" applyAlignment="1" applyProtection="1">
      <alignment horizontal="center" vertical="center" wrapText="1"/>
    </xf>
    <xf numFmtId="2" fontId="68" fillId="41" borderId="111" xfId="0" applyNumberFormat="1" applyFont="1" applyFill="1" applyBorder="1" applyAlignment="1" applyProtection="1">
      <alignment horizontal="center" vertical="center" wrapText="1"/>
    </xf>
    <xf numFmtId="2" fontId="68" fillId="41" borderId="39" xfId="0" applyNumberFormat="1"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xf>
    <xf numFmtId="0" fontId="68" fillId="0" borderId="40" xfId="0" applyNumberFormat="1" applyFont="1" applyFill="1" applyBorder="1" applyAlignment="1" applyProtection="1">
      <alignment horizontal="center" vertical="center" wrapText="1"/>
    </xf>
    <xf numFmtId="0" fontId="68" fillId="0" borderId="51" xfId="0" applyNumberFormat="1" applyFont="1" applyFill="1" applyBorder="1" applyAlignment="1" applyProtection="1">
      <alignment horizontal="center" vertical="center" wrapText="1"/>
    </xf>
    <xf numFmtId="167" fontId="18" fillId="0" borderId="118" xfId="0" applyNumberFormat="1" applyFont="1" applyFill="1" applyBorder="1" applyAlignment="1" applyProtection="1">
      <alignment horizontal="center" vertical="center" wrapText="1"/>
    </xf>
    <xf numFmtId="167" fontId="18" fillId="0" borderId="106" xfId="0" applyNumberFormat="1" applyFont="1" applyFill="1" applyBorder="1" applyAlignment="1" applyProtection="1">
      <alignment horizontal="center" vertical="center" wrapText="1"/>
    </xf>
    <xf numFmtId="0" fontId="18" fillId="0" borderId="107" xfId="0" applyNumberFormat="1" applyFont="1" applyFill="1" applyBorder="1" applyAlignment="1" applyProtection="1">
      <alignment horizontal="center" vertical="center"/>
    </xf>
    <xf numFmtId="0" fontId="18" fillId="0" borderId="108" xfId="0" applyNumberFormat="1" applyFont="1" applyFill="1" applyBorder="1" applyAlignment="1" applyProtection="1">
      <alignment horizontal="center" vertical="center"/>
    </xf>
    <xf numFmtId="0" fontId="18" fillId="0" borderId="109" xfId="0" applyNumberFormat="1" applyFont="1" applyFill="1" applyBorder="1" applyAlignment="1" applyProtection="1">
      <alignment horizontal="center" vertical="center"/>
    </xf>
    <xf numFmtId="167" fontId="68" fillId="41" borderId="107" xfId="0" applyNumberFormat="1" applyFont="1" applyFill="1" applyBorder="1" applyAlignment="1" applyProtection="1">
      <alignment horizontal="center" vertical="center" wrapText="1"/>
    </xf>
    <xf numFmtId="167" fontId="68" fillId="41" borderId="108" xfId="0" applyNumberFormat="1" applyFont="1" applyFill="1" applyBorder="1" applyAlignment="1" applyProtection="1">
      <alignment horizontal="center" vertical="center" wrapText="1"/>
    </xf>
    <xf numFmtId="167" fontId="68" fillId="41" borderId="109"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xf>
    <xf numFmtId="167" fontId="68" fillId="41" borderId="37" xfId="0" applyNumberFormat="1" applyFont="1" applyFill="1" applyBorder="1" applyAlignment="1" applyProtection="1">
      <alignment horizontal="center" vertical="center" wrapText="1"/>
    </xf>
    <xf numFmtId="167" fontId="68" fillId="41" borderId="111" xfId="0" applyNumberFormat="1" applyFont="1" applyFill="1" applyBorder="1" applyAlignment="1" applyProtection="1">
      <alignment horizontal="center" vertical="center" wrapText="1"/>
    </xf>
    <xf numFmtId="167" fontId="68" fillId="41" borderId="54" xfId="0" applyNumberFormat="1" applyFont="1" applyFill="1" applyBorder="1" applyAlignment="1" applyProtection="1">
      <alignment horizontal="center" vertical="center" wrapText="1"/>
    </xf>
    <xf numFmtId="2" fontId="18" fillId="0" borderId="23" xfId="0" applyNumberFormat="1" applyFont="1" applyFill="1" applyBorder="1" applyAlignment="1" applyProtection="1">
      <alignment horizontal="center" vertical="center" wrapText="1"/>
    </xf>
    <xf numFmtId="167" fontId="68" fillId="41" borderId="53" xfId="0" applyNumberFormat="1" applyFont="1" applyFill="1" applyBorder="1" applyAlignment="1" applyProtection="1">
      <alignment horizontal="center" vertical="center" wrapText="1"/>
    </xf>
    <xf numFmtId="0" fontId="18" fillId="0" borderId="23" xfId="0" applyNumberFormat="1" applyFont="1" applyFill="1" applyBorder="1" applyAlignment="1" applyProtection="1">
      <alignment horizontal="center" vertical="center" wrapText="1"/>
    </xf>
    <xf numFmtId="0" fontId="99" fillId="41" borderId="107" xfId="0" applyNumberFormat="1" applyFont="1" applyFill="1" applyBorder="1" applyAlignment="1" applyProtection="1">
      <alignment horizontal="center" vertical="center"/>
    </xf>
    <xf numFmtId="0" fontId="99" fillId="41" borderId="108" xfId="0" applyNumberFormat="1" applyFont="1" applyFill="1" applyBorder="1" applyAlignment="1" applyProtection="1">
      <alignment horizontal="center" vertical="center"/>
    </xf>
    <xf numFmtId="0" fontId="99" fillId="41" borderId="109" xfId="0" applyNumberFormat="1" applyFont="1" applyFill="1" applyBorder="1" applyAlignment="1" applyProtection="1">
      <alignment horizontal="center" vertical="center"/>
    </xf>
    <xf numFmtId="0" fontId="18" fillId="0" borderId="77"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center" vertical="center"/>
    </xf>
    <xf numFmtId="0" fontId="18" fillId="0" borderId="76" xfId="0" applyNumberFormat="1" applyFont="1" applyFill="1" applyBorder="1" applyAlignment="1" applyProtection="1">
      <alignment horizontal="center" vertical="center"/>
    </xf>
    <xf numFmtId="167" fontId="18" fillId="0" borderId="125" xfId="0" quotePrefix="1" applyNumberFormat="1" applyFont="1" applyFill="1" applyBorder="1" applyAlignment="1" applyProtection="1">
      <alignment horizontal="center" vertical="center" wrapText="1"/>
    </xf>
    <xf numFmtId="167" fontId="18" fillId="0" borderId="126" xfId="0" quotePrefix="1" applyNumberFormat="1" applyFont="1" applyFill="1" applyBorder="1" applyAlignment="1" applyProtection="1">
      <alignment horizontal="center" vertical="center" wrapText="1"/>
    </xf>
    <xf numFmtId="167" fontId="18" fillId="0" borderId="119" xfId="0" quotePrefix="1" applyNumberFormat="1" applyFont="1" applyFill="1" applyBorder="1" applyAlignment="1" applyProtection="1">
      <alignment horizontal="center" vertical="center" wrapText="1"/>
    </xf>
    <xf numFmtId="167" fontId="18" fillId="0" borderId="102" xfId="0" quotePrefix="1" applyNumberFormat="1" applyFont="1" applyFill="1" applyBorder="1" applyAlignment="1" applyProtection="1">
      <alignment horizontal="center" vertical="center" wrapText="1"/>
    </xf>
    <xf numFmtId="167" fontId="18" fillId="0" borderId="103" xfId="0" quotePrefix="1" applyNumberFormat="1" applyFont="1" applyFill="1" applyBorder="1" applyAlignment="1" applyProtection="1">
      <alignment horizontal="center" vertical="center" wrapText="1"/>
    </xf>
    <xf numFmtId="167" fontId="18" fillId="0" borderId="58" xfId="0" quotePrefix="1" applyNumberFormat="1" applyFont="1" applyFill="1" applyBorder="1" applyAlignment="1" applyProtection="1">
      <alignment horizontal="center" vertical="center" wrapText="1"/>
    </xf>
    <xf numFmtId="167" fontId="18" fillId="0" borderId="0" xfId="0" quotePrefix="1" applyNumberFormat="1" applyFont="1" applyFill="1" applyBorder="1" applyAlignment="1" applyProtection="1">
      <alignment horizontal="center" vertical="center" wrapText="1"/>
    </xf>
    <xf numFmtId="167" fontId="18" fillId="0" borderId="11" xfId="0" quotePrefix="1" applyNumberFormat="1" applyFont="1" applyFill="1" applyBorder="1" applyAlignment="1" applyProtection="1">
      <alignment horizontal="center" vertical="center" wrapText="1"/>
    </xf>
    <xf numFmtId="167" fontId="18" fillId="0" borderId="117" xfId="0" quotePrefix="1" applyNumberFormat="1" applyFont="1" applyFill="1" applyBorder="1" applyAlignment="1" applyProtection="1">
      <alignment horizontal="center" vertical="center" wrapText="1"/>
    </xf>
    <xf numFmtId="167" fontId="18" fillId="0" borderId="113" xfId="0" quotePrefix="1" applyNumberFormat="1" applyFont="1" applyFill="1" applyBorder="1" applyAlignment="1" applyProtection="1">
      <alignment horizontal="center" vertical="center" wrapText="1"/>
    </xf>
    <xf numFmtId="167" fontId="18" fillId="0" borderId="114" xfId="0" quotePrefix="1" applyNumberFormat="1" applyFont="1" applyFill="1" applyBorder="1" applyAlignment="1" applyProtection="1">
      <alignment horizontal="center" vertical="center" wrapText="1"/>
    </xf>
    <xf numFmtId="167" fontId="18" fillId="0" borderId="58" xfId="0" applyNumberFormat="1" applyFont="1" applyFill="1" applyBorder="1" applyAlignment="1" applyProtection="1">
      <alignment horizontal="center" vertical="center" wrapText="1"/>
    </xf>
    <xf numFmtId="167" fontId="18" fillId="0" borderId="0" xfId="0" applyNumberFormat="1" applyFont="1" applyFill="1" applyBorder="1" applyAlignment="1" applyProtection="1">
      <alignment horizontal="center" vertical="center" wrapText="1"/>
    </xf>
    <xf numFmtId="167" fontId="18" fillId="0" borderId="11" xfId="0" applyNumberFormat="1" applyFont="1" applyFill="1" applyBorder="1" applyAlignment="1" applyProtection="1">
      <alignment horizontal="center" vertical="center" wrapText="1"/>
    </xf>
    <xf numFmtId="167" fontId="18" fillId="0" borderId="117" xfId="0" applyNumberFormat="1" applyFont="1" applyFill="1" applyBorder="1" applyAlignment="1" applyProtection="1">
      <alignment horizontal="center" vertical="center" wrapText="1"/>
    </xf>
    <xf numFmtId="167" fontId="18" fillId="0" borderId="113" xfId="0" applyNumberFormat="1" applyFont="1" applyFill="1" applyBorder="1" applyAlignment="1" applyProtection="1">
      <alignment horizontal="center" vertical="center" wrapText="1"/>
    </xf>
    <xf numFmtId="167" fontId="18" fillId="0" borderId="114" xfId="0" applyNumberFormat="1" applyFont="1" applyFill="1" applyBorder="1" applyAlignment="1" applyProtection="1">
      <alignment horizontal="center" vertical="center" wrapText="1"/>
    </xf>
    <xf numFmtId="167" fontId="68" fillId="41" borderId="69" xfId="0" applyNumberFormat="1" applyFont="1" applyFill="1" applyBorder="1" applyAlignment="1" applyProtection="1">
      <alignment horizontal="right" vertical="center" wrapText="1"/>
    </xf>
    <xf numFmtId="167" fontId="68" fillId="41" borderId="111" xfId="0" applyNumberFormat="1" applyFont="1" applyFill="1" applyBorder="1" applyAlignment="1" applyProtection="1">
      <alignment horizontal="right" vertical="center" wrapText="1"/>
    </xf>
    <xf numFmtId="167" fontId="68" fillId="41" borderId="39" xfId="0" applyNumberFormat="1" applyFont="1" applyFill="1" applyBorder="1" applyAlignment="1" applyProtection="1">
      <alignment horizontal="right" vertical="center" wrapText="1"/>
    </xf>
    <xf numFmtId="0" fontId="68" fillId="0" borderId="125" xfId="0" applyNumberFormat="1" applyFont="1" applyFill="1" applyBorder="1" applyAlignment="1" applyProtection="1">
      <alignment horizontal="center" vertical="center" wrapText="1"/>
    </xf>
    <xf numFmtId="0" fontId="68" fillId="0" borderId="126"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xf>
    <xf numFmtId="0" fontId="68" fillId="0" borderId="57" xfId="0" applyNumberFormat="1" applyFont="1" applyFill="1" applyBorder="1" applyAlignment="1" applyProtection="1">
      <alignment horizontal="center" vertical="center" wrapText="1"/>
    </xf>
    <xf numFmtId="0" fontId="68" fillId="0" borderId="75"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right" vertical="center" wrapText="1"/>
    </xf>
    <xf numFmtId="0" fontId="68" fillId="0" borderId="108" xfId="0" applyNumberFormat="1" applyFont="1" applyFill="1" applyBorder="1" applyAlignment="1" applyProtection="1">
      <alignment horizontal="right" vertical="center" wrapText="1"/>
    </xf>
    <xf numFmtId="0" fontId="68" fillId="0" borderId="106" xfId="0" applyNumberFormat="1" applyFont="1" applyFill="1" applyBorder="1" applyAlignment="1" applyProtection="1">
      <alignment horizontal="right" vertical="center" wrapText="1"/>
    </xf>
    <xf numFmtId="167" fontId="68" fillId="41" borderId="107" xfId="0" applyNumberFormat="1" applyFont="1" applyFill="1" applyBorder="1" applyAlignment="1" applyProtection="1">
      <alignment horizontal="right" vertical="center" wrapText="1"/>
    </xf>
    <xf numFmtId="167" fontId="68" fillId="41" borderId="108" xfId="0" applyNumberFormat="1" applyFont="1" applyFill="1" applyBorder="1" applyAlignment="1" applyProtection="1">
      <alignment horizontal="right" vertical="center" wrapText="1"/>
    </xf>
    <xf numFmtId="167" fontId="68" fillId="41" borderId="106" xfId="0" applyNumberFormat="1" applyFont="1" applyFill="1" applyBorder="1" applyAlignment="1" applyProtection="1">
      <alignment horizontal="right" vertical="center" wrapText="1"/>
    </xf>
    <xf numFmtId="0" fontId="68" fillId="41" borderId="118" xfId="0" applyNumberFormat="1" applyFont="1" applyFill="1" applyBorder="1" applyAlignment="1" applyProtection="1">
      <alignment horizontal="left" vertical="center" wrapText="1"/>
    </xf>
    <xf numFmtId="0" fontId="68" fillId="41" borderId="108" xfId="0" applyNumberFormat="1" applyFont="1" applyFill="1" applyBorder="1" applyAlignment="1" applyProtection="1">
      <alignment horizontal="left" vertical="center" wrapText="1"/>
    </xf>
    <xf numFmtId="0" fontId="68" fillId="41" borderId="109" xfId="0" applyNumberFormat="1" applyFont="1" applyFill="1" applyBorder="1" applyAlignment="1" applyProtection="1">
      <alignment horizontal="left" vertical="center" wrapText="1"/>
    </xf>
    <xf numFmtId="0" fontId="102" fillId="41" borderId="118" xfId="0" applyNumberFormat="1" applyFont="1" applyFill="1" applyBorder="1" applyAlignment="1" applyProtection="1">
      <alignment horizontal="center" vertical="center" wrapText="1"/>
    </xf>
    <xf numFmtId="0" fontId="102" fillId="41" borderId="108" xfId="0" applyNumberFormat="1" applyFont="1" applyFill="1" applyBorder="1" applyAlignment="1" applyProtection="1">
      <alignment horizontal="center" vertical="center" wrapText="1"/>
    </xf>
    <xf numFmtId="0" fontId="102" fillId="41" borderId="109" xfId="0" applyNumberFormat="1" applyFont="1" applyFill="1" applyBorder="1" applyAlignment="1" applyProtection="1">
      <alignment horizontal="center" vertical="center" wrapText="1"/>
    </xf>
    <xf numFmtId="0" fontId="94" fillId="0" borderId="119" xfId="0" applyNumberFormat="1" applyFont="1" applyFill="1" applyBorder="1" applyAlignment="1" applyProtection="1">
      <alignment horizontal="center" vertical="center" wrapText="1"/>
    </xf>
    <xf numFmtId="0" fontId="94" fillId="0" borderId="103" xfId="0" applyNumberFormat="1" applyFont="1" applyFill="1" applyBorder="1" applyAlignment="1" applyProtection="1">
      <alignment horizontal="center" vertical="center" wrapText="1"/>
    </xf>
    <xf numFmtId="0" fontId="94" fillId="0" borderId="58" xfId="0" applyNumberFormat="1" applyFont="1" applyFill="1" applyBorder="1" applyAlignment="1" applyProtection="1">
      <alignment horizontal="center" vertical="center" wrapText="1"/>
    </xf>
    <xf numFmtId="0" fontId="94" fillId="0" borderId="11" xfId="0" applyNumberFormat="1" applyFont="1" applyFill="1" applyBorder="1" applyAlignment="1" applyProtection="1">
      <alignment horizontal="center" vertical="center" wrapText="1"/>
    </xf>
    <xf numFmtId="0" fontId="94" fillId="0" borderId="117" xfId="0" applyNumberFormat="1" applyFont="1" applyFill="1" applyBorder="1" applyAlignment="1" applyProtection="1">
      <alignment horizontal="center" vertical="center" wrapText="1"/>
    </xf>
    <xf numFmtId="0" fontId="94" fillId="0" borderId="114" xfId="0" applyNumberFormat="1" applyFont="1" applyFill="1" applyBorder="1" applyAlignment="1" applyProtection="1">
      <alignment horizontal="center" vertical="center" wrapText="1"/>
    </xf>
    <xf numFmtId="167" fontId="68" fillId="41" borderId="125" xfId="0" applyNumberFormat="1" applyFont="1" applyFill="1" applyBorder="1" applyAlignment="1" applyProtection="1">
      <alignment horizontal="center" vertical="center" wrapText="1"/>
    </xf>
    <xf numFmtId="167" fontId="68" fillId="41" borderId="102" xfId="0" applyNumberFormat="1" applyFont="1" applyFill="1" applyBorder="1" applyAlignment="1" applyProtection="1">
      <alignment horizontal="center" vertical="center" wrapText="1"/>
    </xf>
    <xf numFmtId="167" fontId="68" fillId="41" borderId="126" xfId="0" applyNumberFormat="1" applyFont="1" applyFill="1" applyBorder="1" applyAlignment="1" applyProtection="1">
      <alignment horizontal="center" vertical="center" wrapText="1"/>
    </xf>
    <xf numFmtId="167" fontId="68" fillId="41" borderId="69" xfId="0" applyNumberFormat="1" applyFont="1" applyFill="1" applyBorder="1" applyAlignment="1" applyProtection="1">
      <alignment horizontal="center" vertical="center" wrapText="1"/>
    </xf>
    <xf numFmtId="167" fontId="68" fillId="41" borderId="39" xfId="0" applyNumberFormat="1" applyFont="1" applyFill="1" applyBorder="1" applyAlignment="1" applyProtection="1">
      <alignment horizontal="center" vertical="center" wrapText="1"/>
    </xf>
    <xf numFmtId="167" fontId="68" fillId="0" borderId="107" xfId="0" applyNumberFormat="1" applyFont="1" applyFill="1" applyBorder="1" applyAlignment="1" applyProtection="1">
      <alignment horizontal="center" vertical="center" wrapText="1"/>
    </xf>
    <xf numFmtId="167" fontId="68" fillId="0" borderId="109" xfId="0" applyNumberFormat="1" applyFont="1" applyFill="1" applyBorder="1" applyAlignment="1" applyProtection="1">
      <alignment horizontal="center" vertical="center" wrapText="1"/>
    </xf>
    <xf numFmtId="167" fontId="68" fillId="41" borderId="69" xfId="0" quotePrefix="1" applyNumberFormat="1" applyFont="1" applyFill="1" applyBorder="1" applyAlignment="1" applyProtection="1">
      <alignment horizontal="right" vertical="center" wrapText="1"/>
    </xf>
    <xf numFmtId="167" fontId="68" fillId="41" borderId="111" xfId="0" quotePrefix="1" applyNumberFormat="1" applyFont="1" applyFill="1" applyBorder="1" applyAlignment="1" applyProtection="1">
      <alignment horizontal="right" vertical="center" wrapText="1"/>
    </xf>
    <xf numFmtId="167" fontId="68" fillId="41" borderId="39" xfId="0" quotePrefix="1" applyNumberFormat="1" applyFont="1" applyFill="1" applyBorder="1" applyAlignment="1" applyProtection="1">
      <alignment horizontal="right" vertical="center" wrapText="1"/>
    </xf>
    <xf numFmtId="167" fontId="18" fillId="0" borderId="10" xfId="0" quotePrefix="1" applyNumberFormat="1" applyFont="1" applyFill="1" applyBorder="1" applyAlignment="1" applyProtection="1">
      <alignment horizontal="center" vertical="center" wrapText="1"/>
    </xf>
    <xf numFmtId="167" fontId="18" fillId="0" borderId="57" xfId="0" quotePrefix="1" applyNumberFormat="1" applyFont="1" applyFill="1" applyBorder="1" applyAlignment="1" applyProtection="1">
      <alignment horizontal="center" vertical="center" wrapText="1"/>
    </xf>
    <xf numFmtId="167" fontId="18" fillId="0" borderId="75" xfId="0" quotePrefix="1" applyNumberFormat="1" applyFont="1" applyFill="1" applyBorder="1" applyAlignment="1" applyProtection="1">
      <alignment horizontal="center" vertical="center" wrapText="1"/>
    </xf>
    <xf numFmtId="167" fontId="18" fillId="0" borderId="2" xfId="0" quotePrefix="1" applyNumberFormat="1" applyFont="1" applyFill="1" applyBorder="1" applyAlignment="1" applyProtection="1">
      <alignment horizontal="center" vertical="center" wrapText="1"/>
    </xf>
    <xf numFmtId="167" fontId="18" fillId="0" borderId="123" xfId="0" quotePrefix="1" applyNumberFormat="1" applyFont="1" applyFill="1" applyBorder="1" applyAlignment="1" applyProtection="1">
      <alignment horizontal="center" vertical="center" wrapText="1"/>
    </xf>
    <xf numFmtId="167" fontId="18" fillId="0" borderId="55" xfId="0" quotePrefix="1" applyNumberFormat="1" applyFont="1" applyFill="1" applyBorder="1" applyAlignment="1" applyProtection="1">
      <alignment horizontal="center" vertical="center" wrapText="1"/>
    </xf>
    <xf numFmtId="167" fontId="18" fillId="0" borderId="6" xfId="0" quotePrefix="1" applyNumberFormat="1" applyFont="1" applyFill="1" applyBorder="1" applyAlignment="1" applyProtection="1">
      <alignment horizontal="center" vertical="center" wrapText="1"/>
    </xf>
    <xf numFmtId="167" fontId="18" fillId="0" borderId="123" xfId="0" applyNumberFormat="1" applyFont="1" applyFill="1" applyBorder="1" applyAlignment="1" applyProtection="1">
      <alignment horizontal="center" vertical="center" wrapText="1"/>
    </xf>
    <xf numFmtId="167" fontId="18" fillId="0" borderId="55" xfId="0" applyNumberFormat="1" applyFont="1" applyFill="1" applyBorder="1" applyAlignment="1" applyProtection="1">
      <alignment horizontal="center" vertical="center" wrapText="1"/>
    </xf>
    <xf numFmtId="167" fontId="18" fillId="0" borderId="6" xfId="0" applyNumberFormat="1" applyFont="1" applyFill="1" applyBorder="1" applyAlignment="1" applyProtection="1">
      <alignment horizontal="center" vertical="center" wrapText="1"/>
    </xf>
    <xf numFmtId="2" fontId="18" fillId="0" borderId="125" xfId="0" applyNumberFormat="1" applyFont="1" applyFill="1" applyBorder="1" applyAlignment="1" applyProtection="1">
      <alignment horizontal="center" vertical="center" wrapText="1"/>
    </xf>
    <xf numFmtId="2" fontId="18" fillId="0" borderId="102" xfId="0" applyNumberFormat="1" applyFont="1" applyFill="1" applyBorder="1" applyAlignment="1" applyProtection="1">
      <alignment horizontal="center" vertical="center" wrapText="1"/>
    </xf>
    <xf numFmtId="2" fontId="18" fillId="0" borderId="103" xfId="0" applyNumberFormat="1" applyFont="1" applyFill="1" applyBorder="1" applyAlignment="1" applyProtection="1">
      <alignment horizontal="center" vertical="center" wrapText="1"/>
    </xf>
    <xf numFmtId="0" fontId="68" fillId="42" borderId="125" xfId="0" applyNumberFormat="1" applyFont="1" applyFill="1" applyBorder="1" applyAlignment="1" applyProtection="1">
      <alignment horizontal="center" vertical="center" wrapText="1"/>
    </xf>
    <xf numFmtId="0" fontId="68" fillId="42" borderId="126" xfId="0" applyNumberFormat="1" applyFont="1" applyFill="1" applyBorder="1" applyAlignment="1" applyProtection="1">
      <alignment horizontal="center" vertical="center" wrapText="1"/>
    </xf>
    <xf numFmtId="0" fontId="68" fillId="42" borderId="10" xfId="0" applyNumberFormat="1" applyFont="1" applyFill="1" applyBorder="1" applyAlignment="1" applyProtection="1">
      <alignment horizontal="center" vertical="center" wrapText="1"/>
    </xf>
    <xf numFmtId="0" fontId="68" fillId="42" borderId="57" xfId="0" applyNumberFormat="1" applyFont="1" applyFill="1" applyBorder="1" applyAlignment="1" applyProtection="1">
      <alignment horizontal="center" vertical="center" wrapText="1"/>
    </xf>
    <xf numFmtId="0" fontId="68" fillId="42" borderId="75" xfId="0" applyNumberFormat="1" applyFont="1" applyFill="1" applyBorder="1" applyAlignment="1" applyProtection="1">
      <alignment horizontal="center" vertical="center" wrapText="1"/>
    </xf>
    <xf numFmtId="0" fontId="68" fillId="42" borderId="2" xfId="0" applyNumberFormat="1" applyFont="1" applyFill="1" applyBorder="1" applyAlignment="1" applyProtection="1">
      <alignment horizontal="center" vertical="center" wrapText="1"/>
    </xf>
    <xf numFmtId="0" fontId="68" fillId="42" borderId="107" xfId="0" applyNumberFormat="1" applyFont="1" applyFill="1" applyBorder="1" applyAlignment="1" applyProtection="1">
      <alignment horizontal="right" vertical="center" wrapText="1"/>
    </xf>
    <xf numFmtId="0" fontId="68" fillId="42" borderId="108" xfId="0" applyNumberFormat="1" applyFont="1" applyFill="1" applyBorder="1" applyAlignment="1" applyProtection="1">
      <alignment horizontal="right" vertical="center" wrapText="1"/>
    </xf>
    <xf numFmtId="0" fontId="68" fillId="42" borderId="106" xfId="0" applyNumberFormat="1" applyFont="1" applyFill="1" applyBorder="1" applyAlignment="1" applyProtection="1">
      <alignment horizontal="right" vertical="center" wrapText="1"/>
    </xf>
    <xf numFmtId="167" fontId="18" fillId="42" borderId="118" xfId="0" applyNumberFormat="1" applyFont="1" applyFill="1" applyBorder="1" applyAlignment="1" applyProtection="1">
      <alignment horizontal="center" vertical="center" wrapText="1"/>
    </xf>
    <xf numFmtId="167" fontId="18" fillId="42" borderId="108" xfId="0" applyNumberFormat="1" applyFont="1" applyFill="1" applyBorder="1" applyAlignment="1" applyProtection="1">
      <alignment horizontal="center" vertical="center" wrapText="1"/>
    </xf>
    <xf numFmtId="167" fontId="18" fillId="42" borderId="109" xfId="0" applyNumberFormat="1" applyFont="1" applyFill="1" applyBorder="1" applyAlignment="1" applyProtection="1">
      <alignment horizontal="center" vertical="center" wrapText="1"/>
    </xf>
    <xf numFmtId="0" fontId="94" fillId="35" borderId="40" xfId="0" applyNumberFormat="1" applyFont="1" applyFill="1" applyBorder="1" applyAlignment="1" applyProtection="1">
      <alignment horizontal="left" vertical="center"/>
    </xf>
    <xf numFmtId="0" fontId="94" fillId="35" borderId="51" xfId="0" applyNumberFormat="1" applyFont="1" applyFill="1" applyBorder="1" applyAlignment="1" applyProtection="1">
      <alignment horizontal="left" vertical="center"/>
    </xf>
    <xf numFmtId="0" fontId="18" fillId="42" borderId="75" xfId="0" applyNumberFormat="1" applyFont="1" applyFill="1" applyBorder="1" applyAlignment="1" applyProtection="1">
      <alignment horizontal="center" vertical="center" wrapText="1"/>
    </xf>
    <xf numFmtId="0" fontId="18" fillId="42" borderId="3" xfId="0" applyNumberFormat="1" applyFont="1" applyFill="1" applyBorder="1" applyAlignment="1" applyProtection="1">
      <alignment horizontal="center" vertical="center" wrapText="1"/>
    </xf>
    <xf numFmtId="0" fontId="18" fillId="42" borderId="76" xfId="0" applyNumberFormat="1" applyFont="1" applyFill="1" applyBorder="1" applyAlignment="1" applyProtection="1">
      <alignment horizontal="center" vertical="center" wrapText="1"/>
    </xf>
    <xf numFmtId="2" fontId="18" fillId="42" borderId="125" xfId="0" applyNumberFormat="1" applyFont="1" applyFill="1" applyBorder="1" applyAlignment="1" applyProtection="1">
      <alignment horizontal="center" vertical="center" wrapText="1"/>
    </xf>
    <xf numFmtId="2" fontId="18" fillId="42" borderId="102" xfId="0" applyNumberFormat="1" applyFont="1" applyFill="1" applyBorder="1" applyAlignment="1" applyProtection="1">
      <alignment horizontal="center" vertical="center" wrapText="1"/>
    </xf>
    <xf numFmtId="2" fontId="18" fillId="42" borderId="103"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left" vertical="center"/>
    </xf>
    <xf numFmtId="0" fontId="18" fillId="0" borderId="119" xfId="0" applyNumberFormat="1" applyFont="1" applyFill="1" applyBorder="1" applyAlignment="1" applyProtection="1">
      <alignment horizontal="center" vertical="center" wrapText="1"/>
    </xf>
    <xf numFmtId="0" fontId="18" fillId="0" borderId="103" xfId="0" applyNumberFormat="1" applyFont="1" applyFill="1" applyBorder="1" applyAlignment="1" applyProtection="1">
      <alignment horizontal="center" vertical="center" wrapText="1"/>
    </xf>
    <xf numFmtId="0" fontId="18" fillId="0" borderId="58"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18" fillId="0" borderId="77" xfId="0" applyNumberFormat="1" applyFont="1" applyFill="1" applyBorder="1" applyAlignment="1" applyProtection="1">
      <alignment horizontal="center" vertical="center" wrapText="1"/>
    </xf>
    <xf numFmtId="2" fontId="18" fillId="0" borderId="69" xfId="0" applyNumberFormat="1" applyFont="1" applyFill="1" applyBorder="1" applyAlignment="1" applyProtection="1">
      <alignment horizontal="center" vertical="center" wrapText="1"/>
    </xf>
    <xf numFmtId="2" fontId="18" fillId="0" borderId="111" xfId="0" applyNumberFormat="1" applyFont="1" applyFill="1" applyBorder="1" applyAlignment="1" applyProtection="1">
      <alignment horizontal="center" vertical="center" wrapText="1"/>
    </xf>
    <xf numFmtId="2" fontId="18" fillId="0" borderId="54" xfId="0" applyNumberFormat="1" applyFont="1" applyFill="1" applyBorder="1" applyAlignment="1" applyProtection="1">
      <alignment horizontal="center" vertical="center" wrapText="1"/>
    </xf>
    <xf numFmtId="167" fontId="18" fillId="0" borderId="107" xfId="0" applyNumberFormat="1" applyFont="1" applyFill="1" applyBorder="1" applyAlignment="1" applyProtection="1">
      <alignment horizontal="right" vertical="center" wrapText="1"/>
    </xf>
    <xf numFmtId="167" fontId="18" fillId="0" borderId="109" xfId="0" applyNumberFormat="1" applyFont="1" applyFill="1" applyBorder="1" applyAlignment="1" applyProtection="1">
      <alignment horizontal="right" vertical="center" wrapText="1"/>
    </xf>
    <xf numFmtId="0" fontId="68" fillId="0" borderId="0" xfId="0" applyNumberFormat="1" applyFont="1" applyFill="1" applyBorder="1" applyAlignment="1" applyProtection="1">
      <alignment horizontal="center" vertical="center" wrapText="1"/>
    </xf>
    <xf numFmtId="0" fontId="68" fillId="0" borderId="11" xfId="0" applyNumberFormat="1" applyFont="1" applyFill="1" applyBorder="1" applyAlignment="1" applyProtection="1">
      <alignment horizontal="center" vertical="center" wrapText="1"/>
    </xf>
    <xf numFmtId="0" fontId="68" fillId="41" borderId="69" xfId="0" applyNumberFormat="1" applyFont="1" applyFill="1" applyBorder="1" applyAlignment="1" applyProtection="1">
      <alignment horizontal="center" vertical="center" wrapText="1"/>
    </xf>
    <xf numFmtId="0" fontId="68" fillId="41" borderId="39" xfId="0" applyNumberFormat="1" applyFont="1" applyFill="1" applyBorder="1" applyAlignment="1" applyProtection="1">
      <alignment horizontal="center" vertical="center" wrapText="1"/>
    </xf>
    <xf numFmtId="0" fontId="68" fillId="41" borderId="37" xfId="0" applyNumberFormat="1" applyFont="1" applyFill="1" applyBorder="1" applyAlignment="1" applyProtection="1">
      <alignment horizontal="right" vertical="center" wrapText="1"/>
    </xf>
    <xf numFmtId="0" fontId="68" fillId="41" borderId="23" xfId="0" applyNumberFormat="1" applyFont="1" applyFill="1" applyBorder="1" applyAlignment="1" applyProtection="1">
      <alignment horizontal="center" vertical="center" wrapText="1"/>
    </xf>
    <xf numFmtId="167" fontId="64" fillId="0" borderId="0" xfId="0" applyNumberFormat="1" applyFont="1" applyFill="1" applyBorder="1" applyAlignment="1" applyProtection="1">
      <alignment horizontal="left" vertical="center" wrapText="1"/>
    </xf>
    <xf numFmtId="167" fontId="64" fillId="0" borderId="11" xfId="0" applyNumberFormat="1" applyFont="1" applyFill="1" applyBorder="1" applyAlignment="1" applyProtection="1">
      <alignment horizontal="left" vertical="center" wrapText="1"/>
    </xf>
    <xf numFmtId="0" fontId="18" fillId="0" borderId="106" xfId="0" applyNumberFormat="1" applyFont="1" applyFill="1" applyBorder="1" applyAlignment="1" applyProtection="1">
      <alignment horizontal="center" vertical="center" wrapText="1"/>
    </xf>
    <xf numFmtId="167" fontId="18" fillId="0" borderId="126" xfId="0" applyNumberFormat="1" applyFont="1" applyFill="1" applyBorder="1" applyAlignment="1" applyProtection="1">
      <alignment horizontal="center" vertical="center" wrapText="1"/>
    </xf>
    <xf numFmtId="0" fontId="18" fillId="0" borderId="69" xfId="0" applyNumberFormat="1" applyFont="1" applyFill="1" applyBorder="1" applyAlignment="1" applyProtection="1">
      <alignment horizontal="center" vertical="center" wrapText="1"/>
    </xf>
    <xf numFmtId="0" fontId="18" fillId="0" borderId="39" xfId="0" applyNumberFormat="1" applyFont="1" applyFill="1" applyBorder="1" applyAlignment="1" applyProtection="1">
      <alignment horizontal="center" vertical="center" wrapText="1"/>
    </xf>
    <xf numFmtId="167" fontId="18" fillId="0" borderId="37" xfId="0" applyNumberFormat="1" applyFont="1" applyFill="1" applyBorder="1" applyAlignment="1" applyProtection="1">
      <alignment horizontal="center" vertical="center" wrapText="1"/>
    </xf>
    <xf numFmtId="167" fontId="18" fillId="0" borderId="39" xfId="0" applyNumberFormat="1" applyFont="1" applyFill="1" applyBorder="1" applyAlignment="1" applyProtection="1">
      <alignment horizontal="center" vertical="center" wrapText="1"/>
    </xf>
    <xf numFmtId="167" fontId="18" fillId="0" borderId="111" xfId="0" applyNumberFormat="1" applyFont="1" applyFill="1" applyBorder="1" applyAlignment="1" applyProtection="1">
      <alignment horizontal="center" vertical="center" wrapText="1"/>
    </xf>
    <xf numFmtId="167" fontId="18" fillId="0" borderId="54"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8" fillId="41" borderId="69" xfId="0" applyNumberFormat="1" applyFont="1" applyFill="1" applyBorder="1" applyAlignment="1" applyProtection="1">
      <alignment horizontal="center" vertical="center" wrapText="1"/>
    </xf>
    <xf numFmtId="0" fontId="18" fillId="41" borderId="111" xfId="0" applyNumberFormat="1" applyFont="1" applyFill="1" applyBorder="1" applyAlignment="1" applyProtection="1">
      <alignment horizontal="center" vertical="center" wrapText="1"/>
    </xf>
    <xf numFmtId="0" fontId="18" fillId="0" borderId="127"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0" fontId="18" fillId="0" borderId="28" xfId="0" applyNumberFormat="1" applyFont="1" applyFill="1" applyBorder="1" applyAlignment="1" applyProtection="1">
      <alignment horizontal="center" vertical="center" wrapText="1"/>
    </xf>
    <xf numFmtId="2" fontId="18" fillId="0" borderId="123" xfId="0" applyNumberFormat="1" applyFont="1" applyFill="1" applyBorder="1" applyAlignment="1" applyProtection="1">
      <alignment horizontal="center" vertical="center" wrapText="1"/>
    </xf>
    <xf numFmtId="2" fontId="18" fillId="0" borderId="55" xfId="0" applyNumberFormat="1" applyFont="1" applyFill="1" applyBorder="1" applyAlignment="1" applyProtection="1">
      <alignment horizontal="center" vertical="center" wrapText="1"/>
    </xf>
    <xf numFmtId="2" fontId="18" fillId="0" borderId="6" xfId="0" applyNumberFormat="1" applyFont="1" applyFill="1" applyBorder="1" applyAlignment="1" applyProtection="1">
      <alignment horizontal="center" vertical="center" wrapText="1"/>
    </xf>
    <xf numFmtId="0" fontId="18" fillId="0" borderId="123" xfId="0" applyNumberFormat="1" applyFont="1" applyFill="1" applyBorder="1" applyAlignment="1" applyProtection="1">
      <alignment horizontal="center" vertical="center" wrapText="1"/>
    </xf>
    <xf numFmtId="0" fontId="18" fillId="0" borderId="55"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18" fillId="0" borderId="102" xfId="0" applyNumberFormat="1" applyFont="1" applyFill="1" applyBorder="1" applyAlignment="1" applyProtection="1">
      <alignment horizontal="center" vertical="center" wrapText="1"/>
    </xf>
    <xf numFmtId="2" fontId="68" fillId="0" borderId="118" xfId="0" applyNumberFormat="1" applyFont="1" applyFill="1" applyBorder="1" applyAlignment="1" applyProtection="1">
      <alignment horizontal="center" vertical="center" wrapText="1"/>
    </xf>
    <xf numFmtId="2" fontId="68" fillId="0" borderId="108" xfId="0" applyNumberFormat="1" applyFont="1" applyFill="1" applyBorder="1" applyAlignment="1" applyProtection="1">
      <alignment horizontal="center" vertical="center" wrapText="1"/>
    </xf>
    <xf numFmtId="2" fontId="68" fillId="0" borderId="109" xfId="0" applyNumberFormat="1" applyFont="1" applyFill="1" applyBorder="1" applyAlignment="1" applyProtection="1">
      <alignment horizontal="center" vertical="center" wrapText="1"/>
    </xf>
    <xf numFmtId="0" fontId="68" fillId="41" borderId="77" xfId="0" applyNumberFormat="1" applyFont="1" applyFill="1" applyBorder="1" applyAlignment="1" applyProtection="1">
      <alignment horizontal="center" vertical="center" wrapText="1"/>
    </xf>
    <xf numFmtId="0" fontId="68" fillId="41" borderId="2" xfId="0" applyNumberFormat="1" applyFont="1" applyFill="1" applyBorder="1" applyAlignment="1" applyProtection="1">
      <alignment horizontal="center" vertical="center" wrapText="1"/>
    </xf>
    <xf numFmtId="0" fontId="68" fillId="41" borderId="3" xfId="0" applyNumberFormat="1" applyFont="1" applyFill="1" applyBorder="1" applyAlignment="1" applyProtection="1">
      <alignment horizontal="center" vertical="center" wrapText="1"/>
    </xf>
    <xf numFmtId="0" fontId="68" fillId="41" borderId="76" xfId="0" applyNumberFormat="1" applyFont="1" applyFill="1" applyBorder="1" applyAlignment="1" applyProtection="1">
      <alignment horizontal="center" vertical="center" wrapText="1"/>
    </xf>
    <xf numFmtId="0" fontId="18" fillId="0" borderId="125" xfId="0" applyNumberFormat="1" applyFont="1" applyFill="1" applyBorder="1" applyAlignment="1" applyProtection="1">
      <alignment horizontal="center" vertical="center" wrapText="1"/>
    </xf>
    <xf numFmtId="0" fontId="18" fillId="0" borderId="126"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57"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68" fillId="41" borderId="75" xfId="0" applyNumberFormat="1" applyFont="1" applyFill="1" applyBorder="1" applyAlignment="1" applyProtection="1">
      <alignment horizontal="center" vertical="center" wrapText="1"/>
    </xf>
    <xf numFmtId="167" fontId="68" fillId="41" borderId="110" xfId="0" quotePrefix="1" applyNumberFormat="1" applyFont="1" applyFill="1" applyBorder="1" applyAlignment="1" applyProtection="1">
      <alignment horizontal="right" vertical="center" wrapText="1"/>
    </xf>
    <xf numFmtId="167" fontId="68" fillId="41" borderId="112" xfId="0" quotePrefix="1" applyNumberFormat="1" applyFont="1" applyFill="1" applyBorder="1" applyAlignment="1" applyProtection="1">
      <alignment horizontal="right" vertical="center" wrapText="1"/>
    </xf>
    <xf numFmtId="0" fontId="68" fillId="35" borderId="117" xfId="0" applyNumberFormat="1" applyFont="1" applyFill="1" applyBorder="1" applyAlignment="1" applyProtection="1">
      <alignment horizontal="left" vertical="center" wrapText="1"/>
    </xf>
    <xf numFmtId="0" fontId="68" fillId="35" borderId="113" xfId="0" applyNumberFormat="1" applyFont="1" applyFill="1" applyBorder="1" applyAlignment="1" applyProtection="1">
      <alignment horizontal="left" vertical="center" wrapText="1"/>
    </xf>
    <xf numFmtId="0" fontId="68" fillId="35" borderId="114" xfId="0" applyNumberFormat="1" applyFont="1" applyFill="1" applyBorder="1" applyAlignment="1" applyProtection="1">
      <alignment horizontal="left" vertical="center" wrapText="1"/>
    </xf>
    <xf numFmtId="0" fontId="92" fillId="0" borderId="0"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2" fontId="18" fillId="0" borderId="9" xfId="0" applyNumberFormat="1" applyFont="1" applyFill="1" applyBorder="1" applyAlignment="1" applyProtection="1">
      <alignment horizontal="center" vertical="center" wrapText="1"/>
    </xf>
    <xf numFmtId="2" fontId="18" fillId="0" borderId="30"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xf>
    <xf numFmtId="0" fontId="18" fillId="0" borderId="57" xfId="0" applyNumberFormat="1" applyFont="1" applyFill="1" applyBorder="1" applyAlignment="1" applyProtection="1">
      <alignment horizontal="center" vertical="center"/>
    </xf>
    <xf numFmtId="0" fontId="68" fillId="41" borderId="9" xfId="0" applyNumberFormat="1" applyFont="1" applyFill="1" applyBorder="1" applyAlignment="1" applyProtection="1">
      <alignment horizontal="center" vertical="center"/>
    </xf>
    <xf numFmtId="0" fontId="68" fillId="41" borderId="30" xfId="0" applyNumberFormat="1" applyFont="1" applyFill="1" applyBorder="1" applyAlignment="1" applyProtection="1">
      <alignment horizontal="center" vertical="center"/>
    </xf>
    <xf numFmtId="0" fontId="18" fillId="0" borderId="9" xfId="0" applyNumberFormat="1" applyFont="1" applyFill="1" applyBorder="1" applyAlignment="1" applyProtection="1">
      <alignment horizontal="justify" vertical="center" wrapText="1"/>
    </xf>
    <xf numFmtId="0" fontId="18" fillId="0" borderId="30" xfId="0" applyNumberFormat="1" applyFont="1" applyFill="1" applyBorder="1" applyAlignment="1" applyProtection="1">
      <alignment horizontal="justify" vertical="center" wrapText="1"/>
    </xf>
    <xf numFmtId="167" fontId="18" fillId="0" borderId="4" xfId="0" quotePrefix="1"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xf>
    <xf numFmtId="0" fontId="68" fillId="0" borderId="31" xfId="0" applyNumberFormat="1" applyFont="1" applyFill="1" applyBorder="1" applyAlignment="1" applyProtection="1">
      <alignment horizontal="center" vertical="center"/>
    </xf>
    <xf numFmtId="0" fontId="68" fillId="0" borderId="26" xfId="0" applyNumberFormat="1" applyFont="1" applyFill="1" applyBorder="1" applyAlignment="1" applyProtection="1">
      <alignment horizontal="center" vertical="center"/>
    </xf>
    <xf numFmtId="0" fontId="68" fillId="0" borderId="10" xfId="0" applyNumberFormat="1" applyFont="1" applyFill="1" applyBorder="1" applyAlignment="1" applyProtection="1">
      <alignment horizontal="center" vertical="center"/>
    </xf>
    <xf numFmtId="0" fontId="68" fillId="0" borderId="0" xfId="0" applyNumberFormat="1" applyFont="1" applyFill="1" applyBorder="1" applyAlignment="1" applyProtection="1">
      <alignment horizontal="center" vertical="center"/>
    </xf>
    <xf numFmtId="2" fontId="68" fillId="0" borderId="0" xfId="0" applyNumberFormat="1" applyFont="1" applyFill="1" applyBorder="1" applyAlignment="1" applyProtection="1">
      <alignment horizontal="left" vertical="center" wrapText="1"/>
    </xf>
    <xf numFmtId="0" fontId="68" fillId="0" borderId="0" xfId="0" applyNumberFormat="1" applyFont="1" applyFill="1" applyBorder="1" applyAlignment="1" applyProtection="1">
      <alignment horizontal="justify" vertical="center" wrapText="1"/>
    </xf>
    <xf numFmtId="0" fontId="68" fillId="0" borderId="50" xfId="0" applyNumberFormat="1" applyFont="1" applyFill="1" applyBorder="1" applyAlignment="1" applyProtection="1">
      <alignment horizontal="center" vertical="center"/>
    </xf>
    <xf numFmtId="0" fontId="68" fillId="0" borderId="40" xfId="0" applyNumberFormat="1" applyFont="1" applyFill="1" applyBorder="1" applyAlignment="1" applyProtection="1">
      <alignment horizontal="center" vertical="center"/>
    </xf>
    <xf numFmtId="0" fontId="68" fillId="0" borderId="51" xfId="0" applyNumberFormat="1" applyFont="1" applyFill="1" applyBorder="1" applyAlignment="1" applyProtection="1">
      <alignment horizontal="center" vertical="center"/>
    </xf>
    <xf numFmtId="167" fontId="18" fillId="0" borderId="77" xfId="0" quotePrefix="1" applyNumberFormat="1" applyFont="1" applyFill="1" applyBorder="1" applyAlignment="1" applyProtection="1">
      <alignment horizontal="center" vertical="center" wrapText="1"/>
    </xf>
    <xf numFmtId="167" fontId="18" fillId="0" borderId="3" xfId="0" quotePrefix="1" applyNumberFormat="1" applyFont="1" applyFill="1" applyBorder="1" applyAlignment="1" applyProtection="1">
      <alignment horizontal="center" vertical="center" wrapText="1"/>
    </xf>
    <xf numFmtId="167" fontId="18" fillId="0" borderId="76" xfId="0" quotePrefix="1" applyNumberFormat="1" applyFont="1" applyFill="1" applyBorder="1" applyAlignment="1" applyProtection="1">
      <alignment horizontal="center" vertical="center" wrapText="1"/>
    </xf>
    <xf numFmtId="0" fontId="18" fillId="0" borderId="106" xfId="0" applyNumberFormat="1" applyFont="1" applyFill="1" applyBorder="1" applyAlignment="1" applyProtection="1">
      <alignment horizontal="center" vertical="center"/>
    </xf>
    <xf numFmtId="0" fontId="68" fillId="41" borderId="69" xfId="0" applyNumberFormat="1" applyFont="1" applyFill="1" applyBorder="1" applyAlignment="1" applyProtection="1">
      <alignment horizontal="right" vertical="center"/>
    </xf>
    <xf numFmtId="0" fontId="68" fillId="41" borderId="39" xfId="0" applyNumberFormat="1" applyFont="1" applyFill="1" applyBorder="1" applyAlignment="1" applyProtection="1">
      <alignment horizontal="right" vertical="center"/>
    </xf>
    <xf numFmtId="0" fontId="18" fillId="41" borderId="37" xfId="0" applyNumberFormat="1" applyFont="1" applyFill="1" applyBorder="1" applyAlignment="1" applyProtection="1">
      <alignment horizontal="center" vertical="center" wrapText="1"/>
    </xf>
    <xf numFmtId="0" fontId="18" fillId="41" borderId="53" xfId="0" applyNumberFormat="1" applyFont="1" applyFill="1" applyBorder="1" applyAlignment="1" applyProtection="1">
      <alignment horizontal="center" vertical="center" wrapText="1"/>
    </xf>
    <xf numFmtId="0" fontId="18" fillId="41" borderId="54"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center" vertical="center" wrapText="1"/>
    </xf>
    <xf numFmtId="0" fontId="18" fillId="0" borderId="30" xfId="0" applyNumberFormat="1" applyFont="1" applyFill="1" applyBorder="1" applyAlignment="1" applyProtection="1">
      <alignment horizontal="center" vertical="center" wrapText="1"/>
    </xf>
    <xf numFmtId="2" fontId="68" fillId="0" borderId="27" xfId="0" applyNumberFormat="1" applyFont="1" applyFill="1" applyBorder="1" applyAlignment="1" applyProtection="1">
      <alignment horizontal="center" vertical="center" wrapText="1"/>
    </xf>
    <xf numFmtId="2" fontId="68" fillId="0" borderId="102" xfId="0" applyNumberFormat="1" applyFont="1" applyFill="1" applyBorder="1" applyAlignment="1" applyProtection="1">
      <alignment horizontal="center" vertical="center" wrapText="1"/>
    </xf>
    <xf numFmtId="2" fontId="68" fillId="0" borderId="103" xfId="0" applyNumberFormat="1" applyFont="1" applyFill="1" applyBorder="1" applyAlignment="1" applyProtection="1">
      <alignment horizontal="center" vertical="center" wrapText="1"/>
    </xf>
    <xf numFmtId="2" fontId="18" fillId="0" borderId="10" xfId="0" applyNumberFormat="1" applyFont="1" applyFill="1" applyBorder="1" applyAlignment="1" applyProtection="1">
      <alignment horizontal="center" vertical="center" wrapText="1"/>
    </xf>
    <xf numFmtId="2" fontId="18" fillId="0" borderId="0" xfId="0" applyNumberFormat="1" applyFont="1" applyFill="1" applyBorder="1" applyAlignment="1" applyProtection="1">
      <alignment horizontal="center" vertical="center" wrapText="1"/>
    </xf>
    <xf numFmtId="2" fontId="18" fillId="0" borderId="11" xfId="0" applyNumberFormat="1" applyFont="1" applyFill="1" applyBorder="1" applyAlignment="1" applyProtection="1">
      <alignment horizontal="center" vertical="center" wrapText="1"/>
    </xf>
    <xf numFmtId="0" fontId="18" fillId="0" borderId="40" xfId="0" applyFont="1" applyBorder="1" applyAlignment="1">
      <alignment horizontal="left" vertical="center" wrapText="1"/>
    </xf>
    <xf numFmtId="0" fontId="18" fillId="0" borderId="51" xfId="0" applyFont="1" applyBorder="1" applyAlignment="1">
      <alignment horizontal="left" vertical="center" wrapText="1"/>
    </xf>
    <xf numFmtId="0" fontId="83" fillId="36" borderId="50" xfId="0" applyFont="1" applyFill="1" applyBorder="1" applyAlignment="1">
      <alignment horizontal="center" vertical="center"/>
    </xf>
    <xf numFmtId="0" fontId="83" fillId="36" borderId="51" xfId="0" applyFont="1" applyFill="1" applyBorder="1" applyAlignment="1">
      <alignment horizontal="center" vertical="center"/>
    </xf>
    <xf numFmtId="0" fontId="81" fillId="37" borderId="50" xfId="0" applyFont="1" applyFill="1" applyBorder="1" applyAlignment="1">
      <alignment horizontal="center" vertical="center" wrapText="1"/>
    </xf>
    <xf numFmtId="0" fontId="81" fillId="37" borderId="40" xfId="0" applyFont="1" applyFill="1" applyBorder="1" applyAlignment="1">
      <alignment horizontal="center" vertical="center" wrapText="1"/>
    </xf>
    <xf numFmtId="0" fontId="81" fillId="37" borderId="51" xfId="0" applyFont="1" applyFill="1" applyBorder="1" applyAlignment="1">
      <alignment horizontal="center" vertical="center" wrapText="1"/>
    </xf>
    <xf numFmtId="0" fontId="82" fillId="38" borderId="50" xfId="0" applyFont="1" applyFill="1" applyBorder="1" applyAlignment="1">
      <alignment horizontal="center" vertical="center"/>
    </xf>
    <xf numFmtId="0" fontId="82" fillId="38" borderId="40" xfId="0" applyFont="1" applyFill="1" applyBorder="1" applyAlignment="1">
      <alignment horizontal="center" vertical="center"/>
    </xf>
    <xf numFmtId="0" fontId="82" fillId="38" borderId="51" xfId="0" applyFont="1" applyFill="1" applyBorder="1" applyAlignment="1">
      <alignment horizontal="center" vertical="center"/>
    </xf>
    <xf numFmtId="0" fontId="82" fillId="38" borderId="115" xfId="0" applyFont="1" applyFill="1" applyBorder="1" applyAlignment="1">
      <alignment horizontal="center" vertical="center"/>
    </xf>
    <xf numFmtId="0" fontId="82" fillId="38" borderId="113" xfId="0" applyFont="1" applyFill="1" applyBorder="1" applyAlignment="1">
      <alignment horizontal="center" vertical="center"/>
    </xf>
    <xf numFmtId="0" fontId="82" fillId="38" borderId="114" xfId="0" applyFont="1" applyFill="1" applyBorder="1" applyAlignment="1">
      <alignment horizontal="center" vertical="center"/>
    </xf>
    <xf numFmtId="0" fontId="18" fillId="0" borderId="34" xfId="0" applyFont="1" applyBorder="1" applyAlignment="1">
      <alignment horizontal="left" vertical="top" wrapText="1"/>
    </xf>
    <xf numFmtId="0" fontId="18" fillId="0" borderId="36" xfId="0" applyFont="1" applyBorder="1" applyAlignment="1">
      <alignment horizontal="left" vertical="top" wrapText="1"/>
    </xf>
    <xf numFmtId="0" fontId="80" fillId="43" borderId="50" xfId="0" applyFont="1" applyFill="1" applyBorder="1" applyAlignment="1">
      <alignment horizontal="center"/>
    </xf>
    <xf numFmtId="0" fontId="80" fillId="43" borderId="40" xfId="0" applyFont="1" applyFill="1" applyBorder="1" applyAlignment="1">
      <alignment horizontal="center"/>
    </xf>
    <xf numFmtId="0" fontId="80" fillId="43" borderId="51" xfId="0" applyFont="1" applyFill="1" applyBorder="1" applyAlignment="1">
      <alignment horizontal="center"/>
    </xf>
    <xf numFmtId="0" fontId="24" fillId="33" borderId="24" xfId="0" applyFont="1" applyFill="1" applyBorder="1" applyAlignment="1">
      <alignment horizontal="center" wrapText="1"/>
    </xf>
    <xf numFmtId="0" fontId="16" fillId="33" borderId="40" xfId="0" applyFont="1" applyFill="1" applyBorder="1"/>
    <xf numFmtId="0" fontId="16" fillId="33" borderId="51" xfId="0" applyFont="1" applyFill="1" applyBorder="1"/>
    <xf numFmtId="0" fontId="24" fillId="33" borderId="50" xfId="0" applyFont="1" applyFill="1" applyBorder="1" applyAlignment="1">
      <alignment horizontal="center" wrapText="1"/>
    </xf>
    <xf numFmtId="0" fontId="24" fillId="33" borderId="40" xfId="0" applyFont="1" applyFill="1" applyBorder="1" applyAlignment="1">
      <alignment horizontal="center" wrapText="1"/>
    </xf>
    <xf numFmtId="0" fontId="24" fillId="33" borderId="51" xfId="0" applyFont="1" applyFill="1" applyBorder="1" applyAlignment="1">
      <alignment horizont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1" fillId="3" borderId="89" xfId="0" applyFont="1" applyFill="1" applyBorder="1" applyAlignment="1">
      <alignment vertical="center" wrapText="1"/>
    </xf>
    <xf numFmtId="0" fontId="21" fillId="3" borderId="90" xfId="0" applyFont="1" applyFill="1" applyBorder="1" applyAlignment="1">
      <alignment vertical="center" wrapText="1"/>
    </xf>
    <xf numFmtId="0" fontId="89" fillId="3" borderId="50" xfId="0" applyFont="1" applyFill="1" applyBorder="1" applyAlignment="1">
      <alignment vertical="center" wrapText="1"/>
    </xf>
    <xf numFmtId="0" fontId="89" fillId="3" borderId="51" xfId="0" applyFont="1" applyFill="1" applyBorder="1" applyAlignment="1">
      <alignment vertical="center" wrapText="1"/>
    </xf>
    <xf numFmtId="0" fontId="18" fillId="0" borderId="35" xfId="0" applyFont="1" applyBorder="1" applyAlignment="1">
      <alignment horizontal="left" vertical="top" wrapText="1"/>
    </xf>
    <xf numFmtId="0" fontId="18" fillId="0" borderId="51" xfId="0" applyFont="1" applyBorder="1" applyAlignment="1">
      <alignment horizontal="left" vertical="top" wrapText="1"/>
    </xf>
    <xf numFmtId="0" fontId="66" fillId="5" borderId="0" xfId="0" applyFont="1" applyFill="1" applyAlignment="1">
      <alignment horizontal="center"/>
    </xf>
    <xf numFmtId="0" fontId="66" fillId="5" borderId="0" xfId="0" applyFont="1" applyFill="1" applyAlignment="1">
      <alignment horizontal="left" vertical="center"/>
    </xf>
    <xf numFmtId="0" fontId="0" fillId="40" borderId="4" xfId="0" applyFont="1" applyFill="1" applyBorder="1" applyAlignment="1">
      <alignment horizontal="left" vertical="center"/>
    </xf>
    <xf numFmtId="0" fontId="0" fillId="40" borderId="4" xfId="0" applyFont="1" applyFill="1" applyBorder="1" applyAlignment="1">
      <alignment horizontal="left" vertical="center" wrapText="1"/>
    </xf>
    <xf numFmtId="175" fontId="0" fillId="40" borderId="4" xfId="0" applyNumberFormat="1" applyFont="1" applyFill="1" applyBorder="1" applyAlignment="1">
      <alignment horizontal="left" vertical="center"/>
    </xf>
  </cellXfs>
  <cellStyles count="66">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Cálculo 2" xfId="32" xr:uid="{00000000-0005-0000-0000-00001A000000}"/>
    <cellStyle name="Check Cell" xfId="33" xr:uid="{00000000-0005-0000-0000-00001B000000}"/>
    <cellStyle name="Entrada 2" xfId="34" xr:uid="{00000000-0005-0000-0000-00001C000000}"/>
    <cellStyle name="Excel Built-in Normal" xfId="4" xr:uid="{00000000-0005-0000-0000-00001D000000}"/>
    <cellStyle name="Explanatory Text" xfId="35" xr:uid="{00000000-0005-0000-0000-00001E000000}"/>
    <cellStyle name="Good" xfId="36" xr:uid="{00000000-0005-0000-0000-00001F000000}"/>
    <cellStyle name="Heading 1" xfId="37" xr:uid="{00000000-0005-0000-0000-000020000000}"/>
    <cellStyle name="Heading 2" xfId="38" xr:uid="{00000000-0005-0000-0000-000021000000}"/>
    <cellStyle name="Heading 3" xfId="39" xr:uid="{00000000-0005-0000-0000-000022000000}"/>
    <cellStyle name="Heading 4" xfId="40" xr:uid="{00000000-0005-0000-0000-000023000000}"/>
    <cellStyle name="Hiperlink" xfId="56" builtinId="8"/>
    <cellStyle name="Incorreto 2" xfId="41" xr:uid="{00000000-0005-0000-0000-000025000000}"/>
    <cellStyle name="Input" xfId="42" xr:uid="{00000000-0005-0000-0000-000026000000}"/>
    <cellStyle name="Linked Cell" xfId="43" xr:uid="{00000000-0005-0000-0000-000027000000}"/>
    <cellStyle name="Moeda 2 10" xfId="62" xr:uid="{C9EE5F05-1DA6-42BE-BFBA-CADCDF578DCE}"/>
    <cellStyle name="Moeda 2 2 14" xfId="60" xr:uid="{2D296684-1D1D-45CB-A57E-63291AB85542}"/>
    <cellStyle name="Moeda 4" xfId="59" xr:uid="{D29CD5DC-591E-4DB9-B644-AA910054D632}"/>
    <cellStyle name="Neutral" xfId="44" xr:uid="{00000000-0005-0000-0000-000028000000}"/>
    <cellStyle name="Normal" xfId="0" builtinId="0"/>
    <cellStyle name="Normal 2" xfId="3" xr:uid="{00000000-0005-0000-0000-00002A000000}"/>
    <cellStyle name="Normal 2 2" xfId="63" xr:uid="{93D48E1C-5810-4B35-A787-0600C60328D8}"/>
    <cellStyle name="Normal 3" xfId="64" xr:uid="{D42A7453-1C0B-46F1-9319-01DA34686156}"/>
    <cellStyle name="Normal 4" xfId="55" xr:uid="{00000000-0005-0000-0000-00002B000000}"/>
    <cellStyle name="Normal 5 2 2" xfId="57" xr:uid="{44BBE01A-14A4-4408-8A3C-963FCB085ECC}"/>
    <cellStyle name="Normal_Pesquisa no referencial 10 de maio de 2013" xfId="5" xr:uid="{00000000-0005-0000-0000-00002C000000}"/>
    <cellStyle name="Nota 2" xfId="45" xr:uid="{00000000-0005-0000-0000-00002D000000}"/>
    <cellStyle name="Note" xfId="46" xr:uid="{00000000-0005-0000-0000-00002E000000}"/>
    <cellStyle name="Output" xfId="47" xr:uid="{00000000-0005-0000-0000-00002F000000}"/>
    <cellStyle name="Porcentagem" xfId="2" builtinId="5"/>
    <cellStyle name="Porcentagem 2 2" xfId="65" xr:uid="{7719FAEB-1E3D-4BF9-B085-CAA175D7273B}"/>
    <cellStyle name="Porcentagem 3 2 2" xfId="58" xr:uid="{4979A883-1BE4-44ED-BCAD-FA596A6FAABD}"/>
    <cellStyle name="Saída 2" xfId="48" xr:uid="{00000000-0005-0000-0000-000031000000}"/>
    <cellStyle name="Texto de Aviso 2" xfId="49" xr:uid="{00000000-0005-0000-0000-000032000000}"/>
    <cellStyle name="Texto Explicativo 2" xfId="50" xr:uid="{00000000-0005-0000-0000-000033000000}"/>
    <cellStyle name="Title" xfId="51" xr:uid="{00000000-0005-0000-0000-000034000000}"/>
    <cellStyle name="Título 2" xfId="52" xr:uid="{00000000-0005-0000-0000-000035000000}"/>
    <cellStyle name="Total 2" xfId="53" xr:uid="{00000000-0005-0000-0000-000036000000}"/>
    <cellStyle name="Vírgula" xfId="1" builtinId="3"/>
    <cellStyle name="Vírgula 3 2 2" xfId="61" xr:uid="{508559D0-34AD-4578-921E-1989F029A0BD}"/>
    <cellStyle name="Warning Text" xfId="54" xr:uid="{00000000-0005-0000-0000-000038000000}"/>
  </cellStyles>
  <dxfs count="22">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923925</xdr:colOff>
      <xdr:row>0</xdr:row>
      <xdr:rowOff>57150</xdr:rowOff>
    </xdr:from>
    <xdr:to>
      <xdr:col>3</xdr:col>
      <xdr:colOff>742950</xdr:colOff>
      <xdr:row>5</xdr:row>
      <xdr:rowOff>140798</xdr:rowOff>
    </xdr:to>
    <xdr:pic>
      <xdr:nvPicPr>
        <xdr:cNvPr id="2" name="Imagem 1">
          <a:extLst>
            <a:ext uri="{FF2B5EF4-FFF2-40B4-BE49-F238E27FC236}">
              <a16:creationId xmlns:a16="http://schemas.microsoft.com/office/drawing/2014/main" id="{AFB17F9E-6C9B-4E83-9DD7-B41A9A474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 y="57150"/>
          <a:ext cx="5791200" cy="1188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323850</xdr:colOff>
      <xdr:row>7</xdr:row>
      <xdr:rowOff>95250</xdr:rowOff>
    </xdr:from>
    <xdr:to>
      <xdr:col>5</xdr:col>
      <xdr:colOff>313707</xdr:colOff>
      <xdr:row>7</xdr:row>
      <xdr:rowOff>1295400</xdr:rowOff>
    </xdr:to>
    <xdr:pic>
      <xdr:nvPicPr>
        <xdr:cNvPr id="2" name="Imagem 1">
          <a:extLst>
            <a:ext uri="{FF2B5EF4-FFF2-40B4-BE49-F238E27FC236}">
              <a16:creationId xmlns:a16="http://schemas.microsoft.com/office/drawing/2014/main" id="{433E847A-F03C-4595-9C9D-D954F1454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5075" y="180975"/>
          <a:ext cx="5847732" cy="1200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13</xdr:row>
      <xdr:rowOff>87630</xdr:rowOff>
    </xdr:from>
    <xdr:to>
      <xdr:col>9</xdr:col>
      <xdr:colOff>0</xdr:colOff>
      <xdr:row>13</xdr:row>
      <xdr:rowOff>87630</xdr:rowOff>
    </xdr:to>
    <xdr:cxnSp macro="">
      <xdr:nvCxnSpPr>
        <xdr:cNvPr id="2" name="Conector reto 2">
          <a:extLst>
            <a:ext uri="{FF2B5EF4-FFF2-40B4-BE49-F238E27FC236}">
              <a16:creationId xmlns:a16="http://schemas.microsoft.com/office/drawing/2014/main" id="{612E27C5-C699-4C06-82A4-629D34107A85}"/>
            </a:ext>
          </a:extLst>
        </xdr:cNvPr>
        <xdr:cNvCxnSpPr/>
      </xdr:nvCxnSpPr>
      <xdr:spPr>
        <a:xfrm>
          <a:off x="104775" y="4450080"/>
          <a:ext cx="74580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xdr:row>
      <xdr:rowOff>87630</xdr:rowOff>
    </xdr:from>
    <xdr:to>
      <xdr:col>9</xdr:col>
      <xdr:colOff>0</xdr:colOff>
      <xdr:row>24</xdr:row>
      <xdr:rowOff>87630</xdr:rowOff>
    </xdr:to>
    <xdr:cxnSp macro="">
      <xdr:nvCxnSpPr>
        <xdr:cNvPr id="3" name="Conector reto 2">
          <a:extLst>
            <a:ext uri="{FF2B5EF4-FFF2-40B4-BE49-F238E27FC236}">
              <a16:creationId xmlns:a16="http://schemas.microsoft.com/office/drawing/2014/main" id="{C5FD5284-0413-481D-9F5B-DBCC5951F1E1}"/>
            </a:ext>
          </a:extLst>
        </xdr:cNvPr>
        <xdr:cNvCxnSpPr/>
      </xdr:nvCxnSpPr>
      <xdr:spPr>
        <a:xfrm>
          <a:off x="104775" y="309753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32</xdr:row>
      <xdr:rowOff>87630</xdr:rowOff>
    </xdr:from>
    <xdr:to>
      <xdr:col>9</xdr:col>
      <xdr:colOff>0</xdr:colOff>
      <xdr:row>32</xdr:row>
      <xdr:rowOff>87630</xdr:rowOff>
    </xdr:to>
    <xdr:cxnSp macro="">
      <xdr:nvCxnSpPr>
        <xdr:cNvPr id="4" name="Conector reto 3">
          <a:extLst>
            <a:ext uri="{FF2B5EF4-FFF2-40B4-BE49-F238E27FC236}">
              <a16:creationId xmlns:a16="http://schemas.microsoft.com/office/drawing/2014/main" id="{8B9244CA-6F97-4153-89B1-8D871C0E95D2}"/>
            </a:ext>
          </a:extLst>
        </xdr:cNvPr>
        <xdr:cNvCxnSpPr/>
      </xdr:nvCxnSpPr>
      <xdr:spPr>
        <a:xfrm>
          <a:off x="104775" y="591693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40</xdr:row>
      <xdr:rowOff>87630</xdr:rowOff>
    </xdr:from>
    <xdr:to>
      <xdr:col>9</xdr:col>
      <xdr:colOff>0</xdr:colOff>
      <xdr:row>40</xdr:row>
      <xdr:rowOff>87630</xdr:rowOff>
    </xdr:to>
    <xdr:cxnSp macro="">
      <xdr:nvCxnSpPr>
        <xdr:cNvPr id="5" name="Conector reto 4">
          <a:extLst>
            <a:ext uri="{FF2B5EF4-FFF2-40B4-BE49-F238E27FC236}">
              <a16:creationId xmlns:a16="http://schemas.microsoft.com/office/drawing/2014/main" id="{511DA629-D277-4B14-8D76-5A22ED52FA02}"/>
            </a:ext>
          </a:extLst>
        </xdr:cNvPr>
        <xdr:cNvCxnSpPr/>
      </xdr:nvCxnSpPr>
      <xdr:spPr>
        <a:xfrm>
          <a:off x="104775" y="591693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46</xdr:row>
      <xdr:rowOff>87630</xdr:rowOff>
    </xdr:from>
    <xdr:to>
      <xdr:col>9</xdr:col>
      <xdr:colOff>0</xdr:colOff>
      <xdr:row>46</xdr:row>
      <xdr:rowOff>87630</xdr:rowOff>
    </xdr:to>
    <xdr:cxnSp macro="">
      <xdr:nvCxnSpPr>
        <xdr:cNvPr id="6" name="Conector reto 5">
          <a:extLst>
            <a:ext uri="{FF2B5EF4-FFF2-40B4-BE49-F238E27FC236}">
              <a16:creationId xmlns:a16="http://schemas.microsoft.com/office/drawing/2014/main" id="{558C8D8F-DF8B-4046-BD89-D0CA2C15ED03}"/>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59</xdr:row>
      <xdr:rowOff>87630</xdr:rowOff>
    </xdr:from>
    <xdr:to>
      <xdr:col>9</xdr:col>
      <xdr:colOff>0</xdr:colOff>
      <xdr:row>59</xdr:row>
      <xdr:rowOff>87630</xdr:rowOff>
    </xdr:to>
    <xdr:cxnSp macro="">
      <xdr:nvCxnSpPr>
        <xdr:cNvPr id="7" name="Conector reto 6">
          <a:extLst>
            <a:ext uri="{FF2B5EF4-FFF2-40B4-BE49-F238E27FC236}">
              <a16:creationId xmlns:a16="http://schemas.microsoft.com/office/drawing/2014/main" id="{0F3E38C3-89C6-4790-B392-4AC06E093CBE}"/>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74</xdr:row>
      <xdr:rowOff>87630</xdr:rowOff>
    </xdr:from>
    <xdr:to>
      <xdr:col>9</xdr:col>
      <xdr:colOff>0</xdr:colOff>
      <xdr:row>74</xdr:row>
      <xdr:rowOff>87630</xdr:rowOff>
    </xdr:to>
    <xdr:cxnSp macro="">
      <xdr:nvCxnSpPr>
        <xdr:cNvPr id="8" name="Conector reto 7">
          <a:extLst>
            <a:ext uri="{FF2B5EF4-FFF2-40B4-BE49-F238E27FC236}">
              <a16:creationId xmlns:a16="http://schemas.microsoft.com/office/drawing/2014/main" id="{48125B3C-894C-4489-9234-CDFB051B8305}"/>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97</xdr:row>
      <xdr:rowOff>87630</xdr:rowOff>
    </xdr:from>
    <xdr:to>
      <xdr:col>9</xdr:col>
      <xdr:colOff>0</xdr:colOff>
      <xdr:row>97</xdr:row>
      <xdr:rowOff>87630</xdr:rowOff>
    </xdr:to>
    <xdr:cxnSp macro="">
      <xdr:nvCxnSpPr>
        <xdr:cNvPr id="9" name="Conector reto 8">
          <a:extLst>
            <a:ext uri="{FF2B5EF4-FFF2-40B4-BE49-F238E27FC236}">
              <a16:creationId xmlns:a16="http://schemas.microsoft.com/office/drawing/2014/main" id="{2ECC006F-01D2-40EA-854A-B096E60DD297}"/>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177</xdr:row>
      <xdr:rowOff>87630</xdr:rowOff>
    </xdr:from>
    <xdr:to>
      <xdr:col>9</xdr:col>
      <xdr:colOff>0</xdr:colOff>
      <xdr:row>177</xdr:row>
      <xdr:rowOff>87630</xdr:rowOff>
    </xdr:to>
    <xdr:cxnSp macro="">
      <xdr:nvCxnSpPr>
        <xdr:cNvPr id="10" name="Conector reto 9">
          <a:extLst>
            <a:ext uri="{FF2B5EF4-FFF2-40B4-BE49-F238E27FC236}">
              <a16:creationId xmlns:a16="http://schemas.microsoft.com/office/drawing/2014/main" id="{8607261C-598C-433E-ACDA-8BBFE2F0FFA8}"/>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223</xdr:row>
      <xdr:rowOff>87630</xdr:rowOff>
    </xdr:from>
    <xdr:to>
      <xdr:col>9</xdr:col>
      <xdr:colOff>0</xdr:colOff>
      <xdr:row>223</xdr:row>
      <xdr:rowOff>87630</xdr:rowOff>
    </xdr:to>
    <xdr:cxnSp macro="">
      <xdr:nvCxnSpPr>
        <xdr:cNvPr id="11" name="Conector reto 10">
          <a:extLst>
            <a:ext uri="{FF2B5EF4-FFF2-40B4-BE49-F238E27FC236}">
              <a16:creationId xmlns:a16="http://schemas.microsoft.com/office/drawing/2014/main" id="{E52B388C-2A80-4C15-93A0-603A7A88700C}"/>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270</xdr:row>
      <xdr:rowOff>87630</xdr:rowOff>
    </xdr:from>
    <xdr:to>
      <xdr:col>9</xdr:col>
      <xdr:colOff>0</xdr:colOff>
      <xdr:row>270</xdr:row>
      <xdr:rowOff>87630</xdr:rowOff>
    </xdr:to>
    <xdr:cxnSp macro="">
      <xdr:nvCxnSpPr>
        <xdr:cNvPr id="12" name="Conector reto 11">
          <a:extLst>
            <a:ext uri="{FF2B5EF4-FFF2-40B4-BE49-F238E27FC236}">
              <a16:creationId xmlns:a16="http://schemas.microsoft.com/office/drawing/2014/main" id="{94EACF0A-3CA0-49B5-9B15-AF4FEAE22520}"/>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348</xdr:row>
      <xdr:rowOff>87630</xdr:rowOff>
    </xdr:from>
    <xdr:to>
      <xdr:col>9</xdr:col>
      <xdr:colOff>0</xdr:colOff>
      <xdr:row>348</xdr:row>
      <xdr:rowOff>87630</xdr:rowOff>
    </xdr:to>
    <xdr:cxnSp macro="">
      <xdr:nvCxnSpPr>
        <xdr:cNvPr id="13" name="Conector reto 12">
          <a:extLst>
            <a:ext uri="{FF2B5EF4-FFF2-40B4-BE49-F238E27FC236}">
              <a16:creationId xmlns:a16="http://schemas.microsoft.com/office/drawing/2014/main" id="{17808908-B2F8-49F2-A4FD-679D2F74BF32}"/>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360</xdr:row>
      <xdr:rowOff>87630</xdr:rowOff>
    </xdr:from>
    <xdr:to>
      <xdr:col>9</xdr:col>
      <xdr:colOff>0</xdr:colOff>
      <xdr:row>360</xdr:row>
      <xdr:rowOff>87630</xdr:rowOff>
    </xdr:to>
    <xdr:cxnSp macro="">
      <xdr:nvCxnSpPr>
        <xdr:cNvPr id="14" name="Conector reto 13">
          <a:extLst>
            <a:ext uri="{FF2B5EF4-FFF2-40B4-BE49-F238E27FC236}">
              <a16:creationId xmlns:a16="http://schemas.microsoft.com/office/drawing/2014/main" id="{C7271C9D-CBA5-4365-8D2D-C1A38318FE97}"/>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370</xdr:row>
      <xdr:rowOff>87630</xdr:rowOff>
    </xdr:from>
    <xdr:to>
      <xdr:col>9</xdr:col>
      <xdr:colOff>0</xdr:colOff>
      <xdr:row>370</xdr:row>
      <xdr:rowOff>87630</xdr:rowOff>
    </xdr:to>
    <xdr:cxnSp macro="">
      <xdr:nvCxnSpPr>
        <xdr:cNvPr id="15" name="Conector reto 14">
          <a:extLst>
            <a:ext uri="{FF2B5EF4-FFF2-40B4-BE49-F238E27FC236}">
              <a16:creationId xmlns:a16="http://schemas.microsoft.com/office/drawing/2014/main" id="{BACDCEBF-D369-4279-92FB-2E029E735C1C}"/>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391</xdr:row>
      <xdr:rowOff>87630</xdr:rowOff>
    </xdr:from>
    <xdr:to>
      <xdr:col>9</xdr:col>
      <xdr:colOff>0</xdr:colOff>
      <xdr:row>391</xdr:row>
      <xdr:rowOff>87630</xdr:rowOff>
    </xdr:to>
    <xdr:cxnSp macro="">
      <xdr:nvCxnSpPr>
        <xdr:cNvPr id="17" name="Conector reto 16">
          <a:extLst>
            <a:ext uri="{FF2B5EF4-FFF2-40B4-BE49-F238E27FC236}">
              <a16:creationId xmlns:a16="http://schemas.microsoft.com/office/drawing/2014/main" id="{F4093116-B74F-4DC3-8F48-8E5086C3D2A3}"/>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397</xdr:row>
      <xdr:rowOff>87630</xdr:rowOff>
    </xdr:from>
    <xdr:to>
      <xdr:col>9</xdr:col>
      <xdr:colOff>0</xdr:colOff>
      <xdr:row>397</xdr:row>
      <xdr:rowOff>87630</xdr:rowOff>
    </xdr:to>
    <xdr:cxnSp macro="">
      <xdr:nvCxnSpPr>
        <xdr:cNvPr id="18" name="Conector reto 17">
          <a:extLst>
            <a:ext uri="{FF2B5EF4-FFF2-40B4-BE49-F238E27FC236}">
              <a16:creationId xmlns:a16="http://schemas.microsoft.com/office/drawing/2014/main" id="{C65EC590-489A-4B62-A3CE-011C61245112}"/>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402</xdr:row>
      <xdr:rowOff>87630</xdr:rowOff>
    </xdr:from>
    <xdr:to>
      <xdr:col>9</xdr:col>
      <xdr:colOff>0</xdr:colOff>
      <xdr:row>402</xdr:row>
      <xdr:rowOff>87630</xdr:rowOff>
    </xdr:to>
    <xdr:cxnSp macro="">
      <xdr:nvCxnSpPr>
        <xdr:cNvPr id="19" name="Conector reto 18">
          <a:extLst>
            <a:ext uri="{FF2B5EF4-FFF2-40B4-BE49-F238E27FC236}">
              <a16:creationId xmlns:a16="http://schemas.microsoft.com/office/drawing/2014/main" id="{371AD160-2E87-4713-85BA-000AE98BB098}"/>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416</xdr:row>
      <xdr:rowOff>87630</xdr:rowOff>
    </xdr:from>
    <xdr:to>
      <xdr:col>9</xdr:col>
      <xdr:colOff>0</xdr:colOff>
      <xdr:row>416</xdr:row>
      <xdr:rowOff>87630</xdr:rowOff>
    </xdr:to>
    <xdr:cxnSp macro="">
      <xdr:nvCxnSpPr>
        <xdr:cNvPr id="20" name="Conector reto 19">
          <a:extLst>
            <a:ext uri="{FF2B5EF4-FFF2-40B4-BE49-F238E27FC236}">
              <a16:creationId xmlns:a16="http://schemas.microsoft.com/office/drawing/2014/main" id="{6A595F1D-BF08-4C8F-B5D4-A87CAABAB552}"/>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427</xdr:row>
      <xdr:rowOff>87630</xdr:rowOff>
    </xdr:from>
    <xdr:to>
      <xdr:col>9</xdr:col>
      <xdr:colOff>0</xdr:colOff>
      <xdr:row>427</xdr:row>
      <xdr:rowOff>87630</xdr:rowOff>
    </xdr:to>
    <xdr:cxnSp macro="">
      <xdr:nvCxnSpPr>
        <xdr:cNvPr id="21" name="Conector reto 20">
          <a:extLst>
            <a:ext uri="{FF2B5EF4-FFF2-40B4-BE49-F238E27FC236}">
              <a16:creationId xmlns:a16="http://schemas.microsoft.com/office/drawing/2014/main" id="{7D3ED91C-ADF6-4336-B3EB-D5EEEFDE0B0B}"/>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436</xdr:row>
      <xdr:rowOff>87630</xdr:rowOff>
    </xdr:from>
    <xdr:to>
      <xdr:col>9</xdr:col>
      <xdr:colOff>0</xdr:colOff>
      <xdr:row>436</xdr:row>
      <xdr:rowOff>87630</xdr:rowOff>
    </xdr:to>
    <xdr:cxnSp macro="">
      <xdr:nvCxnSpPr>
        <xdr:cNvPr id="22" name="Conector reto 21">
          <a:extLst>
            <a:ext uri="{FF2B5EF4-FFF2-40B4-BE49-F238E27FC236}">
              <a16:creationId xmlns:a16="http://schemas.microsoft.com/office/drawing/2014/main" id="{B6703E10-2075-4F61-A124-40D0CAB1D79B}"/>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445</xdr:row>
      <xdr:rowOff>87630</xdr:rowOff>
    </xdr:from>
    <xdr:to>
      <xdr:col>9</xdr:col>
      <xdr:colOff>0</xdr:colOff>
      <xdr:row>445</xdr:row>
      <xdr:rowOff>87630</xdr:rowOff>
    </xdr:to>
    <xdr:cxnSp macro="">
      <xdr:nvCxnSpPr>
        <xdr:cNvPr id="23" name="Conector reto 22">
          <a:extLst>
            <a:ext uri="{FF2B5EF4-FFF2-40B4-BE49-F238E27FC236}">
              <a16:creationId xmlns:a16="http://schemas.microsoft.com/office/drawing/2014/main" id="{3738A79F-3CB7-4BD5-BC9A-3FB7172E2E79}"/>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454</xdr:row>
      <xdr:rowOff>87630</xdr:rowOff>
    </xdr:from>
    <xdr:to>
      <xdr:col>9</xdr:col>
      <xdr:colOff>0</xdr:colOff>
      <xdr:row>454</xdr:row>
      <xdr:rowOff>87630</xdr:rowOff>
    </xdr:to>
    <xdr:cxnSp macro="">
      <xdr:nvCxnSpPr>
        <xdr:cNvPr id="24" name="Conector reto 23">
          <a:extLst>
            <a:ext uri="{FF2B5EF4-FFF2-40B4-BE49-F238E27FC236}">
              <a16:creationId xmlns:a16="http://schemas.microsoft.com/office/drawing/2014/main" id="{65B87375-D89F-46D6-94EA-6ECD3AE8992A}"/>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463</xdr:row>
      <xdr:rowOff>87630</xdr:rowOff>
    </xdr:from>
    <xdr:to>
      <xdr:col>9</xdr:col>
      <xdr:colOff>0</xdr:colOff>
      <xdr:row>463</xdr:row>
      <xdr:rowOff>87630</xdr:rowOff>
    </xdr:to>
    <xdr:cxnSp macro="">
      <xdr:nvCxnSpPr>
        <xdr:cNvPr id="25" name="Conector reto 24">
          <a:extLst>
            <a:ext uri="{FF2B5EF4-FFF2-40B4-BE49-F238E27FC236}">
              <a16:creationId xmlns:a16="http://schemas.microsoft.com/office/drawing/2014/main" id="{067C517F-C22D-4F18-BE1E-B933EA299312}"/>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472</xdr:row>
      <xdr:rowOff>87630</xdr:rowOff>
    </xdr:from>
    <xdr:to>
      <xdr:col>9</xdr:col>
      <xdr:colOff>0</xdr:colOff>
      <xdr:row>472</xdr:row>
      <xdr:rowOff>87630</xdr:rowOff>
    </xdr:to>
    <xdr:cxnSp macro="">
      <xdr:nvCxnSpPr>
        <xdr:cNvPr id="26" name="Conector reto 25">
          <a:extLst>
            <a:ext uri="{FF2B5EF4-FFF2-40B4-BE49-F238E27FC236}">
              <a16:creationId xmlns:a16="http://schemas.microsoft.com/office/drawing/2014/main" id="{E3F524C2-656A-4691-BDA9-1643969D9D0A}"/>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483</xdr:row>
      <xdr:rowOff>87630</xdr:rowOff>
    </xdr:from>
    <xdr:to>
      <xdr:col>9</xdr:col>
      <xdr:colOff>0</xdr:colOff>
      <xdr:row>483</xdr:row>
      <xdr:rowOff>87630</xdr:rowOff>
    </xdr:to>
    <xdr:cxnSp macro="">
      <xdr:nvCxnSpPr>
        <xdr:cNvPr id="27" name="Conector reto 26">
          <a:extLst>
            <a:ext uri="{FF2B5EF4-FFF2-40B4-BE49-F238E27FC236}">
              <a16:creationId xmlns:a16="http://schemas.microsoft.com/office/drawing/2014/main" id="{73133C6D-EA8D-493C-B83B-F77019C53C4C}"/>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489</xdr:row>
      <xdr:rowOff>87630</xdr:rowOff>
    </xdr:from>
    <xdr:to>
      <xdr:col>9</xdr:col>
      <xdr:colOff>0</xdr:colOff>
      <xdr:row>489</xdr:row>
      <xdr:rowOff>87630</xdr:rowOff>
    </xdr:to>
    <xdr:cxnSp macro="">
      <xdr:nvCxnSpPr>
        <xdr:cNvPr id="28" name="Conector reto 27">
          <a:extLst>
            <a:ext uri="{FF2B5EF4-FFF2-40B4-BE49-F238E27FC236}">
              <a16:creationId xmlns:a16="http://schemas.microsoft.com/office/drawing/2014/main" id="{46A4A0E3-6D5F-4FFB-81A2-593CFE4A4262}"/>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500</xdr:row>
      <xdr:rowOff>87630</xdr:rowOff>
    </xdr:from>
    <xdr:to>
      <xdr:col>9</xdr:col>
      <xdr:colOff>0</xdr:colOff>
      <xdr:row>500</xdr:row>
      <xdr:rowOff>87630</xdr:rowOff>
    </xdr:to>
    <xdr:cxnSp macro="">
      <xdr:nvCxnSpPr>
        <xdr:cNvPr id="29" name="Conector reto 28">
          <a:extLst>
            <a:ext uri="{FF2B5EF4-FFF2-40B4-BE49-F238E27FC236}">
              <a16:creationId xmlns:a16="http://schemas.microsoft.com/office/drawing/2014/main" id="{2EB350F7-AADA-47B0-B542-37FC1305BCF0}"/>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510</xdr:row>
      <xdr:rowOff>87630</xdr:rowOff>
    </xdr:from>
    <xdr:to>
      <xdr:col>9</xdr:col>
      <xdr:colOff>0</xdr:colOff>
      <xdr:row>510</xdr:row>
      <xdr:rowOff>87630</xdr:rowOff>
    </xdr:to>
    <xdr:cxnSp macro="">
      <xdr:nvCxnSpPr>
        <xdr:cNvPr id="30" name="Conector reto 29">
          <a:extLst>
            <a:ext uri="{FF2B5EF4-FFF2-40B4-BE49-F238E27FC236}">
              <a16:creationId xmlns:a16="http://schemas.microsoft.com/office/drawing/2014/main" id="{951A2A58-6D52-4837-8606-F97FA13877EA}"/>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519</xdr:row>
      <xdr:rowOff>87630</xdr:rowOff>
    </xdr:from>
    <xdr:to>
      <xdr:col>9</xdr:col>
      <xdr:colOff>0</xdr:colOff>
      <xdr:row>519</xdr:row>
      <xdr:rowOff>87630</xdr:rowOff>
    </xdr:to>
    <xdr:cxnSp macro="">
      <xdr:nvCxnSpPr>
        <xdr:cNvPr id="31" name="Conector reto 30">
          <a:extLst>
            <a:ext uri="{FF2B5EF4-FFF2-40B4-BE49-F238E27FC236}">
              <a16:creationId xmlns:a16="http://schemas.microsoft.com/office/drawing/2014/main" id="{1D314087-4903-41EA-8EA2-247841F685C3}"/>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528</xdr:row>
      <xdr:rowOff>87630</xdr:rowOff>
    </xdr:from>
    <xdr:to>
      <xdr:col>9</xdr:col>
      <xdr:colOff>0</xdr:colOff>
      <xdr:row>528</xdr:row>
      <xdr:rowOff>87630</xdr:rowOff>
    </xdr:to>
    <xdr:cxnSp macro="">
      <xdr:nvCxnSpPr>
        <xdr:cNvPr id="32" name="Conector reto 31">
          <a:extLst>
            <a:ext uri="{FF2B5EF4-FFF2-40B4-BE49-F238E27FC236}">
              <a16:creationId xmlns:a16="http://schemas.microsoft.com/office/drawing/2014/main" id="{02E869AB-7F56-42A3-A99A-AEF740FEEE27}"/>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537</xdr:row>
      <xdr:rowOff>87630</xdr:rowOff>
    </xdr:from>
    <xdr:to>
      <xdr:col>9</xdr:col>
      <xdr:colOff>0</xdr:colOff>
      <xdr:row>537</xdr:row>
      <xdr:rowOff>87630</xdr:rowOff>
    </xdr:to>
    <xdr:cxnSp macro="">
      <xdr:nvCxnSpPr>
        <xdr:cNvPr id="33" name="Conector reto 32">
          <a:extLst>
            <a:ext uri="{FF2B5EF4-FFF2-40B4-BE49-F238E27FC236}">
              <a16:creationId xmlns:a16="http://schemas.microsoft.com/office/drawing/2014/main" id="{4D2B2EB9-46B9-4C42-8CB8-AC9CF99D9AE4}"/>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546</xdr:row>
      <xdr:rowOff>87630</xdr:rowOff>
    </xdr:from>
    <xdr:to>
      <xdr:col>9</xdr:col>
      <xdr:colOff>0</xdr:colOff>
      <xdr:row>546</xdr:row>
      <xdr:rowOff>87630</xdr:rowOff>
    </xdr:to>
    <xdr:cxnSp macro="">
      <xdr:nvCxnSpPr>
        <xdr:cNvPr id="34" name="Conector reto 33">
          <a:extLst>
            <a:ext uri="{FF2B5EF4-FFF2-40B4-BE49-F238E27FC236}">
              <a16:creationId xmlns:a16="http://schemas.microsoft.com/office/drawing/2014/main" id="{9D8D6EF7-A479-41DD-8A30-B32F3B066EF6}"/>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555</xdr:row>
      <xdr:rowOff>87630</xdr:rowOff>
    </xdr:from>
    <xdr:to>
      <xdr:col>9</xdr:col>
      <xdr:colOff>0</xdr:colOff>
      <xdr:row>555</xdr:row>
      <xdr:rowOff>87630</xdr:rowOff>
    </xdr:to>
    <xdr:cxnSp macro="">
      <xdr:nvCxnSpPr>
        <xdr:cNvPr id="35" name="Conector reto 34">
          <a:extLst>
            <a:ext uri="{FF2B5EF4-FFF2-40B4-BE49-F238E27FC236}">
              <a16:creationId xmlns:a16="http://schemas.microsoft.com/office/drawing/2014/main" id="{754C46D3-2C69-4878-886D-EE656F6B0D90}"/>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569</xdr:row>
      <xdr:rowOff>87630</xdr:rowOff>
    </xdr:from>
    <xdr:to>
      <xdr:col>9</xdr:col>
      <xdr:colOff>0</xdr:colOff>
      <xdr:row>569</xdr:row>
      <xdr:rowOff>87630</xdr:rowOff>
    </xdr:to>
    <xdr:cxnSp macro="">
      <xdr:nvCxnSpPr>
        <xdr:cNvPr id="36" name="Conector reto 35">
          <a:extLst>
            <a:ext uri="{FF2B5EF4-FFF2-40B4-BE49-F238E27FC236}">
              <a16:creationId xmlns:a16="http://schemas.microsoft.com/office/drawing/2014/main" id="{47E3F53D-6795-43E2-B3FC-BF5FE9765BF7}"/>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581</xdr:row>
      <xdr:rowOff>87630</xdr:rowOff>
    </xdr:from>
    <xdr:to>
      <xdr:col>9</xdr:col>
      <xdr:colOff>0</xdr:colOff>
      <xdr:row>581</xdr:row>
      <xdr:rowOff>87630</xdr:rowOff>
    </xdr:to>
    <xdr:cxnSp macro="">
      <xdr:nvCxnSpPr>
        <xdr:cNvPr id="37" name="Conector reto 36">
          <a:extLst>
            <a:ext uri="{FF2B5EF4-FFF2-40B4-BE49-F238E27FC236}">
              <a16:creationId xmlns:a16="http://schemas.microsoft.com/office/drawing/2014/main" id="{19E85CA9-C402-4C6C-9032-A1423FF24D54}"/>
            </a:ext>
          </a:extLst>
        </xdr:cNvPr>
        <xdr:cNvCxnSpPr/>
      </xdr:nvCxnSpPr>
      <xdr:spPr>
        <a:xfrm>
          <a:off x="104775" y="14889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590</xdr:row>
      <xdr:rowOff>87630</xdr:rowOff>
    </xdr:from>
    <xdr:to>
      <xdr:col>9</xdr:col>
      <xdr:colOff>0</xdr:colOff>
      <xdr:row>590</xdr:row>
      <xdr:rowOff>87630</xdr:rowOff>
    </xdr:to>
    <xdr:cxnSp macro="">
      <xdr:nvCxnSpPr>
        <xdr:cNvPr id="38" name="Conector reto 37">
          <a:extLst>
            <a:ext uri="{FF2B5EF4-FFF2-40B4-BE49-F238E27FC236}">
              <a16:creationId xmlns:a16="http://schemas.microsoft.com/office/drawing/2014/main" id="{602CD255-1089-4C25-AE11-CB7EA023BDC0}"/>
            </a:ext>
          </a:extLst>
        </xdr:cNvPr>
        <xdr:cNvCxnSpPr/>
      </xdr:nvCxnSpPr>
      <xdr:spPr>
        <a:xfrm>
          <a:off x="104775" y="17099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599</xdr:row>
      <xdr:rowOff>87630</xdr:rowOff>
    </xdr:from>
    <xdr:to>
      <xdr:col>9</xdr:col>
      <xdr:colOff>0</xdr:colOff>
      <xdr:row>599</xdr:row>
      <xdr:rowOff>87630</xdr:rowOff>
    </xdr:to>
    <xdr:cxnSp macro="">
      <xdr:nvCxnSpPr>
        <xdr:cNvPr id="39" name="Conector reto 38">
          <a:extLst>
            <a:ext uri="{FF2B5EF4-FFF2-40B4-BE49-F238E27FC236}">
              <a16:creationId xmlns:a16="http://schemas.microsoft.com/office/drawing/2014/main" id="{ADE06B83-D762-4804-AF37-FAA1F6C019A4}"/>
            </a:ext>
          </a:extLst>
        </xdr:cNvPr>
        <xdr:cNvCxnSpPr/>
      </xdr:nvCxnSpPr>
      <xdr:spPr>
        <a:xfrm>
          <a:off x="104775" y="19309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610</xdr:row>
      <xdr:rowOff>87630</xdr:rowOff>
    </xdr:from>
    <xdr:to>
      <xdr:col>9</xdr:col>
      <xdr:colOff>0</xdr:colOff>
      <xdr:row>610</xdr:row>
      <xdr:rowOff>87630</xdr:rowOff>
    </xdr:to>
    <xdr:cxnSp macro="">
      <xdr:nvCxnSpPr>
        <xdr:cNvPr id="40" name="Conector reto 39">
          <a:extLst>
            <a:ext uri="{FF2B5EF4-FFF2-40B4-BE49-F238E27FC236}">
              <a16:creationId xmlns:a16="http://schemas.microsoft.com/office/drawing/2014/main" id="{CCF54115-8002-4D3C-986D-9481BA5C0C0E}"/>
            </a:ext>
          </a:extLst>
        </xdr:cNvPr>
        <xdr:cNvCxnSpPr/>
      </xdr:nvCxnSpPr>
      <xdr:spPr>
        <a:xfrm>
          <a:off x="104775" y="21518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619</xdr:row>
      <xdr:rowOff>87630</xdr:rowOff>
    </xdr:from>
    <xdr:to>
      <xdr:col>9</xdr:col>
      <xdr:colOff>0</xdr:colOff>
      <xdr:row>619</xdr:row>
      <xdr:rowOff>87630</xdr:rowOff>
    </xdr:to>
    <xdr:cxnSp macro="">
      <xdr:nvCxnSpPr>
        <xdr:cNvPr id="41" name="Conector reto 40">
          <a:extLst>
            <a:ext uri="{FF2B5EF4-FFF2-40B4-BE49-F238E27FC236}">
              <a16:creationId xmlns:a16="http://schemas.microsoft.com/office/drawing/2014/main" id="{A35ED35A-14D3-41BB-968D-B675D6E4CD7E}"/>
            </a:ext>
          </a:extLst>
        </xdr:cNvPr>
        <xdr:cNvCxnSpPr/>
      </xdr:nvCxnSpPr>
      <xdr:spPr>
        <a:xfrm>
          <a:off x="104775" y="23728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628</xdr:row>
      <xdr:rowOff>87630</xdr:rowOff>
    </xdr:from>
    <xdr:to>
      <xdr:col>9</xdr:col>
      <xdr:colOff>0</xdr:colOff>
      <xdr:row>628</xdr:row>
      <xdr:rowOff>87630</xdr:rowOff>
    </xdr:to>
    <xdr:cxnSp macro="">
      <xdr:nvCxnSpPr>
        <xdr:cNvPr id="42" name="Conector reto 41">
          <a:extLst>
            <a:ext uri="{FF2B5EF4-FFF2-40B4-BE49-F238E27FC236}">
              <a16:creationId xmlns:a16="http://schemas.microsoft.com/office/drawing/2014/main" id="{6B57F5D8-0E69-45CC-944A-49BCFDBB9F1B}"/>
            </a:ext>
          </a:extLst>
        </xdr:cNvPr>
        <xdr:cNvCxnSpPr/>
      </xdr:nvCxnSpPr>
      <xdr:spPr>
        <a:xfrm>
          <a:off x="104775" y="25938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638</xdr:row>
      <xdr:rowOff>87630</xdr:rowOff>
    </xdr:from>
    <xdr:to>
      <xdr:col>9</xdr:col>
      <xdr:colOff>0</xdr:colOff>
      <xdr:row>638</xdr:row>
      <xdr:rowOff>87630</xdr:rowOff>
    </xdr:to>
    <xdr:cxnSp macro="">
      <xdr:nvCxnSpPr>
        <xdr:cNvPr id="43" name="Conector reto 42">
          <a:extLst>
            <a:ext uri="{FF2B5EF4-FFF2-40B4-BE49-F238E27FC236}">
              <a16:creationId xmlns:a16="http://schemas.microsoft.com/office/drawing/2014/main" id="{A16FC126-905E-4AE1-A14A-97C6A655012D}"/>
            </a:ext>
          </a:extLst>
        </xdr:cNvPr>
        <xdr:cNvCxnSpPr/>
      </xdr:nvCxnSpPr>
      <xdr:spPr>
        <a:xfrm>
          <a:off x="104775" y="28148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646</xdr:row>
      <xdr:rowOff>87630</xdr:rowOff>
    </xdr:from>
    <xdr:to>
      <xdr:col>9</xdr:col>
      <xdr:colOff>0</xdr:colOff>
      <xdr:row>646</xdr:row>
      <xdr:rowOff>87630</xdr:rowOff>
    </xdr:to>
    <xdr:cxnSp macro="">
      <xdr:nvCxnSpPr>
        <xdr:cNvPr id="44" name="Conector reto 43">
          <a:extLst>
            <a:ext uri="{FF2B5EF4-FFF2-40B4-BE49-F238E27FC236}">
              <a16:creationId xmlns:a16="http://schemas.microsoft.com/office/drawing/2014/main" id="{59705524-C914-48AA-895D-81ADF5E83E09}"/>
            </a:ext>
          </a:extLst>
        </xdr:cNvPr>
        <xdr:cNvCxnSpPr/>
      </xdr:nvCxnSpPr>
      <xdr:spPr>
        <a:xfrm>
          <a:off x="104775" y="30358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658</xdr:row>
      <xdr:rowOff>87630</xdr:rowOff>
    </xdr:from>
    <xdr:to>
      <xdr:col>9</xdr:col>
      <xdr:colOff>0</xdr:colOff>
      <xdr:row>658</xdr:row>
      <xdr:rowOff>87630</xdr:rowOff>
    </xdr:to>
    <xdr:cxnSp macro="">
      <xdr:nvCxnSpPr>
        <xdr:cNvPr id="45" name="Conector reto 44">
          <a:extLst>
            <a:ext uri="{FF2B5EF4-FFF2-40B4-BE49-F238E27FC236}">
              <a16:creationId xmlns:a16="http://schemas.microsoft.com/office/drawing/2014/main" id="{0858A9E3-928A-4A3F-AAFB-B63B90F1AD07}"/>
            </a:ext>
          </a:extLst>
        </xdr:cNvPr>
        <xdr:cNvCxnSpPr/>
      </xdr:nvCxnSpPr>
      <xdr:spPr>
        <a:xfrm>
          <a:off x="104775" y="32567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670</xdr:row>
      <xdr:rowOff>87630</xdr:rowOff>
    </xdr:from>
    <xdr:to>
      <xdr:col>9</xdr:col>
      <xdr:colOff>0</xdr:colOff>
      <xdr:row>670</xdr:row>
      <xdr:rowOff>87630</xdr:rowOff>
    </xdr:to>
    <xdr:cxnSp macro="">
      <xdr:nvCxnSpPr>
        <xdr:cNvPr id="46" name="Conector reto 45">
          <a:extLst>
            <a:ext uri="{FF2B5EF4-FFF2-40B4-BE49-F238E27FC236}">
              <a16:creationId xmlns:a16="http://schemas.microsoft.com/office/drawing/2014/main" id="{52413DC4-AD0B-4909-AA67-E2589E3DE1FD}"/>
            </a:ext>
          </a:extLst>
        </xdr:cNvPr>
        <xdr:cNvCxnSpPr/>
      </xdr:nvCxnSpPr>
      <xdr:spPr>
        <a:xfrm>
          <a:off x="104775" y="34777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682</xdr:row>
      <xdr:rowOff>87630</xdr:rowOff>
    </xdr:from>
    <xdr:to>
      <xdr:col>9</xdr:col>
      <xdr:colOff>0</xdr:colOff>
      <xdr:row>682</xdr:row>
      <xdr:rowOff>87630</xdr:rowOff>
    </xdr:to>
    <xdr:cxnSp macro="">
      <xdr:nvCxnSpPr>
        <xdr:cNvPr id="47" name="Conector reto 46">
          <a:extLst>
            <a:ext uri="{FF2B5EF4-FFF2-40B4-BE49-F238E27FC236}">
              <a16:creationId xmlns:a16="http://schemas.microsoft.com/office/drawing/2014/main" id="{773F5F6D-14C2-4A2F-AF72-8D6BC06F2750}"/>
            </a:ext>
          </a:extLst>
        </xdr:cNvPr>
        <xdr:cNvCxnSpPr/>
      </xdr:nvCxnSpPr>
      <xdr:spPr>
        <a:xfrm>
          <a:off x="104775" y="36987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694</xdr:row>
      <xdr:rowOff>87630</xdr:rowOff>
    </xdr:from>
    <xdr:to>
      <xdr:col>9</xdr:col>
      <xdr:colOff>0</xdr:colOff>
      <xdr:row>694</xdr:row>
      <xdr:rowOff>87630</xdr:rowOff>
    </xdr:to>
    <xdr:cxnSp macro="">
      <xdr:nvCxnSpPr>
        <xdr:cNvPr id="48" name="Conector reto 47">
          <a:extLst>
            <a:ext uri="{FF2B5EF4-FFF2-40B4-BE49-F238E27FC236}">
              <a16:creationId xmlns:a16="http://schemas.microsoft.com/office/drawing/2014/main" id="{4D342EEA-CD32-41FA-8635-ECAE19F07B9F}"/>
            </a:ext>
          </a:extLst>
        </xdr:cNvPr>
        <xdr:cNvCxnSpPr/>
      </xdr:nvCxnSpPr>
      <xdr:spPr>
        <a:xfrm>
          <a:off x="104775" y="39197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704</xdr:row>
      <xdr:rowOff>87630</xdr:rowOff>
    </xdr:from>
    <xdr:to>
      <xdr:col>9</xdr:col>
      <xdr:colOff>0</xdr:colOff>
      <xdr:row>704</xdr:row>
      <xdr:rowOff>87630</xdr:rowOff>
    </xdr:to>
    <xdr:cxnSp macro="">
      <xdr:nvCxnSpPr>
        <xdr:cNvPr id="49" name="Conector reto 48">
          <a:extLst>
            <a:ext uri="{FF2B5EF4-FFF2-40B4-BE49-F238E27FC236}">
              <a16:creationId xmlns:a16="http://schemas.microsoft.com/office/drawing/2014/main" id="{7D707A68-213E-4984-BE8D-EFF906054437}"/>
            </a:ext>
          </a:extLst>
        </xdr:cNvPr>
        <xdr:cNvCxnSpPr/>
      </xdr:nvCxnSpPr>
      <xdr:spPr>
        <a:xfrm>
          <a:off x="104775" y="41407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714</xdr:row>
      <xdr:rowOff>87630</xdr:rowOff>
    </xdr:from>
    <xdr:to>
      <xdr:col>9</xdr:col>
      <xdr:colOff>0</xdr:colOff>
      <xdr:row>714</xdr:row>
      <xdr:rowOff>87630</xdr:rowOff>
    </xdr:to>
    <xdr:cxnSp macro="">
      <xdr:nvCxnSpPr>
        <xdr:cNvPr id="50" name="Conector reto 49">
          <a:extLst>
            <a:ext uri="{FF2B5EF4-FFF2-40B4-BE49-F238E27FC236}">
              <a16:creationId xmlns:a16="http://schemas.microsoft.com/office/drawing/2014/main" id="{A06697BC-3853-4645-B6EA-EB6B5F9FC349}"/>
            </a:ext>
          </a:extLst>
        </xdr:cNvPr>
        <xdr:cNvCxnSpPr/>
      </xdr:nvCxnSpPr>
      <xdr:spPr>
        <a:xfrm>
          <a:off x="104775" y="43616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719</xdr:row>
      <xdr:rowOff>87630</xdr:rowOff>
    </xdr:from>
    <xdr:to>
      <xdr:col>9</xdr:col>
      <xdr:colOff>0</xdr:colOff>
      <xdr:row>719</xdr:row>
      <xdr:rowOff>87630</xdr:rowOff>
    </xdr:to>
    <xdr:cxnSp macro="">
      <xdr:nvCxnSpPr>
        <xdr:cNvPr id="51" name="Conector reto 50">
          <a:extLst>
            <a:ext uri="{FF2B5EF4-FFF2-40B4-BE49-F238E27FC236}">
              <a16:creationId xmlns:a16="http://schemas.microsoft.com/office/drawing/2014/main" id="{2E0AC8BE-C04F-44E7-92AA-D412D9AFDA61}"/>
            </a:ext>
          </a:extLst>
        </xdr:cNvPr>
        <xdr:cNvCxnSpPr/>
      </xdr:nvCxnSpPr>
      <xdr:spPr>
        <a:xfrm>
          <a:off x="104775" y="45826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726</xdr:row>
      <xdr:rowOff>87630</xdr:rowOff>
    </xdr:from>
    <xdr:to>
      <xdr:col>9</xdr:col>
      <xdr:colOff>0</xdr:colOff>
      <xdr:row>726</xdr:row>
      <xdr:rowOff>87630</xdr:rowOff>
    </xdr:to>
    <xdr:cxnSp macro="">
      <xdr:nvCxnSpPr>
        <xdr:cNvPr id="52" name="Conector reto 51">
          <a:extLst>
            <a:ext uri="{FF2B5EF4-FFF2-40B4-BE49-F238E27FC236}">
              <a16:creationId xmlns:a16="http://schemas.microsoft.com/office/drawing/2014/main" id="{7DD394DB-4883-47F1-8AC9-1C8D7745BDD5}"/>
            </a:ext>
          </a:extLst>
        </xdr:cNvPr>
        <xdr:cNvCxnSpPr/>
      </xdr:nvCxnSpPr>
      <xdr:spPr>
        <a:xfrm>
          <a:off x="104775" y="48036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733</xdr:row>
      <xdr:rowOff>87630</xdr:rowOff>
    </xdr:from>
    <xdr:to>
      <xdr:col>9</xdr:col>
      <xdr:colOff>0</xdr:colOff>
      <xdr:row>733</xdr:row>
      <xdr:rowOff>87630</xdr:rowOff>
    </xdr:to>
    <xdr:cxnSp macro="">
      <xdr:nvCxnSpPr>
        <xdr:cNvPr id="53" name="Conector reto 52">
          <a:extLst>
            <a:ext uri="{FF2B5EF4-FFF2-40B4-BE49-F238E27FC236}">
              <a16:creationId xmlns:a16="http://schemas.microsoft.com/office/drawing/2014/main" id="{6A7837AD-29EA-4D1B-96FA-C57FE22B56D0}"/>
            </a:ext>
          </a:extLst>
        </xdr:cNvPr>
        <xdr:cNvCxnSpPr/>
      </xdr:nvCxnSpPr>
      <xdr:spPr>
        <a:xfrm>
          <a:off x="104775" y="50246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742</xdr:row>
      <xdr:rowOff>87630</xdr:rowOff>
    </xdr:from>
    <xdr:to>
      <xdr:col>9</xdr:col>
      <xdr:colOff>0</xdr:colOff>
      <xdr:row>742</xdr:row>
      <xdr:rowOff>87630</xdr:rowOff>
    </xdr:to>
    <xdr:cxnSp macro="">
      <xdr:nvCxnSpPr>
        <xdr:cNvPr id="54" name="Conector reto 53">
          <a:extLst>
            <a:ext uri="{FF2B5EF4-FFF2-40B4-BE49-F238E27FC236}">
              <a16:creationId xmlns:a16="http://schemas.microsoft.com/office/drawing/2014/main" id="{6AB42794-FCF5-4510-9D90-A871EE872422}"/>
            </a:ext>
          </a:extLst>
        </xdr:cNvPr>
        <xdr:cNvCxnSpPr/>
      </xdr:nvCxnSpPr>
      <xdr:spPr>
        <a:xfrm>
          <a:off x="104775" y="52456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751</xdr:row>
      <xdr:rowOff>87630</xdr:rowOff>
    </xdr:from>
    <xdr:to>
      <xdr:col>9</xdr:col>
      <xdr:colOff>0</xdr:colOff>
      <xdr:row>751</xdr:row>
      <xdr:rowOff>87630</xdr:rowOff>
    </xdr:to>
    <xdr:cxnSp macro="">
      <xdr:nvCxnSpPr>
        <xdr:cNvPr id="55" name="Conector reto 54">
          <a:extLst>
            <a:ext uri="{FF2B5EF4-FFF2-40B4-BE49-F238E27FC236}">
              <a16:creationId xmlns:a16="http://schemas.microsoft.com/office/drawing/2014/main" id="{29DB647D-B2ED-46A9-AB78-2FD44AEB58E4}"/>
            </a:ext>
          </a:extLst>
        </xdr:cNvPr>
        <xdr:cNvCxnSpPr/>
      </xdr:nvCxnSpPr>
      <xdr:spPr>
        <a:xfrm>
          <a:off x="104775" y="54665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760</xdr:row>
      <xdr:rowOff>87630</xdr:rowOff>
    </xdr:from>
    <xdr:to>
      <xdr:col>9</xdr:col>
      <xdr:colOff>0</xdr:colOff>
      <xdr:row>760</xdr:row>
      <xdr:rowOff>87630</xdr:rowOff>
    </xdr:to>
    <xdr:cxnSp macro="">
      <xdr:nvCxnSpPr>
        <xdr:cNvPr id="56" name="Conector reto 55">
          <a:extLst>
            <a:ext uri="{FF2B5EF4-FFF2-40B4-BE49-F238E27FC236}">
              <a16:creationId xmlns:a16="http://schemas.microsoft.com/office/drawing/2014/main" id="{83F826DF-FDEA-4B70-912D-8EAB5B633BB8}"/>
            </a:ext>
          </a:extLst>
        </xdr:cNvPr>
        <xdr:cNvCxnSpPr/>
      </xdr:nvCxnSpPr>
      <xdr:spPr>
        <a:xfrm>
          <a:off x="104775" y="56875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769</xdr:row>
      <xdr:rowOff>87630</xdr:rowOff>
    </xdr:from>
    <xdr:to>
      <xdr:col>9</xdr:col>
      <xdr:colOff>0</xdr:colOff>
      <xdr:row>769</xdr:row>
      <xdr:rowOff>87630</xdr:rowOff>
    </xdr:to>
    <xdr:cxnSp macro="">
      <xdr:nvCxnSpPr>
        <xdr:cNvPr id="57" name="Conector reto 56">
          <a:extLst>
            <a:ext uri="{FF2B5EF4-FFF2-40B4-BE49-F238E27FC236}">
              <a16:creationId xmlns:a16="http://schemas.microsoft.com/office/drawing/2014/main" id="{8CABDB5D-D865-4AA1-8669-C168E6278A53}"/>
            </a:ext>
          </a:extLst>
        </xdr:cNvPr>
        <xdr:cNvCxnSpPr/>
      </xdr:nvCxnSpPr>
      <xdr:spPr>
        <a:xfrm>
          <a:off x="104775" y="59085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776</xdr:row>
      <xdr:rowOff>87630</xdr:rowOff>
    </xdr:from>
    <xdr:to>
      <xdr:col>9</xdr:col>
      <xdr:colOff>0</xdr:colOff>
      <xdr:row>776</xdr:row>
      <xdr:rowOff>87630</xdr:rowOff>
    </xdr:to>
    <xdr:cxnSp macro="">
      <xdr:nvCxnSpPr>
        <xdr:cNvPr id="58" name="Conector reto 57">
          <a:extLst>
            <a:ext uri="{FF2B5EF4-FFF2-40B4-BE49-F238E27FC236}">
              <a16:creationId xmlns:a16="http://schemas.microsoft.com/office/drawing/2014/main" id="{9BE0158A-1868-4B5F-A7C1-9D88DD55E566}"/>
            </a:ext>
          </a:extLst>
        </xdr:cNvPr>
        <xdr:cNvCxnSpPr/>
      </xdr:nvCxnSpPr>
      <xdr:spPr>
        <a:xfrm>
          <a:off x="104775" y="61295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783</xdr:row>
      <xdr:rowOff>87630</xdr:rowOff>
    </xdr:from>
    <xdr:to>
      <xdr:col>9</xdr:col>
      <xdr:colOff>0</xdr:colOff>
      <xdr:row>783</xdr:row>
      <xdr:rowOff>87630</xdr:rowOff>
    </xdr:to>
    <xdr:cxnSp macro="">
      <xdr:nvCxnSpPr>
        <xdr:cNvPr id="59" name="Conector reto 58">
          <a:extLst>
            <a:ext uri="{FF2B5EF4-FFF2-40B4-BE49-F238E27FC236}">
              <a16:creationId xmlns:a16="http://schemas.microsoft.com/office/drawing/2014/main" id="{35C21869-B802-40E9-B60E-92AB866B7200}"/>
            </a:ext>
          </a:extLst>
        </xdr:cNvPr>
        <xdr:cNvCxnSpPr/>
      </xdr:nvCxnSpPr>
      <xdr:spPr>
        <a:xfrm>
          <a:off x="104775" y="63505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790</xdr:row>
      <xdr:rowOff>87630</xdr:rowOff>
    </xdr:from>
    <xdr:to>
      <xdr:col>9</xdr:col>
      <xdr:colOff>0</xdr:colOff>
      <xdr:row>790</xdr:row>
      <xdr:rowOff>87630</xdr:rowOff>
    </xdr:to>
    <xdr:cxnSp macro="">
      <xdr:nvCxnSpPr>
        <xdr:cNvPr id="60" name="Conector reto 59">
          <a:extLst>
            <a:ext uri="{FF2B5EF4-FFF2-40B4-BE49-F238E27FC236}">
              <a16:creationId xmlns:a16="http://schemas.microsoft.com/office/drawing/2014/main" id="{F70C9940-F9C2-4FC4-9414-892B9285C0B3}"/>
            </a:ext>
          </a:extLst>
        </xdr:cNvPr>
        <xdr:cNvCxnSpPr/>
      </xdr:nvCxnSpPr>
      <xdr:spPr>
        <a:xfrm>
          <a:off x="104775" y="65714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797</xdr:row>
      <xdr:rowOff>87630</xdr:rowOff>
    </xdr:from>
    <xdr:to>
      <xdr:col>9</xdr:col>
      <xdr:colOff>0</xdr:colOff>
      <xdr:row>797</xdr:row>
      <xdr:rowOff>87630</xdr:rowOff>
    </xdr:to>
    <xdr:cxnSp macro="">
      <xdr:nvCxnSpPr>
        <xdr:cNvPr id="61" name="Conector reto 60">
          <a:extLst>
            <a:ext uri="{FF2B5EF4-FFF2-40B4-BE49-F238E27FC236}">
              <a16:creationId xmlns:a16="http://schemas.microsoft.com/office/drawing/2014/main" id="{4C60F21D-46C9-42B0-8915-58898705294C}"/>
            </a:ext>
          </a:extLst>
        </xdr:cNvPr>
        <xdr:cNvCxnSpPr/>
      </xdr:nvCxnSpPr>
      <xdr:spPr>
        <a:xfrm>
          <a:off x="104775" y="67924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804</xdr:row>
      <xdr:rowOff>87630</xdr:rowOff>
    </xdr:from>
    <xdr:to>
      <xdr:col>9</xdr:col>
      <xdr:colOff>0</xdr:colOff>
      <xdr:row>804</xdr:row>
      <xdr:rowOff>87630</xdr:rowOff>
    </xdr:to>
    <xdr:cxnSp macro="">
      <xdr:nvCxnSpPr>
        <xdr:cNvPr id="62" name="Conector reto 61">
          <a:extLst>
            <a:ext uri="{FF2B5EF4-FFF2-40B4-BE49-F238E27FC236}">
              <a16:creationId xmlns:a16="http://schemas.microsoft.com/office/drawing/2014/main" id="{E774C6D8-C966-4D2C-9457-D0BEADB84CC4}"/>
            </a:ext>
          </a:extLst>
        </xdr:cNvPr>
        <xdr:cNvCxnSpPr/>
      </xdr:nvCxnSpPr>
      <xdr:spPr>
        <a:xfrm>
          <a:off x="104775" y="70134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813</xdr:row>
      <xdr:rowOff>87630</xdr:rowOff>
    </xdr:from>
    <xdr:to>
      <xdr:col>9</xdr:col>
      <xdr:colOff>0</xdr:colOff>
      <xdr:row>813</xdr:row>
      <xdr:rowOff>87630</xdr:rowOff>
    </xdr:to>
    <xdr:cxnSp macro="">
      <xdr:nvCxnSpPr>
        <xdr:cNvPr id="63" name="Conector reto 62">
          <a:extLst>
            <a:ext uri="{FF2B5EF4-FFF2-40B4-BE49-F238E27FC236}">
              <a16:creationId xmlns:a16="http://schemas.microsoft.com/office/drawing/2014/main" id="{4030F7A8-A2E3-4E56-ABD3-CE51C0B68240}"/>
            </a:ext>
          </a:extLst>
        </xdr:cNvPr>
        <xdr:cNvCxnSpPr/>
      </xdr:nvCxnSpPr>
      <xdr:spPr>
        <a:xfrm>
          <a:off x="104775" y="72344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820</xdr:row>
      <xdr:rowOff>87630</xdr:rowOff>
    </xdr:from>
    <xdr:to>
      <xdr:col>9</xdr:col>
      <xdr:colOff>0</xdr:colOff>
      <xdr:row>820</xdr:row>
      <xdr:rowOff>87630</xdr:rowOff>
    </xdr:to>
    <xdr:cxnSp macro="">
      <xdr:nvCxnSpPr>
        <xdr:cNvPr id="64" name="Conector reto 63">
          <a:extLst>
            <a:ext uri="{FF2B5EF4-FFF2-40B4-BE49-F238E27FC236}">
              <a16:creationId xmlns:a16="http://schemas.microsoft.com/office/drawing/2014/main" id="{ECE006EA-85F8-4B50-8F07-FCAE8BEC5E52}"/>
            </a:ext>
          </a:extLst>
        </xdr:cNvPr>
        <xdr:cNvCxnSpPr/>
      </xdr:nvCxnSpPr>
      <xdr:spPr>
        <a:xfrm>
          <a:off x="104775" y="74554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827</xdr:row>
      <xdr:rowOff>87630</xdr:rowOff>
    </xdr:from>
    <xdr:to>
      <xdr:col>9</xdr:col>
      <xdr:colOff>0</xdr:colOff>
      <xdr:row>827</xdr:row>
      <xdr:rowOff>87630</xdr:rowOff>
    </xdr:to>
    <xdr:cxnSp macro="">
      <xdr:nvCxnSpPr>
        <xdr:cNvPr id="65" name="Conector reto 64">
          <a:extLst>
            <a:ext uri="{FF2B5EF4-FFF2-40B4-BE49-F238E27FC236}">
              <a16:creationId xmlns:a16="http://schemas.microsoft.com/office/drawing/2014/main" id="{18142F9A-A0C7-4294-9C43-885FF3447E4B}"/>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836</xdr:row>
      <xdr:rowOff>87630</xdr:rowOff>
    </xdr:from>
    <xdr:to>
      <xdr:col>9</xdr:col>
      <xdr:colOff>0</xdr:colOff>
      <xdr:row>836</xdr:row>
      <xdr:rowOff>87630</xdr:rowOff>
    </xdr:to>
    <xdr:cxnSp macro="">
      <xdr:nvCxnSpPr>
        <xdr:cNvPr id="66" name="Conector reto 65">
          <a:extLst>
            <a:ext uri="{FF2B5EF4-FFF2-40B4-BE49-F238E27FC236}">
              <a16:creationId xmlns:a16="http://schemas.microsoft.com/office/drawing/2014/main" id="{AF84274F-F377-48CB-B529-EE830C6AA839}"/>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845</xdr:row>
      <xdr:rowOff>87630</xdr:rowOff>
    </xdr:from>
    <xdr:to>
      <xdr:col>9</xdr:col>
      <xdr:colOff>0</xdr:colOff>
      <xdr:row>845</xdr:row>
      <xdr:rowOff>87630</xdr:rowOff>
    </xdr:to>
    <xdr:cxnSp macro="">
      <xdr:nvCxnSpPr>
        <xdr:cNvPr id="67" name="Conector reto 66">
          <a:extLst>
            <a:ext uri="{FF2B5EF4-FFF2-40B4-BE49-F238E27FC236}">
              <a16:creationId xmlns:a16="http://schemas.microsoft.com/office/drawing/2014/main" id="{27A52927-1CA6-4BE0-ABB2-D4F94DB7F71D}"/>
            </a:ext>
          </a:extLst>
        </xdr:cNvPr>
        <xdr:cNvCxnSpPr/>
      </xdr:nvCxnSpPr>
      <xdr:spPr>
        <a:xfrm>
          <a:off x="104775" y="14889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851</xdr:row>
      <xdr:rowOff>87630</xdr:rowOff>
    </xdr:from>
    <xdr:to>
      <xdr:col>9</xdr:col>
      <xdr:colOff>0</xdr:colOff>
      <xdr:row>851</xdr:row>
      <xdr:rowOff>87630</xdr:rowOff>
    </xdr:to>
    <xdr:cxnSp macro="">
      <xdr:nvCxnSpPr>
        <xdr:cNvPr id="68" name="Conector reto 67">
          <a:extLst>
            <a:ext uri="{FF2B5EF4-FFF2-40B4-BE49-F238E27FC236}">
              <a16:creationId xmlns:a16="http://schemas.microsoft.com/office/drawing/2014/main" id="{036F0D01-6001-45DF-9ECB-328D24F38CDD}"/>
            </a:ext>
          </a:extLst>
        </xdr:cNvPr>
        <xdr:cNvCxnSpPr/>
      </xdr:nvCxnSpPr>
      <xdr:spPr>
        <a:xfrm>
          <a:off x="104775" y="17099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859</xdr:row>
      <xdr:rowOff>87630</xdr:rowOff>
    </xdr:from>
    <xdr:to>
      <xdr:col>9</xdr:col>
      <xdr:colOff>0</xdr:colOff>
      <xdr:row>859</xdr:row>
      <xdr:rowOff>87630</xdr:rowOff>
    </xdr:to>
    <xdr:cxnSp macro="">
      <xdr:nvCxnSpPr>
        <xdr:cNvPr id="69" name="Conector reto 68">
          <a:extLst>
            <a:ext uri="{FF2B5EF4-FFF2-40B4-BE49-F238E27FC236}">
              <a16:creationId xmlns:a16="http://schemas.microsoft.com/office/drawing/2014/main" id="{842BD007-C6DF-4B7A-B109-D5D421C7F562}"/>
            </a:ext>
          </a:extLst>
        </xdr:cNvPr>
        <xdr:cNvCxnSpPr/>
      </xdr:nvCxnSpPr>
      <xdr:spPr>
        <a:xfrm>
          <a:off x="104775" y="19309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864</xdr:row>
      <xdr:rowOff>87630</xdr:rowOff>
    </xdr:from>
    <xdr:to>
      <xdr:col>9</xdr:col>
      <xdr:colOff>0</xdr:colOff>
      <xdr:row>864</xdr:row>
      <xdr:rowOff>87630</xdr:rowOff>
    </xdr:to>
    <xdr:cxnSp macro="">
      <xdr:nvCxnSpPr>
        <xdr:cNvPr id="70" name="Conector reto 69">
          <a:extLst>
            <a:ext uri="{FF2B5EF4-FFF2-40B4-BE49-F238E27FC236}">
              <a16:creationId xmlns:a16="http://schemas.microsoft.com/office/drawing/2014/main" id="{CC29B280-FD83-423E-8EEB-498A7A5EE561}"/>
            </a:ext>
          </a:extLst>
        </xdr:cNvPr>
        <xdr:cNvCxnSpPr/>
      </xdr:nvCxnSpPr>
      <xdr:spPr>
        <a:xfrm>
          <a:off x="104775" y="21518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874</xdr:row>
      <xdr:rowOff>87630</xdr:rowOff>
    </xdr:from>
    <xdr:to>
      <xdr:col>9</xdr:col>
      <xdr:colOff>0</xdr:colOff>
      <xdr:row>874</xdr:row>
      <xdr:rowOff>87630</xdr:rowOff>
    </xdr:to>
    <xdr:cxnSp macro="">
      <xdr:nvCxnSpPr>
        <xdr:cNvPr id="71" name="Conector reto 70">
          <a:extLst>
            <a:ext uri="{FF2B5EF4-FFF2-40B4-BE49-F238E27FC236}">
              <a16:creationId xmlns:a16="http://schemas.microsoft.com/office/drawing/2014/main" id="{A5665590-B13B-4D49-A65D-6BB1C6FFE902}"/>
            </a:ext>
          </a:extLst>
        </xdr:cNvPr>
        <xdr:cNvCxnSpPr/>
      </xdr:nvCxnSpPr>
      <xdr:spPr>
        <a:xfrm>
          <a:off x="104775" y="23728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882</xdr:row>
      <xdr:rowOff>87630</xdr:rowOff>
    </xdr:from>
    <xdr:to>
      <xdr:col>9</xdr:col>
      <xdr:colOff>0</xdr:colOff>
      <xdr:row>882</xdr:row>
      <xdr:rowOff>87630</xdr:rowOff>
    </xdr:to>
    <xdr:cxnSp macro="">
      <xdr:nvCxnSpPr>
        <xdr:cNvPr id="72" name="Conector reto 71">
          <a:extLst>
            <a:ext uri="{FF2B5EF4-FFF2-40B4-BE49-F238E27FC236}">
              <a16:creationId xmlns:a16="http://schemas.microsoft.com/office/drawing/2014/main" id="{4A823B90-686A-459B-A426-EFBC693D7AAC}"/>
            </a:ext>
          </a:extLst>
        </xdr:cNvPr>
        <xdr:cNvCxnSpPr/>
      </xdr:nvCxnSpPr>
      <xdr:spPr>
        <a:xfrm>
          <a:off x="104775" y="25938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890</xdr:row>
      <xdr:rowOff>87630</xdr:rowOff>
    </xdr:from>
    <xdr:to>
      <xdr:col>9</xdr:col>
      <xdr:colOff>0</xdr:colOff>
      <xdr:row>890</xdr:row>
      <xdr:rowOff>87630</xdr:rowOff>
    </xdr:to>
    <xdr:cxnSp macro="">
      <xdr:nvCxnSpPr>
        <xdr:cNvPr id="73" name="Conector reto 72">
          <a:extLst>
            <a:ext uri="{FF2B5EF4-FFF2-40B4-BE49-F238E27FC236}">
              <a16:creationId xmlns:a16="http://schemas.microsoft.com/office/drawing/2014/main" id="{BBC70887-C4F4-473B-9F0C-5A74AC713811}"/>
            </a:ext>
          </a:extLst>
        </xdr:cNvPr>
        <xdr:cNvCxnSpPr/>
      </xdr:nvCxnSpPr>
      <xdr:spPr>
        <a:xfrm>
          <a:off x="104775" y="28148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900</xdr:row>
      <xdr:rowOff>87630</xdr:rowOff>
    </xdr:from>
    <xdr:to>
      <xdr:col>9</xdr:col>
      <xdr:colOff>0</xdr:colOff>
      <xdr:row>900</xdr:row>
      <xdr:rowOff>87630</xdr:rowOff>
    </xdr:to>
    <xdr:cxnSp macro="">
      <xdr:nvCxnSpPr>
        <xdr:cNvPr id="74" name="Conector reto 73">
          <a:extLst>
            <a:ext uri="{FF2B5EF4-FFF2-40B4-BE49-F238E27FC236}">
              <a16:creationId xmlns:a16="http://schemas.microsoft.com/office/drawing/2014/main" id="{AD08730D-E4E3-4548-86DD-A4FD10AFFA50}"/>
            </a:ext>
          </a:extLst>
        </xdr:cNvPr>
        <xdr:cNvCxnSpPr/>
      </xdr:nvCxnSpPr>
      <xdr:spPr>
        <a:xfrm>
          <a:off x="104775" y="30358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909</xdr:row>
      <xdr:rowOff>87630</xdr:rowOff>
    </xdr:from>
    <xdr:to>
      <xdr:col>9</xdr:col>
      <xdr:colOff>0</xdr:colOff>
      <xdr:row>909</xdr:row>
      <xdr:rowOff>87630</xdr:rowOff>
    </xdr:to>
    <xdr:cxnSp macro="">
      <xdr:nvCxnSpPr>
        <xdr:cNvPr id="75" name="Conector reto 74">
          <a:extLst>
            <a:ext uri="{FF2B5EF4-FFF2-40B4-BE49-F238E27FC236}">
              <a16:creationId xmlns:a16="http://schemas.microsoft.com/office/drawing/2014/main" id="{DE44A1EE-101C-4295-9531-6DA5E1C51D95}"/>
            </a:ext>
          </a:extLst>
        </xdr:cNvPr>
        <xdr:cNvCxnSpPr/>
      </xdr:nvCxnSpPr>
      <xdr:spPr>
        <a:xfrm>
          <a:off x="104775" y="32567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918</xdr:row>
      <xdr:rowOff>87630</xdr:rowOff>
    </xdr:from>
    <xdr:to>
      <xdr:col>9</xdr:col>
      <xdr:colOff>0</xdr:colOff>
      <xdr:row>918</xdr:row>
      <xdr:rowOff>87630</xdr:rowOff>
    </xdr:to>
    <xdr:cxnSp macro="">
      <xdr:nvCxnSpPr>
        <xdr:cNvPr id="76" name="Conector reto 75">
          <a:extLst>
            <a:ext uri="{FF2B5EF4-FFF2-40B4-BE49-F238E27FC236}">
              <a16:creationId xmlns:a16="http://schemas.microsoft.com/office/drawing/2014/main" id="{F964ADBD-1975-4E76-B579-89E55BD1411E}"/>
            </a:ext>
          </a:extLst>
        </xdr:cNvPr>
        <xdr:cNvCxnSpPr/>
      </xdr:nvCxnSpPr>
      <xdr:spPr>
        <a:xfrm>
          <a:off x="104775" y="34777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923</xdr:row>
      <xdr:rowOff>87630</xdr:rowOff>
    </xdr:from>
    <xdr:to>
      <xdr:col>9</xdr:col>
      <xdr:colOff>0</xdr:colOff>
      <xdr:row>923</xdr:row>
      <xdr:rowOff>87630</xdr:rowOff>
    </xdr:to>
    <xdr:cxnSp macro="">
      <xdr:nvCxnSpPr>
        <xdr:cNvPr id="77" name="Conector reto 76">
          <a:extLst>
            <a:ext uri="{FF2B5EF4-FFF2-40B4-BE49-F238E27FC236}">
              <a16:creationId xmlns:a16="http://schemas.microsoft.com/office/drawing/2014/main" id="{51D8311A-BCA1-413A-9173-1AD08A235C84}"/>
            </a:ext>
          </a:extLst>
        </xdr:cNvPr>
        <xdr:cNvCxnSpPr/>
      </xdr:nvCxnSpPr>
      <xdr:spPr>
        <a:xfrm>
          <a:off x="104775" y="36987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929</xdr:row>
      <xdr:rowOff>87630</xdr:rowOff>
    </xdr:from>
    <xdr:to>
      <xdr:col>9</xdr:col>
      <xdr:colOff>0</xdr:colOff>
      <xdr:row>929</xdr:row>
      <xdr:rowOff>87630</xdr:rowOff>
    </xdr:to>
    <xdr:cxnSp macro="">
      <xdr:nvCxnSpPr>
        <xdr:cNvPr id="78" name="Conector reto 77">
          <a:extLst>
            <a:ext uri="{FF2B5EF4-FFF2-40B4-BE49-F238E27FC236}">
              <a16:creationId xmlns:a16="http://schemas.microsoft.com/office/drawing/2014/main" id="{8A6B9987-FCBF-4B54-8522-9663499E05E1}"/>
            </a:ext>
          </a:extLst>
        </xdr:cNvPr>
        <xdr:cNvCxnSpPr/>
      </xdr:nvCxnSpPr>
      <xdr:spPr>
        <a:xfrm>
          <a:off x="104775" y="39197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934</xdr:row>
      <xdr:rowOff>87630</xdr:rowOff>
    </xdr:from>
    <xdr:to>
      <xdr:col>9</xdr:col>
      <xdr:colOff>0</xdr:colOff>
      <xdr:row>934</xdr:row>
      <xdr:rowOff>87630</xdr:rowOff>
    </xdr:to>
    <xdr:cxnSp macro="">
      <xdr:nvCxnSpPr>
        <xdr:cNvPr id="79" name="Conector reto 78">
          <a:extLst>
            <a:ext uri="{FF2B5EF4-FFF2-40B4-BE49-F238E27FC236}">
              <a16:creationId xmlns:a16="http://schemas.microsoft.com/office/drawing/2014/main" id="{BF7095BD-4BC2-48D1-9CB5-A8D66C30A299}"/>
            </a:ext>
          </a:extLst>
        </xdr:cNvPr>
        <xdr:cNvCxnSpPr/>
      </xdr:nvCxnSpPr>
      <xdr:spPr>
        <a:xfrm>
          <a:off x="104775" y="41407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942</xdr:row>
      <xdr:rowOff>87630</xdr:rowOff>
    </xdr:from>
    <xdr:to>
      <xdr:col>9</xdr:col>
      <xdr:colOff>0</xdr:colOff>
      <xdr:row>942</xdr:row>
      <xdr:rowOff>87630</xdr:rowOff>
    </xdr:to>
    <xdr:cxnSp macro="">
      <xdr:nvCxnSpPr>
        <xdr:cNvPr id="80" name="Conector reto 79">
          <a:extLst>
            <a:ext uri="{FF2B5EF4-FFF2-40B4-BE49-F238E27FC236}">
              <a16:creationId xmlns:a16="http://schemas.microsoft.com/office/drawing/2014/main" id="{04459B97-BFDF-4B66-A208-1175089C532C}"/>
            </a:ext>
          </a:extLst>
        </xdr:cNvPr>
        <xdr:cNvCxnSpPr/>
      </xdr:nvCxnSpPr>
      <xdr:spPr>
        <a:xfrm>
          <a:off x="104775" y="43616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949</xdr:row>
      <xdr:rowOff>87630</xdr:rowOff>
    </xdr:from>
    <xdr:to>
      <xdr:col>9</xdr:col>
      <xdr:colOff>0</xdr:colOff>
      <xdr:row>949</xdr:row>
      <xdr:rowOff>87630</xdr:rowOff>
    </xdr:to>
    <xdr:cxnSp macro="">
      <xdr:nvCxnSpPr>
        <xdr:cNvPr id="81" name="Conector reto 80">
          <a:extLst>
            <a:ext uri="{FF2B5EF4-FFF2-40B4-BE49-F238E27FC236}">
              <a16:creationId xmlns:a16="http://schemas.microsoft.com/office/drawing/2014/main" id="{C2D08D5B-7AB3-4773-86D3-95AA7C8E98F8}"/>
            </a:ext>
          </a:extLst>
        </xdr:cNvPr>
        <xdr:cNvCxnSpPr/>
      </xdr:nvCxnSpPr>
      <xdr:spPr>
        <a:xfrm>
          <a:off x="104775" y="45826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956</xdr:row>
      <xdr:rowOff>87630</xdr:rowOff>
    </xdr:from>
    <xdr:to>
      <xdr:col>9</xdr:col>
      <xdr:colOff>0</xdr:colOff>
      <xdr:row>956</xdr:row>
      <xdr:rowOff>87630</xdr:rowOff>
    </xdr:to>
    <xdr:cxnSp macro="">
      <xdr:nvCxnSpPr>
        <xdr:cNvPr id="82" name="Conector reto 81">
          <a:extLst>
            <a:ext uri="{FF2B5EF4-FFF2-40B4-BE49-F238E27FC236}">
              <a16:creationId xmlns:a16="http://schemas.microsoft.com/office/drawing/2014/main" id="{D2152099-890E-4501-829D-130FEF4CBFE0}"/>
            </a:ext>
          </a:extLst>
        </xdr:cNvPr>
        <xdr:cNvCxnSpPr/>
      </xdr:nvCxnSpPr>
      <xdr:spPr>
        <a:xfrm>
          <a:off x="104775" y="48036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963</xdr:row>
      <xdr:rowOff>87630</xdr:rowOff>
    </xdr:from>
    <xdr:to>
      <xdr:col>9</xdr:col>
      <xdr:colOff>0</xdr:colOff>
      <xdr:row>963</xdr:row>
      <xdr:rowOff>87630</xdr:rowOff>
    </xdr:to>
    <xdr:cxnSp macro="">
      <xdr:nvCxnSpPr>
        <xdr:cNvPr id="83" name="Conector reto 82">
          <a:extLst>
            <a:ext uri="{FF2B5EF4-FFF2-40B4-BE49-F238E27FC236}">
              <a16:creationId xmlns:a16="http://schemas.microsoft.com/office/drawing/2014/main" id="{BA49EED1-5536-43DC-BF30-3DF306D19129}"/>
            </a:ext>
          </a:extLst>
        </xdr:cNvPr>
        <xdr:cNvCxnSpPr/>
      </xdr:nvCxnSpPr>
      <xdr:spPr>
        <a:xfrm>
          <a:off x="104775" y="50246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970</xdr:row>
      <xdr:rowOff>87630</xdr:rowOff>
    </xdr:from>
    <xdr:to>
      <xdr:col>9</xdr:col>
      <xdr:colOff>0</xdr:colOff>
      <xdr:row>970</xdr:row>
      <xdr:rowOff>87630</xdr:rowOff>
    </xdr:to>
    <xdr:cxnSp macro="">
      <xdr:nvCxnSpPr>
        <xdr:cNvPr id="84" name="Conector reto 83">
          <a:extLst>
            <a:ext uri="{FF2B5EF4-FFF2-40B4-BE49-F238E27FC236}">
              <a16:creationId xmlns:a16="http://schemas.microsoft.com/office/drawing/2014/main" id="{3844485D-C4DD-4961-A392-A1772A1C2AFC}"/>
            </a:ext>
          </a:extLst>
        </xdr:cNvPr>
        <xdr:cNvCxnSpPr/>
      </xdr:nvCxnSpPr>
      <xdr:spPr>
        <a:xfrm>
          <a:off x="104775" y="52456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977</xdr:row>
      <xdr:rowOff>87630</xdr:rowOff>
    </xdr:from>
    <xdr:to>
      <xdr:col>9</xdr:col>
      <xdr:colOff>0</xdr:colOff>
      <xdr:row>977</xdr:row>
      <xdr:rowOff>87630</xdr:rowOff>
    </xdr:to>
    <xdr:cxnSp macro="">
      <xdr:nvCxnSpPr>
        <xdr:cNvPr id="85" name="Conector reto 84">
          <a:extLst>
            <a:ext uri="{FF2B5EF4-FFF2-40B4-BE49-F238E27FC236}">
              <a16:creationId xmlns:a16="http://schemas.microsoft.com/office/drawing/2014/main" id="{DE710E27-CC06-4B64-A1ED-02492051FA39}"/>
            </a:ext>
          </a:extLst>
        </xdr:cNvPr>
        <xdr:cNvCxnSpPr/>
      </xdr:nvCxnSpPr>
      <xdr:spPr>
        <a:xfrm>
          <a:off x="104775" y="54665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984</xdr:row>
      <xdr:rowOff>87630</xdr:rowOff>
    </xdr:from>
    <xdr:to>
      <xdr:col>9</xdr:col>
      <xdr:colOff>0</xdr:colOff>
      <xdr:row>984</xdr:row>
      <xdr:rowOff>87630</xdr:rowOff>
    </xdr:to>
    <xdr:cxnSp macro="">
      <xdr:nvCxnSpPr>
        <xdr:cNvPr id="86" name="Conector reto 85">
          <a:extLst>
            <a:ext uri="{FF2B5EF4-FFF2-40B4-BE49-F238E27FC236}">
              <a16:creationId xmlns:a16="http://schemas.microsoft.com/office/drawing/2014/main" id="{0056E3CA-CA6E-4716-8086-075BCD8B55DB}"/>
            </a:ext>
          </a:extLst>
        </xdr:cNvPr>
        <xdr:cNvCxnSpPr/>
      </xdr:nvCxnSpPr>
      <xdr:spPr>
        <a:xfrm>
          <a:off x="104775" y="56875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991</xdr:row>
      <xdr:rowOff>87630</xdr:rowOff>
    </xdr:from>
    <xdr:to>
      <xdr:col>9</xdr:col>
      <xdr:colOff>0</xdr:colOff>
      <xdr:row>991</xdr:row>
      <xdr:rowOff>87630</xdr:rowOff>
    </xdr:to>
    <xdr:cxnSp macro="">
      <xdr:nvCxnSpPr>
        <xdr:cNvPr id="87" name="Conector reto 86">
          <a:extLst>
            <a:ext uri="{FF2B5EF4-FFF2-40B4-BE49-F238E27FC236}">
              <a16:creationId xmlns:a16="http://schemas.microsoft.com/office/drawing/2014/main" id="{EB6803C2-38FF-4684-B232-F4DF0CCAEDFC}"/>
            </a:ext>
          </a:extLst>
        </xdr:cNvPr>
        <xdr:cNvCxnSpPr/>
      </xdr:nvCxnSpPr>
      <xdr:spPr>
        <a:xfrm>
          <a:off x="104775" y="59085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999</xdr:row>
      <xdr:rowOff>87630</xdr:rowOff>
    </xdr:from>
    <xdr:to>
      <xdr:col>9</xdr:col>
      <xdr:colOff>0</xdr:colOff>
      <xdr:row>999</xdr:row>
      <xdr:rowOff>87630</xdr:rowOff>
    </xdr:to>
    <xdr:cxnSp macro="">
      <xdr:nvCxnSpPr>
        <xdr:cNvPr id="88" name="Conector reto 87">
          <a:extLst>
            <a:ext uri="{FF2B5EF4-FFF2-40B4-BE49-F238E27FC236}">
              <a16:creationId xmlns:a16="http://schemas.microsoft.com/office/drawing/2014/main" id="{21EB554F-8513-4ED6-BA12-9A9534CA9B04}"/>
            </a:ext>
          </a:extLst>
        </xdr:cNvPr>
        <xdr:cNvCxnSpPr/>
      </xdr:nvCxnSpPr>
      <xdr:spPr>
        <a:xfrm>
          <a:off x="104775" y="61295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1006</xdr:row>
      <xdr:rowOff>87630</xdr:rowOff>
    </xdr:from>
    <xdr:to>
      <xdr:col>9</xdr:col>
      <xdr:colOff>0</xdr:colOff>
      <xdr:row>1006</xdr:row>
      <xdr:rowOff>87630</xdr:rowOff>
    </xdr:to>
    <xdr:cxnSp macro="">
      <xdr:nvCxnSpPr>
        <xdr:cNvPr id="89" name="Conector reto 88">
          <a:extLst>
            <a:ext uri="{FF2B5EF4-FFF2-40B4-BE49-F238E27FC236}">
              <a16:creationId xmlns:a16="http://schemas.microsoft.com/office/drawing/2014/main" id="{B25F5C7C-55AF-4E8D-8A20-8BED4C8A780E}"/>
            </a:ext>
          </a:extLst>
        </xdr:cNvPr>
        <xdr:cNvCxnSpPr/>
      </xdr:nvCxnSpPr>
      <xdr:spPr>
        <a:xfrm>
          <a:off x="104775" y="63505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1023</xdr:row>
      <xdr:rowOff>87630</xdr:rowOff>
    </xdr:from>
    <xdr:to>
      <xdr:col>9</xdr:col>
      <xdr:colOff>0</xdr:colOff>
      <xdr:row>1023</xdr:row>
      <xdr:rowOff>87630</xdr:rowOff>
    </xdr:to>
    <xdr:cxnSp macro="">
      <xdr:nvCxnSpPr>
        <xdr:cNvPr id="90" name="Conector reto 89">
          <a:extLst>
            <a:ext uri="{FF2B5EF4-FFF2-40B4-BE49-F238E27FC236}">
              <a16:creationId xmlns:a16="http://schemas.microsoft.com/office/drawing/2014/main" id="{C19FB382-9998-466B-B089-B5F6B2984424}"/>
            </a:ext>
          </a:extLst>
        </xdr:cNvPr>
        <xdr:cNvCxnSpPr/>
      </xdr:nvCxnSpPr>
      <xdr:spPr>
        <a:xfrm>
          <a:off x="104775" y="65714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1030</xdr:row>
      <xdr:rowOff>87630</xdr:rowOff>
    </xdr:from>
    <xdr:to>
      <xdr:col>9</xdr:col>
      <xdr:colOff>0</xdr:colOff>
      <xdr:row>1030</xdr:row>
      <xdr:rowOff>87630</xdr:rowOff>
    </xdr:to>
    <xdr:cxnSp macro="">
      <xdr:nvCxnSpPr>
        <xdr:cNvPr id="91" name="Conector reto 90">
          <a:extLst>
            <a:ext uri="{FF2B5EF4-FFF2-40B4-BE49-F238E27FC236}">
              <a16:creationId xmlns:a16="http://schemas.microsoft.com/office/drawing/2014/main" id="{599E16B4-9222-4E1D-8CAE-35BF60D6043F}"/>
            </a:ext>
          </a:extLst>
        </xdr:cNvPr>
        <xdr:cNvCxnSpPr/>
      </xdr:nvCxnSpPr>
      <xdr:spPr>
        <a:xfrm>
          <a:off x="104775" y="67924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1037</xdr:row>
      <xdr:rowOff>87630</xdr:rowOff>
    </xdr:from>
    <xdr:to>
      <xdr:col>9</xdr:col>
      <xdr:colOff>0</xdr:colOff>
      <xdr:row>1037</xdr:row>
      <xdr:rowOff>87630</xdr:rowOff>
    </xdr:to>
    <xdr:cxnSp macro="">
      <xdr:nvCxnSpPr>
        <xdr:cNvPr id="92" name="Conector reto 91">
          <a:extLst>
            <a:ext uri="{FF2B5EF4-FFF2-40B4-BE49-F238E27FC236}">
              <a16:creationId xmlns:a16="http://schemas.microsoft.com/office/drawing/2014/main" id="{1C4D683C-6FEB-44B7-B577-A4272D75D4A1}"/>
            </a:ext>
          </a:extLst>
        </xdr:cNvPr>
        <xdr:cNvCxnSpPr/>
      </xdr:nvCxnSpPr>
      <xdr:spPr>
        <a:xfrm>
          <a:off x="104775" y="70134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1044</xdr:row>
      <xdr:rowOff>87630</xdr:rowOff>
    </xdr:from>
    <xdr:to>
      <xdr:col>9</xdr:col>
      <xdr:colOff>0</xdr:colOff>
      <xdr:row>1044</xdr:row>
      <xdr:rowOff>87630</xdr:rowOff>
    </xdr:to>
    <xdr:cxnSp macro="">
      <xdr:nvCxnSpPr>
        <xdr:cNvPr id="93" name="Conector reto 92">
          <a:extLst>
            <a:ext uri="{FF2B5EF4-FFF2-40B4-BE49-F238E27FC236}">
              <a16:creationId xmlns:a16="http://schemas.microsoft.com/office/drawing/2014/main" id="{8AA45748-0AF5-44A3-95C6-F8190C6CF0FB}"/>
            </a:ext>
          </a:extLst>
        </xdr:cNvPr>
        <xdr:cNvCxnSpPr/>
      </xdr:nvCxnSpPr>
      <xdr:spPr>
        <a:xfrm>
          <a:off x="104775" y="72344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1054</xdr:row>
      <xdr:rowOff>87630</xdr:rowOff>
    </xdr:from>
    <xdr:to>
      <xdr:col>9</xdr:col>
      <xdr:colOff>0</xdr:colOff>
      <xdr:row>1054</xdr:row>
      <xdr:rowOff>87630</xdr:rowOff>
    </xdr:to>
    <xdr:cxnSp macro="">
      <xdr:nvCxnSpPr>
        <xdr:cNvPr id="94" name="Conector reto 93">
          <a:extLst>
            <a:ext uri="{FF2B5EF4-FFF2-40B4-BE49-F238E27FC236}">
              <a16:creationId xmlns:a16="http://schemas.microsoft.com/office/drawing/2014/main" id="{1D27C4AB-8B99-4DEF-9B85-B13BACC54C41}"/>
            </a:ext>
          </a:extLst>
        </xdr:cNvPr>
        <xdr:cNvCxnSpPr/>
      </xdr:nvCxnSpPr>
      <xdr:spPr>
        <a:xfrm>
          <a:off x="104775" y="74554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1062</xdr:row>
      <xdr:rowOff>87630</xdr:rowOff>
    </xdr:from>
    <xdr:to>
      <xdr:col>9</xdr:col>
      <xdr:colOff>0</xdr:colOff>
      <xdr:row>1062</xdr:row>
      <xdr:rowOff>87630</xdr:rowOff>
    </xdr:to>
    <xdr:cxnSp macro="">
      <xdr:nvCxnSpPr>
        <xdr:cNvPr id="95" name="Conector reto 94">
          <a:extLst>
            <a:ext uri="{FF2B5EF4-FFF2-40B4-BE49-F238E27FC236}">
              <a16:creationId xmlns:a16="http://schemas.microsoft.com/office/drawing/2014/main" id="{E141D71C-8D2F-4158-8EC4-CDBBFCA18647}"/>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1070</xdr:row>
      <xdr:rowOff>87630</xdr:rowOff>
    </xdr:from>
    <xdr:to>
      <xdr:col>9</xdr:col>
      <xdr:colOff>0</xdr:colOff>
      <xdr:row>1070</xdr:row>
      <xdr:rowOff>87630</xdr:rowOff>
    </xdr:to>
    <xdr:cxnSp macro="">
      <xdr:nvCxnSpPr>
        <xdr:cNvPr id="96" name="Conector reto 95">
          <a:extLst>
            <a:ext uri="{FF2B5EF4-FFF2-40B4-BE49-F238E27FC236}">
              <a16:creationId xmlns:a16="http://schemas.microsoft.com/office/drawing/2014/main" id="{3A91B00C-3013-4C40-9601-A6E30F845CB4}"/>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1078</xdr:row>
      <xdr:rowOff>87630</xdr:rowOff>
    </xdr:from>
    <xdr:to>
      <xdr:col>9</xdr:col>
      <xdr:colOff>0</xdr:colOff>
      <xdr:row>1078</xdr:row>
      <xdr:rowOff>87630</xdr:rowOff>
    </xdr:to>
    <xdr:cxnSp macro="">
      <xdr:nvCxnSpPr>
        <xdr:cNvPr id="97" name="Conector reto 96">
          <a:extLst>
            <a:ext uri="{FF2B5EF4-FFF2-40B4-BE49-F238E27FC236}">
              <a16:creationId xmlns:a16="http://schemas.microsoft.com/office/drawing/2014/main" id="{6F72B381-8441-486D-85EA-38CAB99B6E1C}"/>
            </a:ext>
          </a:extLst>
        </xdr:cNvPr>
        <xdr:cNvCxnSpPr/>
      </xdr:nvCxnSpPr>
      <xdr:spPr>
        <a:xfrm>
          <a:off x="104775" y="14889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1086</xdr:row>
      <xdr:rowOff>87630</xdr:rowOff>
    </xdr:from>
    <xdr:to>
      <xdr:col>9</xdr:col>
      <xdr:colOff>0</xdr:colOff>
      <xdr:row>1086</xdr:row>
      <xdr:rowOff>87630</xdr:rowOff>
    </xdr:to>
    <xdr:cxnSp macro="">
      <xdr:nvCxnSpPr>
        <xdr:cNvPr id="98" name="Conector reto 97">
          <a:extLst>
            <a:ext uri="{FF2B5EF4-FFF2-40B4-BE49-F238E27FC236}">
              <a16:creationId xmlns:a16="http://schemas.microsoft.com/office/drawing/2014/main" id="{23E0FCB5-93EF-42B2-BB53-758AD23AA78C}"/>
            </a:ext>
          </a:extLst>
        </xdr:cNvPr>
        <xdr:cNvCxnSpPr/>
      </xdr:nvCxnSpPr>
      <xdr:spPr>
        <a:xfrm>
          <a:off x="104775" y="17099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1094</xdr:row>
      <xdr:rowOff>87630</xdr:rowOff>
    </xdr:from>
    <xdr:to>
      <xdr:col>9</xdr:col>
      <xdr:colOff>0</xdr:colOff>
      <xdr:row>1094</xdr:row>
      <xdr:rowOff>87630</xdr:rowOff>
    </xdr:to>
    <xdr:cxnSp macro="">
      <xdr:nvCxnSpPr>
        <xdr:cNvPr id="99" name="Conector reto 98">
          <a:extLst>
            <a:ext uri="{FF2B5EF4-FFF2-40B4-BE49-F238E27FC236}">
              <a16:creationId xmlns:a16="http://schemas.microsoft.com/office/drawing/2014/main" id="{DEF41940-F9D0-4A19-B336-F1E210BBA79B}"/>
            </a:ext>
          </a:extLst>
        </xdr:cNvPr>
        <xdr:cNvCxnSpPr/>
      </xdr:nvCxnSpPr>
      <xdr:spPr>
        <a:xfrm>
          <a:off x="104775" y="19309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1102</xdr:row>
      <xdr:rowOff>87630</xdr:rowOff>
    </xdr:from>
    <xdr:to>
      <xdr:col>9</xdr:col>
      <xdr:colOff>0</xdr:colOff>
      <xdr:row>1102</xdr:row>
      <xdr:rowOff>87630</xdr:rowOff>
    </xdr:to>
    <xdr:cxnSp macro="">
      <xdr:nvCxnSpPr>
        <xdr:cNvPr id="100" name="Conector reto 99">
          <a:extLst>
            <a:ext uri="{FF2B5EF4-FFF2-40B4-BE49-F238E27FC236}">
              <a16:creationId xmlns:a16="http://schemas.microsoft.com/office/drawing/2014/main" id="{9A26CDC8-B239-44C0-BBD4-D7142A5EB0F4}"/>
            </a:ext>
          </a:extLst>
        </xdr:cNvPr>
        <xdr:cNvCxnSpPr/>
      </xdr:nvCxnSpPr>
      <xdr:spPr>
        <a:xfrm>
          <a:off x="104775" y="21518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1110</xdr:row>
      <xdr:rowOff>87630</xdr:rowOff>
    </xdr:from>
    <xdr:to>
      <xdr:col>9</xdr:col>
      <xdr:colOff>0</xdr:colOff>
      <xdr:row>1110</xdr:row>
      <xdr:rowOff>87630</xdr:rowOff>
    </xdr:to>
    <xdr:cxnSp macro="">
      <xdr:nvCxnSpPr>
        <xdr:cNvPr id="101" name="Conector reto 100">
          <a:extLst>
            <a:ext uri="{FF2B5EF4-FFF2-40B4-BE49-F238E27FC236}">
              <a16:creationId xmlns:a16="http://schemas.microsoft.com/office/drawing/2014/main" id="{69132398-A83C-4630-A4BD-C41917159210}"/>
            </a:ext>
          </a:extLst>
        </xdr:cNvPr>
        <xdr:cNvCxnSpPr/>
      </xdr:nvCxnSpPr>
      <xdr:spPr>
        <a:xfrm>
          <a:off x="104775" y="23728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1118</xdr:row>
      <xdr:rowOff>87630</xdr:rowOff>
    </xdr:from>
    <xdr:to>
      <xdr:col>9</xdr:col>
      <xdr:colOff>0</xdr:colOff>
      <xdr:row>1118</xdr:row>
      <xdr:rowOff>87630</xdr:rowOff>
    </xdr:to>
    <xdr:cxnSp macro="">
      <xdr:nvCxnSpPr>
        <xdr:cNvPr id="102" name="Conector reto 101">
          <a:extLst>
            <a:ext uri="{FF2B5EF4-FFF2-40B4-BE49-F238E27FC236}">
              <a16:creationId xmlns:a16="http://schemas.microsoft.com/office/drawing/2014/main" id="{7C9B6EBF-E1C8-4C5D-96E8-3B14A7D52767}"/>
            </a:ext>
          </a:extLst>
        </xdr:cNvPr>
        <xdr:cNvCxnSpPr/>
      </xdr:nvCxnSpPr>
      <xdr:spPr>
        <a:xfrm>
          <a:off x="104775" y="25938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1126</xdr:row>
      <xdr:rowOff>87630</xdr:rowOff>
    </xdr:from>
    <xdr:to>
      <xdr:col>9</xdr:col>
      <xdr:colOff>0</xdr:colOff>
      <xdr:row>1126</xdr:row>
      <xdr:rowOff>87630</xdr:rowOff>
    </xdr:to>
    <xdr:cxnSp macro="">
      <xdr:nvCxnSpPr>
        <xdr:cNvPr id="103" name="Conector reto 102">
          <a:extLst>
            <a:ext uri="{FF2B5EF4-FFF2-40B4-BE49-F238E27FC236}">
              <a16:creationId xmlns:a16="http://schemas.microsoft.com/office/drawing/2014/main" id="{5DFE6292-3D38-4282-9CA3-34F11E2D09C4}"/>
            </a:ext>
          </a:extLst>
        </xdr:cNvPr>
        <xdr:cNvCxnSpPr/>
      </xdr:nvCxnSpPr>
      <xdr:spPr>
        <a:xfrm>
          <a:off x="104775" y="28148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1134</xdr:row>
      <xdr:rowOff>87630</xdr:rowOff>
    </xdr:from>
    <xdr:to>
      <xdr:col>9</xdr:col>
      <xdr:colOff>0</xdr:colOff>
      <xdr:row>1134</xdr:row>
      <xdr:rowOff>87630</xdr:rowOff>
    </xdr:to>
    <xdr:cxnSp macro="">
      <xdr:nvCxnSpPr>
        <xdr:cNvPr id="104" name="Conector reto 103">
          <a:extLst>
            <a:ext uri="{FF2B5EF4-FFF2-40B4-BE49-F238E27FC236}">
              <a16:creationId xmlns:a16="http://schemas.microsoft.com/office/drawing/2014/main" id="{FFB8D484-B4F0-46B0-B8BE-804CF60A7A41}"/>
            </a:ext>
          </a:extLst>
        </xdr:cNvPr>
        <xdr:cNvCxnSpPr/>
      </xdr:nvCxnSpPr>
      <xdr:spPr>
        <a:xfrm>
          <a:off x="104775" y="30358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1142</xdr:row>
      <xdr:rowOff>87630</xdr:rowOff>
    </xdr:from>
    <xdr:to>
      <xdr:col>9</xdr:col>
      <xdr:colOff>0</xdr:colOff>
      <xdr:row>1142</xdr:row>
      <xdr:rowOff>87630</xdr:rowOff>
    </xdr:to>
    <xdr:cxnSp macro="">
      <xdr:nvCxnSpPr>
        <xdr:cNvPr id="105" name="Conector reto 104">
          <a:extLst>
            <a:ext uri="{FF2B5EF4-FFF2-40B4-BE49-F238E27FC236}">
              <a16:creationId xmlns:a16="http://schemas.microsoft.com/office/drawing/2014/main" id="{C564B9F0-3EB2-4ABE-A9C7-2CC873B94398}"/>
            </a:ext>
          </a:extLst>
        </xdr:cNvPr>
        <xdr:cNvCxnSpPr/>
      </xdr:nvCxnSpPr>
      <xdr:spPr>
        <a:xfrm>
          <a:off x="104775" y="32567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1150</xdr:row>
      <xdr:rowOff>87630</xdr:rowOff>
    </xdr:from>
    <xdr:to>
      <xdr:col>9</xdr:col>
      <xdr:colOff>0</xdr:colOff>
      <xdr:row>1150</xdr:row>
      <xdr:rowOff>87630</xdr:rowOff>
    </xdr:to>
    <xdr:cxnSp macro="">
      <xdr:nvCxnSpPr>
        <xdr:cNvPr id="106" name="Conector reto 105">
          <a:extLst>
            <a:ext uri="{FF2B5EF4-FFF2-40B4-BE49-F238E27FC236}">
              <a16:creationId xmlns:a16="http://schemas.microsoft.com/office/drawing/2014/main" id="{139ECE9D-CCBB-48DF-B0AD-9122133576DE}"/>
            </a:ext>
          </a:extLst>
        </xdr:cNvPr>
        <xdr:cNvCxnSpPr/>
      </xdr:nvCxnSpPr>
      <xdr:spPr>
        <a:xfrm>
          <a:off x="104775" y="34777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1157</xdr:row>
      <xdr:rowOff>87630</xdr:rowOff>
    </xdr:from>
    <xdr:to>
      <xdr:col>9</xdr:col>
      <xdr:colOff>0</xdr:colOff>
      <xdr:row>1157</xdr:row>
      <xdr:rowOff>87630</xdr:rowOff>
    </xdr:to>
    <xdr:cxnSp macro="">
      <xdr:nvCxnSpPr>
        <xdr:cNvPr id="107" name="Conector reto 106">
          <a:extLst>
            <a:ext uri="{FF2B5EF4-FFF2-40B4-BE49-F238E27FC236}">
              <a16:creationId xmlns:a16="http://schemas.microsoft.com/office/drawing/2014/main" id="{9ED28015-B780-42CF-83B9-7A330C77DF23}"/>
            </a:ext>
          </a:extLst>
        </xdr:cNvPr>
        <xdr:cNvCxnSpPr/>
      </xdr:nvCxnSpPr>
      <xdr:spPr>
        <a:xfrm>
          <a:off x="104775" y="36987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1164</xdr:row>
      <xdr:rowOff>87630</xdr:rowOff>
    </xdr:from>
    <xdr:to>
      <xdr:col>9</xdr:col>
      <xdr:colOff>0</xdr:colOff>
      <xdr:row>1164</xdr:row>
      <xdr:rowOff>87630</xdr:rowOff>
    </xdr:to>
    <xdr:cxnSp macro="">
      <xdr:nvCxnSpPr>
        <xdr:cNvPr id="108" name="Conector reto 107">
          <a:extLst>
            <a:ext uri="{FF2B5EF4-FFF2-40B4-BE49-F238E27FC236}">
              <a16:creationId xmlns:a16="http://schemas.microsoft.com/office/drawing/2014/main" id="{CBC4D08B-D7D9-40F7-ADAF-3DA5D243BD54}"/>
            </a:ext>
          </a:extLst>
        </xdr:cNvPr>
        <xdr:cNvCxnSpPr/>
      </xdr:nvCxnSpPr>
      <xdr:spPr>
        <a:xfrm>
          <a:off x="104775" y="39197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1170</xdr:row>
      <xdr:rowOff>87630</xdr:rowOff>
    </xdr:from>
    <xdr:to>
      <xdr:col>9</xdr:col>
      <xdr:colOff>0</xdr:colOff>
      <xdr:row>1170</xdr:row>
      <xdr:rowOff>87630</xdr:rowOff>
    </xdr:to>
    <xdr:cxnSp macro="">
      <xdr:nvCxnSpPr>
        <xdr:cNvPr id="109" name="Conector reto 108">
          <a:extLst>
            <a:ext uri="{FF2B5EF4-FFF2-40B4-BE49-F238E27FC236}">
              <a16:creationId xmlns:a16="http://schemas.microsoft.com/office/drawing/2014/main" id="{280FDF14-CF2E-408E-A52E-6A2279D47F4C}"/>
            </a:ext>
          </a:extLst>
        </xdr:cNvPr>
        <xdr:cNvCxnSpPr/>
      </xdr:nvCxnSpPr>
      <xdr:spPr>
        <a:xfrm>
          <a:off x="104775" y="41407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1176</xdr:row>
      <xdr:rowOff>87630</xdr:rowOff>
    </xdr:from>
    <xdr:to>
      <xdr:col>9</xdr:col>
      <xdr:colOff>0</xdr:colOff>
      <xdr:row>1176</xdr:row>
      <xdr:rowOff>87630</xdr:rowOff>
    </xdr:to>
    <xdr:cxnSp macro="">
      <xdr:nvCxnSpPr>
        <xdr:cNvPr id="110" name="Conector reto 109">
          <a:extLst>
            <a:ext uri="{FF2B5EF4-FFF2-40B4-BE49-F238E27FC236}">
              <a16:creationId xmlns:a16="http://schemas.microsoft.com/office/drawing/2014/main" id="{257FDFBD-A9FE-4EA6-9146-20100233432E}"/>
            </a:ext>
          </a:extLst>
        </xdr:cNvPr>
        <xdr:cNvCxnSpPr/>
      </xdr:nvCxnSpPr>
      <xdr:spPr>
        <a:xfrm>
          <a:off x="104775" y="43616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1183</xdr:row>
      <xdr:rowOff>87630</xdr:rowOff>
    </xdr:from>
    <xdr:to>
      <xdr:col>9</xdr:col>
      <xdr:colOff>0</xdr:colOff>
      <xdr:row>1183</xdr:row>
      <xdr:rowOff>87630</xdr:rowOff>
    </xdr:to>
    <xdr:cxnSp macro="">
      <xdr:nvCxnSpPr>
        <xdr:cNvPr id="111" name="Conector reto 110">
          <a:extLst>
            <a:ext uri="{FF2B5EF4-FFF2-40B4-BE49-F238E27FC236}">
              <a16:creationId xmlns:a16="http://schemas.microsoft.com/office/drawing/2014/main" id="{54170FAC-5663-4344-8592-211979F005F3}"/>
            </a:ext>
          </a:extLst>
        </xdr:cNvPr>
        <xdr:cNvCxnSpPr/>
      </xdr:nvCxnSpPr>
      <xdr:spPr>
        <a:xfrm>
          <a:off x="104775" y="45826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1189</xdr:row>
      <xdr:rowOff>87630</xdr:rowOff>
    </xdr:from>
    <xdr:to>
      <xdr:col>9</xdr:col>
      <xdr:colOff>0</xdr:colOff>
      <xdr:row>1189</xdr:row>
      <xdr:rowOff>87630</xdr:rowOff>
    </xdr:to>
    <xdr:cxnSp macro="">
      <xdr:nvCxnSpPr>
        <xdr:cNvPr id="112" name="Conector reto 111">
          <a:extLst>
            <a:ext uri="{FF2B5EF4-FFF2-40B4-BE49-F238E27FC236}">
              <a16:creationId xmlns:a16="http://schemas.microsoft.com/office/drawing/2014/main" id="{B7B1F36B-FF48-419C-A170-E324DB14A8BC}"/>
            </a:ext>
          </a:extLst>
        </xdr:cNvPr>
        <xdr:cNvCxnSpPr/>
      </xdr:nvCxnSpPr>
      <xdr:spPr>
        <a:xfrm>
          <a:off x="104775" y="48036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1197</xdr:row>
      <xdr:rowOff>87630</xdr:rowOff>
    </xdr:from>
    <xdr:to>
      <xdr:col>9</xdr:col>
      <xdr:colOff>0</xdr:colOff>
      <xdr:row>1197</xdr:row>
      <xdr:rowOff>87630</xdr:rowOff>
    </xdr:to>
    <xdr:cxnSp macro="">
      <xdr:nvCxnSpPr>
        <xdr:cNvPr id="113" name="Conector reto 112">
          <a:extLst>
            <a:ext uri="{FF2B5EF4-FFF2-40B4-BE49-F238E27FC236}">
              <a16:creationId xmlns:a16="http://schemas.microsoft.com/office/drawing/2014/main" id="{A7CE0D1B-C9A3-40D9-BDF7-C9AA16305FCB}"/>
            </a:ext>
          </a:extLst>
        </xdr:cNvPr>
        <xdr:cNvCxnSpPr/>
      </xdr:nvCxnSpPr>
      <xdr:spPr>
        <a:xfrm>
          <a:off x="104775" y="50246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1205</xdr:row>
      <xdr:rowOff>87630</xdr:rowOff>
    </xdr:from>
    <xdr:to>
      <xdr:col>9</xdr:col>
      <xdr:colOff>0</xdr:colOff>
      <xdr:row>1205</xdr:row>
      <xdr:rowOff>87630</xdr:rowOff>
    </xdr:to>
    <xdr:cxnSp macro="">
      <xdr:nvCxnSpPr>
        <xdr:cNvPr id="114" name="Conector reto 113">
          <a:extLst>
            <a:ext uri="{FF2B5EF4-FFF2-40B4-BE49-F238E27FC236}">
              <a16:creationId xmlns:a16="http://schemas.microsoft.com/office/drawing/2014/main" id="{EE59A3B2-C551-4E84-8E58-7B5E61574F22}"/>
            </a:ext>
          </a:extLst>
        </xdr:cNvPr>
        <xdr:cNvCxnSpPr/>
      </xdr:nvCxnSpPr>
      <xdr:spPr>
        <a:xfrm>
          <a:off x="104775" y="52456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1212</xdr:row>
      <xdr:rowOff>87630</xdr:rowOff>
    </xdr:from>
    <xdr:to>
      <xdr:col>9</xdr:col>
      <xdr:colOff>0</xdr:colOff>
      <xdr:row>1212</xdr:row>
      <xdr:rowOff>87630</xdr:rowOff>
    </xdr:to>
    <xdr:cxnSp macro="">
      <xdr:nvCxnSpPr>
        <xdr:cNvPr id="115" name="Conector reto 114">
          <a:extLst>
            <a:ext uri="{FF2B5EF4-FFF2-40B4-BE49-F238E27FC236}">
              <a16:creationId xmlns:a16="http://schemas.microsoft.com/office/drawing/2014/main" id="{96477419-1290-4967-A676-8D8764F5625A}"/>
            </a:ext>
          </a:extLst>
        </xdr:cNvPr>
        <xdr:cNvCxnSpPr/>
      </xdr:nvCxnSpPr>
      <xdr:spPr>
        <a:xfrm>
          <a:off x="104775" y="54665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1218</xdr:row>
      <xdr:rowOff>87630</xdr:rowOff>
    </xdr:from>
    <xdr:to>
      <xdr:col>9</xdr:col>
      <xdr:colOff>0</xdr:colOff>
      <xdr:row>1218</xdr:row>
      <xdr:rowOff>87630</xdr:rowOff>
    </xdr:to>
    <xdr:cxnSp macro="">
      <xdr:nvCxnSpPr>
        <xdr:cNvPr id="116" name="Conector reto 115">
          <a:extLst>
            <a:ext uri="{FF2B5EF4-FFF2-40B4-BE49-F238E27FC236}">
              <a16:creationId xmlns:a16="http://schemas.microsoft.com/office/drawing/2014/main" id="{5329AF41-FA7C-4EE8-876E-79E3E603E299}"/>
            </a:ext>
          </a:extLst>
        </xdr:cNvPr>
        <xdr:cNvCxnSpPr/>
      </xdr:nvCxnSpPr>
      <xdr:spPr>
        <a:xfrm>
          <a:off x="104775" y="56875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1224</xdr:row>
      <xdr:rowOff>87630</xdr:rowOff>
    </xdr:from>
    <xdr:to>
      <xdr:col>9</xdr:col>
      <xdr:colOff>0</xdr:colOff>
      <xdr:row>1224</xdr:row>
      <xdr:rowOff>87630</xdr:rowOff>
    </xdr:to>
    <xdr:cxnSp macro="">
      <xdr:nvCxnSpPr>
        <xdr:cNvPr id="117" name="Conector reto 116">
          <a:extLst>
            <a:ext uri="{FF2B5EF4-FFF2-40B4-BE49-F238E27FC236}">
              <a16:creationId xmlns:a16="http://schemas.microsoft.com/office/drawing/2014/main" id="{2EB41D2C-736A-4E0F-A447-2F7EAEB53D56}"/>
            </a:ext>
          </a:extLst>
        </xdr:cNvPr>
        <xdr:cNvCxnSpPr/>
      </xdr:nvCxnSpPr>
      <xdr:spPr>
        <a:xfrm>
          <a:off x="104775" y="59085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1230</xdr:row>
      <xdr:rowOff>87630</xdr:rowOff>
    </xdr:from>
    <xdr:to>
      <xdr:col>9</xdr:col>
      <xdr:colOff>0</xdr:colOff>
      <xdr:row>1230</xdr:row>
      <xdr:rowOff>87630</xdr:rowOff>
    </xdr:to>
    <xdr:cxnSp macro="">
      <xdr:nvCxnSpPr>
        <xdr:cNvPr id="118" name="Conector reto 117">
          <a:extLst>
            <a:ext uri="{FF2B5EF4-FFF2-40B4-BE49-F238E27FC236}">
              <a16:creationId xmlns:a16="http://schemas.microsoft.com/office/drawing/2014/main" id="{A218B426-448D-4825-8712-905FE0C8D3A6}"/>
            </a:ext>
          </a:extLst>
        </xdr:cNvPr>
        <xdr:cNvCxnSpPr/>
      </xdr:nvCxnSpPr>
      <xdr:spPr>
        <a:xfrm>
          <a:off x="104775" y="61295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1236</xdr:row>
      <xdr:rowOff>87630</xdr:rowOff>
    </xdr:from>
    <xdr:to>
      <xdr:col>9</xdr:col>
      <xdr:colOff>0</xdr:colOff>
      <xdr:row>1236</xdr:row>
      <xdr:rowOff>87630</xdr:rowOff>
    </xdr:to>
    <xdr:cxnSp macro="">
      <xdr:nvCxnSpPr>
        <xdr:cNvPr id="119" name="Conector reto 118">
          <a:extLst>
            <a:ext uri="{FF2B5EF4-FFF2-40B4-BE49-F238E27FC236}">
              <a16:creationId xmlns:a16="http://schemas.microsoft.com/office/drawing/2014/main" id="{FDB43485-B8CC-4BD4-B89F-259ADF5B9BF5}"/>
            </a:ext>
          </a:extLst>
        </xdr:cNvPr>
        <xdr:cNvCxnSpPr/>
      </xdr:nvCxnSpPr>
      <xdr:spPr>
        <a:xfrm>
          <a:off x="104775" y="63505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1244</xdr:row>
      <xdr:rowOff>87630</xdr:rowOff>
    </xdr:from>
    <xdr:to>
      <xdr:col>9</xdr:col>
      <xdr:colOff>0</xdr:colOff>
      <xdr:row>1244</xdr:row>
      <xdr:rowOff>87630</xdr:rowOff>
    </xdr:to>
    <xdr:cxnSp macro="">
      <xdr:nvCxnSpPr>
        <xdr:cNvPr id="120" name="Conector reto 119">
          <a:extLst>
            <a:ext uri="{FF2B5EF4-FFF2-40B4-BE49-F238E27FC236}">
              <a16:creationId xmlns:a16="http://schemas.microsoft.com/office/drawing/2014/main" id="{E6A9E633-A682-4995-B3E4-A2D02F5ED9A8}"/>
            </a:ext>
          </a:extLst>
        </xdr:cNvPr>
        <xdr:cNvCxnSpPr/>
      </xdr:nvCxnSpPr>
      <xdr:spPr>
        <a:xfrm>
          <a:off x="104775" y="65714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1252</xdr:row>
      <xdr:rowOff>87630</xdr:rowOff>
    </xdr:from>
    <xdr:to>
      <xdr:col>9</xdr:col>
      <xdr:colOff>0</xdr:colOff>
      <xdr:row>1252</xdr:row>
      <xdr:rowOff>87630</xdr:rowOff>
    </xdr:to>
    <xdr:cxnSp macro="">
      <xdr:nvCxnSpPr>
        <xdr:cNvPr id="121" name="Conector reto 120">
          <a:extLst>
            <a:ext uri="{FF2B5EF4-FFF2-40B4-BE49-F238E27FC236}">
              <a16:creationId xmlns:a16="http://schemas.microsoft.com/office/drawing/2014/main" id="{301B0BCE-C6D8-4D4C-8675-BA3A43F45800}"/>
            </a:ext>
          </a:extLst>
        </xdr:cNvPr>
        <xdr:cNvCxnSpPr/>
      </xdr:nvCxnSpPr>
      <xdr:spPr>
        <a:xfrm>
          <a:off x="104775" y="67924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1260</xdr:row>
      <xdr:rowOff>87630</xdr:rowOff>
    </xdr:from>
    <xdr:to>
      <xdr:col>9</xdr:col>
      <xdr:colOff>0</xdr:colOff>
      <xdr:row>1260</xdr:row>
      <xdr:rowOff>87630</xdr:rowOff>
    </xdr:to>
    <xdr:cxnSp macro="">
      <xdr:nvCxnSpPr>
        <xdr:cNvPr id="122" name="Conector reto 121">
          <a:extLst>
            <a:ext uri="{FF2B5EF4-FFF2-40B4-BE49-F238E27FC236}">
              <a16:creationId xmlns:a16="http://schemas.microsoft.com/office/drawing/2014/main" id="{2C37C3F5-D8F2-411F-ABBA-0EC52ABDA0DE}"/>
            </a:ext>
          </a:extLst>
        </xdr:cNvPr>
        <xdr:cNvCxnSpPr/>
      </xdr:nvCxnSpPr>
      <xdr:spPr>
        <a:xfrm>
          <a:off x="104775" y="70134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1268</xdr:row>
      <xdr:rowOff>87630</xdr:rowOff>
    </xdr:from>
    <xdr:to>
      <xdr:col>9</xdr:col>
      <xdr:colOff>0</xdr:colOff>
      <xdr:row>1268</xdr:row>
      <xdr:rowOff>87630</xdr:rowOff>
    </xdr:to>
    <xdr:cxnSp macro="">
      <xdr:nvCxnSpPr>
        <xdr:cNvPr id="123" name="Conector reto 122">
          <a:extLst>
            <a:ext uri="{FF2B5EF4-FFF2-40B4-BE49-F238E27FC236}">
              <a16:creationId xmlns:a16="http://schemas.microsoft.com/office/drawing/2014/main" id="{B509895D-4C17-4769-84E2-AEA2F9E8CFD9}"/>
            </a:ext>
          </a:extLst>
        </xdr:cNvPr>
        <xdr:cNvCxnSpPr/>
      </xdr:nvCxnSpPr>
      <xdr:spPr>
        <a:xfrm>
          <a:off x="104775" y="72344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1275</xdr:row>
      <xdr:rowOff>87630</xdr:rowOff>
    </xdr:from>
    <xdr:to>
      <xdr:col>9</xdr:col>
      <xdr:colOff>0</xdr:colOff>
      <xdr:row>1275</xdr:row>
      <xdr:rowOff>87630</xdr:rowOff>
    </xdr:to>
    <xdr:cxnSp macro="">
      <xdr:nvCxnSpPr>
        <xdr:cNvPr id="124" name="Conector reto 123">
          <a:extLst>
            <a:ext uri="{FF2B5EF4-FFF2-40B4-BE49-F238E27FC236}">
              <a16:creationId xmlns:a16="http://schemas.microsoft.com/office/drawing/2014/main" id="{79849A5E-A2B3-427F-AD30-E3002C07FE0E}"/>
            </a:ext>
          </a:extLst>
        </xdr:cNvPr>
        <xdr:cNvCxnSpPr/>
      </xdr:nvCxnSpPr>
      <xdr:spPr>
        <a:xfrm>
          <a:off x="104775" y="74554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1282</xdr:row>
      <xdr:rowOff>87630</xdr:rowOff>
    </xdr:from>
    <xdr:to>
      <xdr:col>9</xdr:col>
      <xdr:colOff>0</xdr:colOff>
      <xdr:row>1282</xdr:row>
      <xdr:rowOff>87630</xdr:rowOff>
    </xdr:to>
    <xdr:cxnSp macro="">
      <xdr:nvCxnSpPr>
        <xdr:cNvPr id="125" name="Conector reto 124">
          <a:extLst>
            <a:ext uri="{FF2B5EF4-FFF2-40B4-BE49-F238E27FC236}">
              <a16:creationId xmlns:a16="http://schemas.microsoft.com/office/drawing/2014/main" id="{46A15404-9C9E-4482-9C06-AF15F0FA4216}"/>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1290</xdr:row>
      <xdr:rowOff>87630</xdr:rowOff>
    </xdr:from>
    <xdr:to>
      <xdr:col>9</xdr:col>
      <xdr:colOff>0</xdr:colOff>
      <xdr:row>1290</xdr:row>
      <xdr:rowOff>87630</xdr:rowOff>
    </xdr:to>
    <xdr:cxnSp macro="">
      <xdr:nvCxnSpPr>
        <xdr:cNvPr id="126" name="Conector reto 125">
          <a:extLst>
            <a:ext uri="{FF2B5EF4-FFF2-40B4-BE49-F238E27FC236}">
              <a16:creationId xmlns:a16="http://schemas.microsoft.com/office/drawing/2014/main" id="{DE048946-C77D-4675-A9DB-B8FA1B0B00E1}"/>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1298</xdr:row>
      <xdr:rowOff>87630</xdr:rowOff>
    </xdr:from>
    <xdr:to>
      <xdr:col>9</xdr:col>
      <xdr:colOff>0</xdr:colOff>
      <xdr:row>1298</xdr:row>
      <xdr:rowOff>87630</xdr:rowOff>
    </xdr:to>
    <xdr:cxnSp macro="">
      <xdr:nvCxnSpPr>
        <xdr:cNvPr id="127" name="Conector reto 126">
          <a:extLst>
            <a:ext uri="{FF2B5EF4-FFF2-40B4-BE49-F238E27FC236}">
              <a16:creationId xmlns:a16="http://schemas.microsoft.com/office/drawing/2014/main" id="{3DF3E66C-4295-4BD0-8414-5FA1984206C7}"/>
            </a:ext>
          </a:extLst>
        </xdr:cNvPr>
        <xdr:cNvCxnSpPr/>
      </xdr:nvCxnSpPr>
      <xdr:spPr>
        <a:xfrm>
          <a:off x="104775" y="14889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1306</xdr:row>
      <xdr:rowOff>87630</xdr:rowOff>
    </xdr:from>
    <xdr:to>
      <xdr:col>9</xdr:col>
      <xdr:colOff>0</xdr:colOff>
      <xdr:row>1306</xdr:row>
      <xdr:rowOff>87630</xdr:rowOff>
    </xdr:to>
    <xdr:cxnSp macro="">
      <xdr:nvCxnSpPr>
        <xdr:cNvPr id="128" name="Conector reto 127">
          <a:extLst>
            <a:ext uri="{FF2B5EF4-FFF2-40B4-BE49-F238E27FC236}">
              <a16:creationId xmlns:a16="http://schemas.microsoft.com/office/drawing/2014/main" id="{30B89793-E2EA-4B6D-A422-6879DD9587CF}"/>
            </a:ext>
          </a:extLst>
        </xdr:cNvPr>
        <xdr:cNvCxnSpPr/>
      </xdr:nvCxnSpPr>
      <xdr:spPr>
        <a:xfrm>
          <a:off x="104775" y="17099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1313</xdr:row>
      <xdr:rowOff>87630</xdr:rowOff>
    </xdr:from>
    <xdr:to>
      <xdr:col>9</xdr:col>
      <xdr:colOff>0</xdr:colOff>
      <xdr:row>1313</xdr:row>
      <xdr:rowOff>87630</xdr:rowOff>
    </xdr:to>
    <xdr:cxnSp macro="">
      <xdr:nvCxnSpPr>
        <xdr:cNvPr id="129" name="Conector reto 128">
          <a:extLst>
            <a:ext uri="{FF2B5EF4-FFF2-40B4-BE49-F238E27FC236}">
              <a16:creationId xmlns:a16="http://schemas.microsoft.com/office/drawing/2014/main" id="{C37BC8C3-AA25-4CA6-942B-CF73A34D7972}"/>
            </a:ext>
          </a:extLst>
        </xdr:cNvPr>
        <xdr:cNvCxnSpPr/>
      </xdr:nvCxnSpPr>
      <xdr:spPr>
        <a:xfrm>
          <a:off x="104775" y="19309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1320</xdr:row>
      <xdr:rowOff>87630</xdr:rowOff>
    </xdr:from>
    <xdr:to>
      <xdr:col>9</xdr:col>
      <xdr:colOff>0</xdr:colOff>
      <xdr:row>1320</xdr:row>
      <xdr:rowOff>87630</xdr:rowOff>
    </xdr:to>
    <xdr:cxnSp macro="">
      <xdr:nvCxnSpPr>
        <xdr:cNvPr id="130" name="Conector reto 129">
          <a:extLst>
            <a:ext uri="{FF2B5EF4-FFF2-40B4-BE49-F238E27FC236}">
              <a16:creationId xmlns:a16="http://schemas.microsoft.com/office/drawing/2014/main" id="{D339FD03-F8D5-43A6-95C8-F1A6C9AFC501}"/>
            </a:ext>
          </a:extLst>
        </xdr:cNvPr>
        <xdr:cNvCxnSpPr/>
      </xdr:nvCxnSpPr>
      <xdr:spPr>
        <a:xfrm>
          <a:off x="104775" y="21518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1327</xdr:row>
      <xdr:rowOff>87630</xdr:rowOff>
    </xdr:from>
    <xdr:to>
      <xdr:col>9</xdr:col>
      <xdr:colOff>0</xdr:colOff>
      <xdr:row>1327</xdr:row>
      <xdr:rowOff>87630</xdr:rowOff>
    </xdr:to>
    <xdr:cxnSp macro="">
      <xdr:nvCxnSpPr>
        <xdr:cNvPr id="131" name="Conector reto 130">
          <a:extLst>
            <a:ext uri="{FF2B5EF4-FFF2-40B4-BE49-F238E27FC236}">
              <a16:creationId xmlns:a16="http://schemas.microsoft.com/office/drawing/2014/main" id="{1ED6A6B4-52CC-4005-B86B-6C02E4D2CF89}"/>
            </a:ext>
          </a:extLst>
        </xdr:cNvPr>
        <xdr:cNvCxnSpPr/>
      </xdr:nvCxnSpPr>
      <xdr:spPr>
        <a:xfrm>
          <a:off x="104775" y="23728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1334</xdr:row>
      <xdr:rowOff>87630</xdr:rowOff>
    </xdr:from>
    <xdr:to>
      <xdr:col>9</xdr:col>
      <xdr:colOff>0</xdr:colOff>
      <xdr:row>1334</xdr:row>
      <xdr:rowOff>87630</xdr:rowOff>
    </xdr:to>
    <xdr:cxnSp macro="">
      <xdr:nvCxnSpPr>
        <xdr:cNvPr id="132" name="Conector reto 131">
          <a:extLst>
            <a:ext uri="{FF2B5EF4-FFF2-40B4-BE49-F238E27FC236}">
              <a16:creationId xmlns:a16="http://schemas.microsoft.com/office/drawing/2014/main" id="{3A83695D-D213-4ABD-8901-CD4EFA187B34}"/>
            </a:ext>
          </a:extLst>
        </xdr:cNvPr>
        <xdr:cNvCxnSpPr/>
      </xdr:nvCxnSpPr>
      <xdr:spPr>
        <a:xfrm>
          <a:off x="104775" y="25938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1341</xdr:row>
      <xdr:rowOff>87630</xdr:rowOff>
    </xdr:from>
    <xdr:to>
      <xdr:col>9</xdr:col>
      <xdr:colOff>0</xdr:colOff>
      <xdr:row>1341</xdr:row>
      <xdr:rowOff>87630</xdr:rowOff>
    </xdr:to>
    <xdr:cxnSp macro="">
      <xdr:nvCxnSpPr>
        <xdr:cNvPr id="133" name="Conector reto 132">
          <a:extLst>
            <a:ext uri="{FF2B5EF4-FFF2-40B4-BE49-F238E27FC236}">
              <a16:creationId xmlns:a16="http://schemas.microsoft.com/office/drawing/2014/main" id="{038F9118-0F45-429B-89C1-C449CEE98A08}"/>
            </a:ext>
          </a:extLst>
        </xdr:cNvPr>
        <xdr:cNvCxnSpPr/>
      </xdr:nvCxnSpPr>
      <xdr:spPr>
        <a:xfrm>
          <a:off x="104775" y="28148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1349</xdr:row>
      <xdr:rowOff>87630</xdr:rowOff>
    </xdr:from>
    <xdr:to>
      <xdr:col>9</xdr:col>
      <xdr:colOff>0</xdr:colOff>
      <xdr:row>1349</xdr:row>
      <xdr:rowOff>87630</xdr:rowOff>
    </xdr:to>
    <xdr:cxnSp macro="">
      <xdr:nvCxnSpPr>
        <xdr:cNvPr id="134" name="Conector reto 133">
          <a:extLst>
            <a:ext uri="{FF2B5EF4-FFF2-40B4-BE49-F238E27FC236}">
              <a16:creationId xmlns:a16="http://schemas.microsoft.com/office/drawing/2014/main" id="{F8FA393B-91E8-4E37-8924-33F9CC0EC329}"/>
            </a:ext>
          </a:extLst>
        </xdr:cNvPr>
        <xdr:cNvCxnSpPr/>
      </xdr:nvCxnSpPr>
      <xdr:spPr>
        <a:xfrm>
          <a:off x="104775" y="30358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1357</xdr:row>
      <xdr:rowOff>87630</xdr:rowOff>
    </xdr:from>
    <xdr:to>
      <xdr:col>9</xdr:col>
      <xdr:colOff>0</xdr:colOff>
      <xdr:row>1357</xdr:row>
      <xdr:rowOff>87630</xdr:rowOff>
    </xdr:to>
    <xdr:cxnSp macro="">
      <xdr:nvCxnSpPr>
        <xdr:cNvPr id="135" name="Conector reto 134">
          <a:extLst>
            <a:ext uri="{FF2B5EF4-FFF2-40B4-BE49-F238E27FC236}">
              <a16:creationId xmlns:a16="http://schemas.microsoft.com/office/drawing/2014/main" id="{D8C60852-0C11-4E85-9926-0E9FE4B12F14}"/>
            </a:ext>
          </a:extLst>
        </xdr:cNvPr>
        <xdr:cNvCxnSpPr/>
      </xdr:nvCxnSpPr>
      <xdr:spPr>
        <a:xfrm>
          <a:off x="104775" y="32567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1365</xdr:row>
      <xdr:rowOff>87630</xdr:rowOff>
    </xdr:from>
    <xdr:to>
      <xdr:col>9</xdr:col>
      <xdr:colOff>0</xdr:colOff>
      <xdr:row>1365</xdr:row>
      <xdr:rowOff>87630</xdr:rowOff>
    </xdr:to>
    <xdr:cxnSp macro="">
      <xdr:nvCxnSpPr>
        <xdr:cNvPr id="136" name="Conector reto 135">
          <a:extLst>
            <a:ext uri="{FF2B5EF4-FFF2-40B4-BE49-F238E27FC236}">
              <a16:creationId xmlns:a16="http://schemas.microsoft.com/office/drawing/2014/main" id="{EAA56E13-0561-4B4B-A12B-98F9581E0206}"/>
            </a:ext>
          </a:extLst>
        </xdr:cNvPr>
        <xdr:cNvCxnSpPr/>
      </xdr:nvCxnSpPr>
      <xdr:spPr>
        <a:xfrm>
          <a:off x="104775" y="34777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1372</xdr:row>
      <xdr:rowOff>87630</xdr:rowOff>
    </xdr:from>
    <xdr:to>
      <xdr:col>9</xdr:col>
      <xdr:colOff>0</xdr:colOff>
      <xdr:row>1372</xdr:row>
      <xdr:rowOff>87630</xdr:rowOff>
    </xdr:to>
    <xdr:cxnSp macro="">
      <xdr:nvCxnSpPr>
        <xdr:cNvPr id="137" name="Conector reto 136">
          <a:extLst>
            <a:ext uri="{FF2B5EF4-FFF2-40B4-BE49-F238E27FC236}">
              <a16:creationId xmlns:a16="http://schemas.microsoft.com/office/drawing/2014/main" id="{F267C149-DD1B-4F85-9A7A-E7F381D25126}"/>
            </a:ext>
          </a:extLst>
        </xdr:cNvPr>
        <xdr:cNvCxnSpPr/>
      </xdr:nvCxnSpPr>
      <xdr:spPr>
        <a:xfrm>
          <a:off x="104775" y="36987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1379</xdr:row>
      <xdr:rowOff>87630</xdr:rowOff>
    </xdr:from>
    <xdr:to>
      <xdr:col>9</xdr:col>
      <xdr:colOff>0</xdr:colOff>
      <xdr:row>1379</xdr:row>
      <xdr:rowOff>87630</xdr:rowOff>
    </xdr:to>
    <xdr:cxnSp macro="">
      <xdr:nvCxnSpPr>
        <xdr:cNvPr id="138" name="Conector reto 137">
          <a:extLst>
            <a:ext uri="{FF2B5EF4-FFF2-40B4-BE49-F238E27FC236}">
              <a16:creationId xmlns:a16="http://schemas.microsoft.com/office/drawing/2014/main" id="{19F8E051-316E-4488-84CE-6E0E89D1D36C}"/>
            </a:ext>
          </a:extLst>
        </xdr:cNvPr>
        <xdr:cNvCxnSpPr/>
      </xdr:nvCxnSpPr>
      <xdr:spPr>
        <a:xfrm>
          <a:off x="104775" y="39197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1388</xdr:row>
      <xdr:rowOff>87630</xdr:rowOff>
    </xdr:from>
    <xdr:to>
      <xdr:col>9</xdr:col>
      <xdr:colOff>0</xdr:colOff>
      <xdr:row>1388</xdr:row>
      <xdr:rowOff>87630</xdr:rowOff>
    </xdr:to>
    <xdr:cxnSp macro="">
      <xdr:nvCxnSpPr>
        <xdr:cNvPr id="139" name="Conector reto 138">
          <a:extLst>
            <a:ext uri="{FF2B5EF4-FFF2-40B4-BE49-F238E27FC236}">
              <a16:creationId xmlns:a16="http://schemas.microsoft.com/office/drawing/2014/main" id="{311205CE-52BD-45DF-BE02-266A549F3AC5}"/>
            </a:ext>
          </a:extLst>
        </xdr:cNvPr>
        <xdr:cNvCxnSpPr/>
      </xdr:nvCxnSpPr>
      <xdr:spPr>
        <a:xfrm>
          <a:off x="104775" y="41407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1396</xdr:row>
      <xdr:rowOff>87630</xdr:rowOff>
    </xdr:from>
    <xdr:to>
      <xdr:col>9</xdr:col>
      <xdr:colOff>0</xdr:colOff>
      <xdr:row>1396</xdr:row>
      <xdr:rowOff>87630</xdr:rowOff>
    </xdr:to>
    <xdr:cxnSp macro="">
      <xdr:nvCxnSpPr>
        <xdr:cNvPr id="140" name="Conector reto 139">
          <a:extLst>
            <a:ext uri="{FF2B5EF4-FFF2-40B4-BE49-F238E27FC236}">
              <a16:creationId xmlns:a16="http://schemas.microsoft.com/office/drawing/2014/main" id="{DFD54D1A-9E6E-4E21-B7FC-1DCAD20C328F}"/>
            </a:ext>
          </a:extLst>
        </xdr:cNvPr>
        <xdr:cNvCxnSpPr/>
      </xdr:nvCxnSpPr>
      <xdr:spPr>
        <a:xfrm>
          <a:off x="104775" y="43616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1404</xdr:row>
      <xdr:rowOff>87630</xdr:rowOff>
    </xdr:from>
    <xdr:to>
      <xdr:col>9</xdr:col>
      <xdr:colOff>0</xdr:colOff>
      <xdr:row>1404</xdr:row>
      <xdr:rowOff>87630</xdr:rowOff>
    </xdr:to>
    <xdr:cxnSp macro="">
      <xdr:nvCxnSpPr>
        <xdr:cNvPr id="141" name="Conector reto 140">
          <a:extLst>
            <a:ext uri="{FF2B5EF4-FFF2-40B4-BE49-F238E27FC236}">
              <a16:creationId xmlns:a16="http://schemas.microsoft.com/office/drawing/2014/main" id="{8E5A084D-2516-476E-8EF3-581B0E31784C}"/>
            </a:ext>
          </a:extLst>
        </xdr:cNvPr>
        <xdr:cNvCxnSpPr/>
      </xdr:nvCxnSpPr>
      <xdr:spPr>
        <a:xfrm>
          <a:off x="104775" y="45826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1413</xdr:row>
      <xdr:rowOff>87630</xdr:rowOff>
    </xdr:from>
    <xdr:to>
      <xdr:col>9</xdr:col>
      <xdr:colOff>0</xdr:colOff>
      <xdr:row>1413</xdr:row>
      <xdr:rowOff>87630</xdr:rowOff>
    </xdr:to>
    <xdr:cxnSp macro="">
      <xdr:nvCxnSpPr>
        <xdr:cNvPr id="142" name="Conector reto 141">
          <a:extLst>
            <a:ext uri="{FF2B5EF4-FFF2-40B4-BE49-F238E27FC236}">
              <a16:creationId xmlns:a16="http://schemas.microsoft.com/office/drawing/2014/main" id="{9DAB67E1-5A07-446C-9C06-4F070A394240}"/>
            </a:ext>
          </a:extLst>
        </xdr:cNvPr>
        <xdr:cNvCxnSpPr/>
      </xdr:nvCxnSpPr>
      <xdr:spPr>
        <a:xfrm>
          <a:off x="104775" y="48036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1420</xdr:row>
      <xdr:rowOff>87630</xdr:rowOff>
    </xdr:from>
    <xdr:to>
      <xdr:col>9</xdr:col>
      <xdr:colOff>0</xdr:colOff>
      <xdr:row>1420</xdr:row>
      <xdr:rowOff>87630</xdr:rowOff>
    </xdr:to>
    <xdr:cxnSp macro="">
      <xdr:nvCxnSpPr>
        <xdr:cNvPr id="143" name="Conector reto 142">
          <a:extLst>
            <a:ext uri="{FF2B5EF4-FFF2-40B4-BE49-F238E27FC236}">
              <a16:creationId xmlns:a16="http://schemas.microsoft.com/office/drawing/2014/main" id="{D53A775E-4E23-428D-9D22-A40050679E95}"/>
            </a:ext>
          </a:extLst>
        </xdr:cNvPr>
        <xdr:cNvCxnSpPr/>
      </xdr:nvCxnSpPr>
      <xdr:spPr>
        <a:xfrm>
          <a:off x="104775" y="50246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1426</xdr:row>
      <xdr:rowOff>87630</xdr:rowOff>
    </xdr:from>
    <xdr:to>
      <xdr:col>9</xdr:col>
      <xdr:colOff>0</xdr:colOff>
      <xdr:row>1426</xdr:row>
      <xdr:rowOff>87630</xdr:rowOff>
    </xdr:to>
    <xdr:cxnSp macro="">
      <xdr:nvCxnSpPr>
        <xdr:cNvPr id="144" name="Conector reto 143">
          <a:extLst>
            <a:ext uri="{FF2B5EF4-FFF2-40B4-BE49-F238E27FC236}">
              <a16:creationId xmlns:a16="http://schemas.microsoft.com/office/drawing/2014/main" id="{18E0B6DF-B02F-48CA-BF9D-625EF9F25866}"/>
            </a:ext>
          </a:extLst>
        </xdr:cNvPr>
        <xdr:cNvCxnSpPr/>
      </xdr:nvCxnSpPr>
      <xdr:spPr>
        <a:xfrm>
          <a:off x="104775" y="52456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1433</xdr:row>
      <xdr:rowOff>87630</xdr:rowOff>
    </xdr:from>
    <xdr:to>
      <xdr:col>9</xdr:col>
      <xdr:colOff>0</xdr:colOff>
      <xdr:row>1433</xdr:row>
      <xdr:rowOff>87630</xdr:rowOff>
    </xdr:to>
    <xdr:cxnSp macro="">
      <xdr:nvCxnSpPr>
        <xdr:cNvPr id="145" name="Conector reto 144">
          <a:extLst>
            <a:ext uri="{FF2B5EF4-FFF2-40B4-BE49-F238E27FC236}">
              <a16:creationId xmlns:a16="http://schemas.microsoft.com/office/drawing/2014/main" id="{207E040E-6D31-4ABF-A82B-3BF69448F5FD}"/>
            </a:ext>
          </a:extLst>
        </xdr:cNvPr>
        <xdr:cNvCxnSpPr/>
      </xdr:nvCxnSpPr>
      <xdr:spPr>
        <a:xfrm>
          <a:off x="104775" y="54665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1440</xdr:row>
      <xdr:rowOff>87630</xdr:rowOff>
    </xdr:from>
    <xdr:to>
      <xdr:col>9</xdr:col>
      <xdr:colOff>0</xdr:colOff>
      <xdr:row>1440</xdr:row>
      <xdr:rowOff>87630</xdr:rowOff>
    </xdr:to>
    <xdr:cxnSp macro="">
      <xdr:nvCxnSpPr>
        <xdr:cNvPr id="146" name="Conector reto 145">
          <a:extLst>
            <a:ext uri="{FF2B5EF4-FFF2-40B4-BE49-F238E27FC236}">
              <a16:creationId xmlns:a16="http://schemas.microsoft.com/office/drawing/2014/main" id="{13BE4C51-AB19-4F78-A441-B8F68F58FF2D}"/>
            </a:ext>
          </a:extLst>
        </xdr:cNvPr>
        <xdr:cNvCxnSpPr/>
      </xdr:nvCxnSpPr>
      <xdr:spPr>
        <a:xfrm>
          <a:off x="104775" y="56875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1446</xdr:row>
      <xdr:rowOff>87630</xdr:rowOff>
    </xdr:from>
    <xdr:to>
      <xdr:col>9</xdr:col>
      <xdr:colOff>0</xdr:colOff>
      <xdr:row>1446</xdr:row>
      <xdr:rowOff>87630</xdr:rowOff>
    </xdr:to>
    <xdr:cxnSp macro="">
      <xdr:nvCxnSpPr>
        <xdr:cNvPr id="147" name="Conector reto 146">
          <a:extLst>
            <a:ext uri="{FF2B5EF4-FFF2-40B4-BE49-F238E27FC236}">
              <a16:creationId xmlns:a16="http://schemas.microsoft.com/office/drawing/2014/main" id="{13731310-A716-40AB-BA64-AA936AC4F963}"/>
            </a:ext>
          </a:extLst>
        </xdr:cNvPr>
        <xdr:cNvCxnSpPr/>
      </xdr:nvCxnSpPr>
      <xdr:spPr>
        <a:xfrm>
          <a:off x="104775" y="59085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1452</xdr:row>
      <xdr:rowOff>87630</xdr:rowOff>
    </xdr:from>
    <xdr:to>
      <xdr:col>9</xdr:col>
      <xdr:colOff>0</xdr:colOff>
      <xdr:row>1452</xdr:row>
      <xdr:rowOff>87630</xdr:rowOff>
    </xdr:to>
    <xdr:cxnSp macro="">
      <xdr:nvCxnSpPr>
        <xdr:cNvPr id="148" name="Conector reto 147">
          <a:extLst>
            <a:ext uri="{FF2B5EF4-FFF2-40B4-BE49-F238E27FC236}">
              <a16:creationId xmlns:a16="http://schemas.microsoft.com/office/drawing/2014/main" id="{09A70883-1765-4864-86C2-7581F2F1DEC8}"/>
            </a:ext>
          </a:extLst>
        </xdr:cNvPr>
        <xdr:cNvCxnSpPr/>
      </xdr:nvCxnSpPr>
      <xdr:spPr>
        <a:xfrm>
          <a:off x="104775" y="61295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1459</xdr:row>
      <xdr:rowOff>87630</xdr:rowOff>
    </xdr:from>
    <xdr:to>
      <xdr:col>9</xdr:col>
      <xdr:colOff>0</xdr:colOff>
      <xdr:row>1459</xdr:row>
      <xdr:rowOff>87630</xdr:rowOff>
    </xdr:to>
    <xdr:cxnSp macro="">
      <xdr:nvCxnSpPr>
        <xdr:cNvPr id="149" name="Conector reto 148">
          <a:extLst>
            <a:ext uri="{FF2B5EF4-FFF2-40B4-BE49-F238E27FC236}">
              <a16:creationId xmlns:a16="http://schemas.microsoft.com/office/drawing/2014/main" id="{76ACE8C8-A544-4897-859A-58E1C2951150}"/>
            </a:ext>
          </a:extLst>
        </xdr:cNvPr>
        <xdr:cNvCxnSpPr/>
      </xdr:nvCxnSpPr>
      <xdr:spPr>
        <a:xfrm>
          <a:off x="104775" y="63505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1466</xdr:row>
      <xdr:rowOff>87630</xdr:rowOff>
    </xdr:from>
    <xdr:to>
      <xdr:col>9</xdr:col>
      <xdr:colOff>0</xdr:colOff>
      <xdr:row>1466</xdr:row>
      <xdr:rowOff>87630</xdr:rowOff>
    </xdr:to>
    <xdr:cxnSp macro="">
      <xdr:nvCxnSpPr>
        <xdr:cNvPr id="150" name="Conector reto 149">
          <a:extLst>
            <a:ext uri="{FF2B5EF4-FFF2-40B4-BE49-F238E27FC236}">
              <a16:creationId xmlns:a16="http://schemas.microsoft.com/office/drawing/2014/main" id="{45DD331C-EF9A-4292-A127-A8F4807016D8}"/>
            </a:ext>
          </a:extLst>
        </xdr:cNvPr>
        <xdr:cNvCxnSpPr/>
      </xdr:nvCxnSpPr>
      <xdr:spPr>
        <a:xfrm>
          <a:off x="104775" y="65714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1476</xdr:row>
      <xdr:rowOff>87630</xdr:rowOff>
    </xdr:from>
    <xdr:to>
      <xdr:col>9</xdr:col>
      <xdr:colOff>0</xdr:colOff>
      <xdr:row>1476</xdr:row>
      <xdr:rowOff>87630</xdr:rowOff>
    </xdr:to>
    <xdr:cxnSp macro="">
      <xdr:nvCxnSpPr>
        <xdr:cNvPr id="151" name="Conector reto 150">
          <a:extLst>
            <a:ext uri="{FF2B5EF4-FFF2-40B4-BE49-F238E27FC236}">
              <a16:creationId xmlns:a16="http://schemas.microsoft.com/office/drawing/2014/main" id="{C275C4BC-658C-4F28-8D2E-B82B74F1482B}"/>
            </a:ext>
          </a:extLst>
        </xdr:cNvPr>
        <xdr:cNvCxnSpPr/>
      </xdr:nvCxnSpPr>
      <xdr:spPr>
        <a:xfrm>
          <a:off x="104775" y="67924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1491</xdr:row>
      <xdr:rowOff>87630</xdr:rowOff>
    </xdr:from>
    <xdr:to>
      <xdr:col>9</xdr:col>
      <xdr:colOff>0</xdr:colOff>
      <xdr:row>1491</xdr:row>
      <xdr:rowOff>87630</xdr:rowOff>
    </xdr:to>
    <xdr:cxnSp macro="">
      <xdr:nvCxnSpPr>
        <xdr:cNvPr id="152" name="Conector reto 151">
          <a:extLst>
            <a:ext uri="{FF2B5EF4-FFF2-40B4-BE49-F238E27FC236}">
              <a16:creationId xmlns:a16="http://schemas.microsoft.com/office/drawing/2014/main" id="{95B8A106-3327-41DE-840D-8BF3F864C187}"/>
            </a:ext>
          </a:extLst>
        </xdr:cNvPr>
        <xdr:cNvCxnSpPr/>
      </xdr:nvCxnSpPr>
      <xdr:spPr>
        <a:xfrm>
          <a:off x="104775" y="70134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1498</xdr:row>
      <xdr:rowOff>87630</xdr:rowOff>
    </xdr:from>
    <xdr:to>
      <xdr:col>9</xdr:col>
      <xdr:colOff>0</xdr:colOff>
      <xdr:row>1498</xdr:row>
      <xdr:rowOff>87630</xdr:rowOff>
    </xdr:to>
    <xdr:cxnSp macro="">
      <xdr:nvCxnSpPr>
        <xdr:cNvPr id="153" name="Conector reto 152">
          <a:extLst>
            <a:ext uri="{FF2B5EF4-FFF2-40B4-BE49-F238E27FC236}">
              <a16:creationId xmlns:a16="http://schemas.microsoft.com/office/drawing/2014/main" id="{5A6D7DFE-5841-4930-8A3D-1B88DD852686}"/>
            </a:ext>
          </a:extLst>
        </xdr:cNvPr>
        <xdr:cNvCxnSpPr/>
      </xdr:nvCxnSpPr>
      <xdr:spPr>
        <a:xfrm>
          <a:off x="104775" y="72344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1505</xdr:row>
      <xdr:rowOff>87630</xdr:rowOff>
    </xdr:from>
    <xdr:to>
      <xdr:col>9</xdr:col>
      <xdr:colOff>0</xdr:colOff>
      <xdr:row>1505</xdr:row>
      <xdr:rowOff>87630</xdr:rowOff>
    </xdr:to>
    <xdr:cxnSp macro="">
      <xdr:nvCxnSpPr>
        <xdr:cNvPr id="154" name="Conector reto 153">
          <a:extLst>
            <a:ext uri="{FF2B5EF4-FFF2-40B4-BE49-F238E27FC236}">
              <a16:creationId xmlns:a16="http://schemas.microsoft.com/office/drawing/2014/main" id="{A7BD3DCA-AE64-4CB2-A62A-DE654DC226E9}"/>
            </a:ext>
          </a:extLst>
        </xdr:cNvPr>
        <xdr:cNvCxnSpPr/>
      </xdr:nvCxnSpPr>
      <xdr:spPr>
        <a:xfrm>
          <a:off x="104775" y="74554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1512</xdr:row>
      <xdr:rowOff>87630</xdr:rowOff>
    </xdr:from>
    <xdr:to>
      <xdr:col>9</xdr:col>
      <xdr:colOff>0</xdr:colOff>
      <xdr:row>1512</xdr:row>
      <xdr:rowOff>87630</xdr:rowOff>
    </xdr:to>
    <xdr:cxnSp macro="">
      <xdr:nvCxnSpPr>
        <xdr:cNvPr id="155" name="Conector reto 154">
          <a:extLst>
            <a:ext uri="{FF2B5EF4-FFF2-40B4-BE49-F238E27FC236}">
              <a16:creationId xmlns:a16="http://schemas.microsoft.com/office/drawing/2014/main" id="{C944B96B-3743-4CF4-A925-D8B08446BE95}"/>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1519</xdr:row>
      <xdr:rowOff>87630</xdr:rowOff>
    </xdr:from>
    <xdr:to>
      <xdr:col>9</xdr:col>
      <xdr:colOff>0</xdr:colOff>
      <xdr:row>1519</xdr:row>
      <xdr:rowOff>87630</xdr:rowOff>
    </xdr:to>
    <xdr:cxnSp macro="">
      <xdr:nvCxnSpPr>
        <xdr:cNvPr id="156" name="Conector reto 155">
          <a:extLst>
            <a:ext uri="{FF2B5EF4-FFF2-40B4-BE49-F238E27FC236}">
              <a16:creationId xmlns:a16="http://schemas.microsoft.com/office/drawing/2014/main" id="{8EC087A3-FBFF-4EE9-8C96-AC230FEB3B72}"/>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1526</xdr:row>
      <xdr:rowOff>87630</xdr:rowOff>
    </xdr:from>
    <xdr:to>
      <xdr:col>9</xdr:col>
      <xdr:colOff>0</xdr:colOff>
      <xdr:row>1526</xdr:row>
      <xdr:rowOff>87630</xdr:rowOff>
    </xdr:to>
    <xdr:cxnSp macro="">
      <xdr:nvCxnSpPr>
        <xdr:cNvPr id="157" name="Conector reto 156">
          <a:extLst>
            <a:ext uri="{FF2B5EF4-FFF2-40B4-BE49-F238E27FC236}">
              <a16:creationId xmlns:a16="http://schemas.microsoft.com/office/drawing/2014/main" id="{005B86CC-2FB3-4C1A-B25B-760E5B44B6BE}"/>
            </a:ext>
          </a:extLst>
        </xdr:cNvPr>
        <xdr:cNvCxnSpPr/>
      </xdr:nvCxnSpPr>
      <xdr:spPr>
        <a:xfrm>
          <a:off x="104775" y="14889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1534</xdr:row>
      <xdr:rowOff>87630</xdr:rowOff>
    </xdr:from>
    <xdr:to>
      <xdr:col>9</xdr:col>
      <xdr:colOff>0</xdr:colOff>
      <xdr:row>1534</xdr:row>
      <xdr:rowOff>87630</xdr:rowOff>
    </xdr:to>
    <xdr:cxnSp macro="">
      <xdr:nvCxnSpPr>
        <xdr:cNvPr id="158" name="Conector reto 157">
          <a:extLst>
            <a:ext uri="{FF2B5EF4-FFF2-40B4-BE49-F238E27FC236}">
              <a16:creationId xmlns:a16="http://schemas.microsoft.com/office/drawing/2014/main" id="{EE0AA3FA-5B54-461E-BD62-BBB7633A6CAF}"/>
            </a:ext>
          </a:extLst>
        </xdr:cNvPr>
        <xdr:cNvCxnSpPr/>
      </xdr:nvCxnSpPr>
      <xdr:spPr>
        <a:xfrm>
          <a:off x="104775" y="17099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1541</xdr:row>
      <xdr:rowOff>87630</xdr:rowOff>
    </xdr:from>
    <xdr:to>
      <xdr:col>9</xdr:col>
      <xdr:colOff>0</xdr:colOff>
      <xdr:row>1541</xdr:row>
      <xdr:rowOff>87630</xdr:rowOff>
    </xdr:to>
    <xdr:cxnSp macro="">
      <xdr:nvCxnSpPr>
        <xdr:cNvPr id="159" name="Conector reto 158">
          <a:extLst>
            <a:ext uri="{FF2B5EF4-FFF2-40B4-BE49-F238E27FC236}">
              <a16:creationId xmlns:a16="http://schemas.microsoft.com/office/drawing/2014/main" id="{60142321-B1D7-4EA1-BC1E-D1C08634F911}"/>
            </a:ext>
          </a:extLst>
        </xdr:cNvPr>
        <xdr:cNvCxnSpPr/>
      </xdr:nvCxnSpPr>
      <xdr:spPr>
        <a:xfrm>
          <a:off x="104775" y="19309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1549</xdr:row>
      <xdr:rowOff>87630</xdr:rowOff>
    </xdr:from>
    <xdr:to>
      <xdr:col>9</xdr:col>
      <xdr:colOff>0</xdr:colOff>
      <xdr:row>1549</xdr:row>
      <xdr:rowOff>87630</xdr:rowOff>
    </xdr:to>
    <xdr:cxnSp macro="">
      <xdr:nvCxnSpPr>
        <xdr:cNvPr id="160" name="Conector reto 159">
          <a:extLst>
            <a:ext uri="{FF2B5EF4-FFF2-40B4-BE49-F238E27FC236}">
              <a16:creationId xmlns:a16="http://schemas.microsoft.com/office/drawing/2014/main" id="{D51E47C7-06AC-4712-8867-B888F485CAA5}"/>
            </a:ext>
          </a:extLst>
        </xdr:cNvPr>
        <xdr:cNvCxnSpPr/>
      </xdr:nvCxnSpPr>
      <xdr:spPr>
        <a:xfrm>
          <a:off x="104775" y="21518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1556</xdr:row>
      <xdr:rowOff>87630</xdr:rowOff>
    </xdr:from>
    <xdr:to>
      <xdr:col>9</xdr:col>
      <xdr:colOff>0</xdr:colOff>
      <xdr:row>1556</xdr:row>
      <xdr:rowOff>87630</xdr:rowOff>
    </xdr:to>
    <xdr:cxnSp macro="">
      <xdr:nvCxnSpPr>
        <xdr:cNvPr id="161" name="Conector reto 160">
          <a:extLst>
            <a:ext uri="{FF2B5EF4-FFF2-40B4-BE49-F238E27FC236}">
              <a16:creationId xmlns:a16="http://schemas.microsoft.com/office/drawing/2014/main" id="{9C25F7F6-4311-4690-9BE3-495414F55743}"/>
            </a:ext>
          </a:extLst>
        </xdr:cNvPr>
        <xdr:cNvCxnSpPr/>
      </xdr:nvCxnSpPr>
      <xdr:spPr>
        <a:xfrm>
          <a:off x="104775" y="23728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1563</xdr:row>
      <xdr:rowOff>87630</xdr:rowOff>
    </xdr:from>
    <xdr:to>
      <xdr:col>9</xdr:col>
      <xdr:colOff>0</xdr:colOff>
      <xdr:row>1563</xdr:row>
      <xdr:rowOff>87630</xdr:rowOff>
    </xdr:to>
    <xdr:cxnSp macro="">
      <xdr:nvCxnSpPr>
        <xdr:cNvPr id="162" name="Conector reto 161">
          <a:extLst>
            <a:ext uri="{FF2B5EF4-FFF2-40B4-BE49-F238E27FC236}">
              <a16:creationId xmlns:a16="http://schemas.microsoft.com/office/drawing/2014/main" id="{5732C097-8F12-44F1-B85C-432B808DE6F6}"/>
            </a:ext>
          </a:extLst>
        </xdr:cNvPr>
        <xdr:cNvCxnSpPr/>
      </xdr:nvCxnSpPr>
      <xdr:spPr>
        <a:xfrm>
          <a:off x="104775" y="25938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1571</xdr:row>
      <xdr:rowOff>87630</xdr:rowOff>
    </xdr:from>
    <xdr:to>
      <xdr:col>9</xdr:col>
      <xdr:colOff>0</xdr:colOff>
      <xdr:row>1571</xdr:row>
      <xdr:rowOff>87630</xdr:rowOff>
    </xdr:to>
    <xdr:cxnSp macro="">
      <xdr:nvCxnSpPr>
        <xdr:cNvPr id="163" name="Conector reto 162">
          <a:extLst>
            <a:ext uri="{FF2B5EF4-FFF2-40B4-BE49-F238E27FC236}">
              <a16:creationId xmlns:a16="http://schemas.microsoft.com/office/drawing/2014/main" id="{2FEBBA37-742A-4C67-BA23-6A83B4B89E79}"/>
            </a:ext>
          </a:extLst>
        </xdr:cNvPr>
        <xdr:cNvCxnSpPr/>
      </xdr:nvCxnSpPr>
      <xdr:spPr>
        <a:xfrm>
          <a:off x="104775" y="28148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1579</xdr:row>
      <xdr:rowOff>87630</xdr:rowOff>
    </xdr:from>
    <xdr:to>
      <xdr:col>9</xdr:col>
      <xdr:colOff>0</xdr:colOff>
      <xdr:row>1579</xdr:row>
      <xdr:rowOff>87630</xdr:rowOff>
    </xdr:to>
    <xdr:cxnSp macro="">
      <xdr:nvCxnSpPr>
        <xdr:cNvPr id="164" name="Conector reto 163">
          <a:extLst>
            <a:ext uri="{FF2B5EF4-FFF2-40B4-BE49-F238E27FC236}">
              <a16:creationId xmlns:a16="http://schemas.microsoft.com/office/drawing/2014/main" id="{47073D57-0E88-4CB3-92CB-C7290C2B87AA}"/>
            </a:ext>
          </a:extLst>
        </xdr:cNvPr>
        <xdr:cNvCxnSpPr/>
      </xdr:nvCxnSpPr>
      <xdr:spPr>
        <a:xfrm>
          <a:off x="104775" y="30358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1585</xdr:row>
      <xdr:rowOff>87630</xdr:rowOff>
    </xdr:from>
    <xdr:to>
      <xdr:col>9</xdr:col>
      <xdr:colOff>0</xdr:colOff>
      <xdr:row>1585</xdr:row>
      <xdr:rowOff>87630</xdr:rowOff>
    </xdr:to>
    <xdr:cxnSp macro="">
      <xdr:nvCxnSpPr>
        <xdr:cNvPr id="165" name="Conector reto 164">
          <a:extLst>
            <a:ext uri="{FF2B5EF4-FFF2-40B4-BE49-F238E27FC236}">
              <a16:creationId xmlns:a16="http://schemas.microsoft.com/office/drawing/2014/main" id="{5F6A370F-0D93-40BB-ADC8-C349EE29FBD6}"/>
            </a:ext>
          </a:extLst>
        </xdr:cNvPr>
        <xdr:cNvCxnSpPr/>
      </xdr:nvCxnSpPr>
      <xdr:spPr>
        <a:xfrm>
          <a:off x="104775" y="32567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1592</xdr:row>
      <xdr:rowOff>87630</xdr:rowOff>
    </xdr:from>
    <xdr:to>
      <xdr:col>9</xdr:col>
      <xdr:colOff>0</xdr:colOff>
      <xdr:row>1592</xdr:row>
      <xdr:rowOff>87630</xdr:rowOff>
    </xdr:to>
    <xdr:cxnSp macro="">
      <xdr:nvCxnSpPr>
        <xdr:cNvPr id="166" name="Conector reto 165">
          <a:extLst>
            <a:ext uri="{FF2B5EF4-FFF2-40B4-BE49-F238E27FC236}">
              <a16:creationId xmlns:a16="http://schemas.microsoft.com/office/drawing/2014/main" id="{287A5271-074B-458C-B3D6-F3A9006C574A}"/>
            </a:ext>
          </a:extLst>
        </xdr:cNvPr>
        <xdr:cNvCxnSpPr/>
      </xdr:nvCxnSpPr>
      <xdr:spPr>
        <a:xfrm>
          <a:off x="104775" y="34777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1599</xdr:row>
      <xdr:rowOff>87630</xdr:rowOff>
    </xdr:from>
    <xdr:to>
      <xdr:col>9</xdr:col>
      <xdr:colOff>0</xdr:colOff>
      <xdr:row>1599</xdr:row>
      <xdr:rowOff>87630</xdr:rowOff>
    </xdr:to>
    <xdr:cxnSp macro="">
      <xdr:nvCxnSpPr>
        <xdr:cNvPr id="167" name="Conector reto 166">
          <a:extLst>
            <a:ext uri="{FF2B5EF4-FFF2-40B4-BE49-F238E27FC236}">
              <a16:creationId xmlns:a16="http://schemas.microsoft.com/office/drawing/2014/main" id="{6D5EDBFA-0940-414B-AA98-28147D471398}"/>
            </a:ext>
          </a:extLst>
        </xdr:cNvPr>
        <xdr:cNvCxnSpPr/>
      </xdr:nvCxnSpPr>
      <xdr:spPr>
        <a:xfrm>
          <a:off x="104775" y="36987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1607</xdr:row>
      <xdr:rowOff>87630</xdr:rowOff>
    </xdr:from>
    <xdr:to>
      <xdr:col>9</xdr:col>
      <xdr:colOff>0</xdr:colOff>
      <xdr:row>1607</xdr:row>
      <xdr:rowOff>87630</xdr:rowOff>
    </xdr:to>
    <xdr:cxnSp macro="">
      <xdr:nvCxnSpPr>
        <xdr:cNvPr id="168" name="Conector reto 167">
          <a:extLst>
            <a:ext uri="{FF2B5EF4-FFF2-40B4-BE49-F238E27FC236}">
              <a16:creationId xmlns:a16="http://schemas.microsoft.com/office/drawing/2014/main" id="{C694CFFC-E5AA-4E1C-80AE-6FCD68592D49}"/>
            </a:ext>
          </a:extLst>
        </xdr:cNvPr>
        <xdr:cNvCxnSpPr/>
      </xdr:nvCxnSpPr>
      <xdr:spPr>
        <a:xfrm>
          <a:off x="104775" y="39197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1614</xdr:row>
      <xdr:rowOff>87630</xdr:rowOff>
    </xdr:from>
    <xdr:to>
      <xdr:col>9</xdr:col>
      <xdr:colOff>0</xdr:colOff>
      <xdr:row>1614</xdr:row>
      <xdr:rowOff>87630</xdr:rowOff>
    </xdr:to>
    <xdr:cxnSp macro="">
      <xdr:nvCxnSpPr>
        <xdr:cNvPr id="169" name="Conector reto 168">
          <a:extLst>
            <a:ext uri="{FF2B5EF4-FFF2-40B4-BE49-F238E27FC236}">
              <a16:creationId xmlns:a16="http://schemas.microsoft.com/office/drawing/2014/main" id="{D38D026D-60EB-4048-AC3A-DCD59FAF47EF}"/>
            </a:ext>
          </a:extLst>
        </xdr:cNvPr>
        <xdr:cNvCxnSpPr/>
      </xdr:nvCxnSpPr>
      <xdr:spPr>
        <a:xfrm>
          <a:off x="104775" y="41407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1622</xdr:row>
      <xdr:rowOff>87630</xdr:rowOff>
    </xdr:from>
    <xdr:to>
      <xdr:col>9</xdr:col>
      <xdr:colOff>0</xdr:colOff>
      <xdr:row>1622</xdr:row>
      <xdr:rowOff>87630</xdr:rowOff>
    </xdr:to>
    <xdr:cxnSp macro="">
      <xdr:nvCxnSpPr>
        <xdr:cNvPr id="170" name="Conector reto 169">
          <a:extLst>
            <a:ext uri="{FF2B5EF4-FFF2-40B4-BE49-F238E27FC236}">
              <a16:creationId xmlns:a16="http://schemas.microsoft.com/office/drawing/2014/main" id="{3E49D6DC-7FDB-42F7-AC0C-6C75058BFEB5}"/>
            </a:ext>
          </a:extLst>
        </xdr:cNvPr>
        <xdr:cNvCxnSpPr/>
      </xdr:nvCxnSpPr>
      <xdr:spPr>
        <a:xfrm>
          <a:off x="104775" y="43616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1630</xdr:row>
      <xdr:rowOff>87630</xdr:rowOff>
    </xdr:from>
    <xdr:to>
      <xdr:col>9</xdr:col>
      <xdr:colOff>0</xdr:colOff>
      <xdr:row>1630</xdr:row>
      <xdr:rowOff>87630</xdr:rowOff>
    </xdr:to>
    <xdr:cxnSp macro="">
      <xdr:nvCxnSpPr>
        <xdr:cNvPr id="171" name="Conector reto 170">
          <a:extLst>
            <a:ext uri="{FF2B5EF4-FFF2-40B4-BE49-F238E27FC236}">
              <a16:creationId xmlns:a16="http://schemas.microsoft.com/office/drawing/2014/main" id="{20297D1A-19C0-4FCE-AC91-D2642C6B2874}"/>
            </a:ext>
          </a:extLst>
        </xdr:cNvPr>
        <xdr:cNvCxnSpPr/>
      </xdr:nvCxnSpPr>
      <xdr:spPr>
        <a:xfrm>
          <a:off x="104775" y="45826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1638</xdr:row>
      <xdr:rowOff>87630</xdr:rowOff>
    </xdr:from>
    <xdr:to>
      <xdr:col>9</xdr:col>
      <xdr:colOff>0</xdr:colOff>
      <xdr:row>1638</xdr:row>
      <xdr:rowOff>87630</xdr:rowOff>
    </xdr:to>
    <xdr:cxnSp macro="">
      <xdr:nvCxnSpPr>
        <xdr:cNvPr id="172" name="Conector reto 171">
          <a:extLst>
            <a:ext uri="{FF2B5EF4-FFF2-40B4-BE49-F238E27FC236}">
              <a16:creationId xmlns:a16="http://schemas.microsoft.com/office/drawing/2014/main" id="{4ACF76F9-819C-4083-9E97-F7E991C9A364}"/>
            </a:ext>
          </a:extLst>
        </xdr:cNvPr>
        <xdr:cNvCxnSpPr/>
      </xdr:nvCxnSpPr>
      <xdr:spPr>
        <a:xfrm>
          <a:off x="104775" y="48036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1645</xdr:row>
      <xdr:rowOff>87630</xdr:rowOff>
    </xdr:from>
    <xdr:to>
      <xdr:col>9</xdr:col>
      <xdr:colOff>0</xdr:colOff>
      <xdr:row>1645</xdr:row>
      <xdr:rowOff>87630</xdr:rowOff>
    </xdr:to>
    <xdr:cxnSp macro="">
      <xdr:nvCxnSpPr>
        <xdr:cNvPr id="173" name="Conector reto 172">
          <a:extLst>
            <a:ext uri="{FF2B5EF4-FFF2-40B4-BE49-F238E27FC236}">
              <a16:creationId xmlns:a16="http://schemas.microsoft.com/office/drawing/2014/main" id="{6CAC7E89-E8F0-45CE-8F55-18D4B545998F}"/>
            </a:ext>
          </a:extLst>
        </xdr:cNvPr>
        <xdr:cNvCxnSpPr/>
      </xdr:nvCxnSpPr>
      <xdr:spPr>
        <a:xfrm>
          <a:off x="104775" y="50246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1655</xdr:row>
      <xdr:rowOff>87630</xdr:rowOff>
    </xdr:from>
    <xdr:to>
      <xdr:col>9</xdr:col>
      <xdr:colOff>0</xdr:colOff>
      <xdr:row>1655</xdr:row>
      <xdr:rowOff>87630</xdr:rowOff>
    </xdr:to>
    <xdr:cxnSp macro="">
      <xdr:nvCxnSpPr>
        <xdr:cNvPr id="174" name="Conector reto 173">
          <a:extLst>
            <a:ext uri="{FF2B5EF4-FFF2-40B4-BE49-F238E27FC236}">
              <a16:creationId xmlns:a16="http://schemas.microsoft.com/office/drawing/2014/main" id="{559278E2-BBD9-4201-A9CD-4EA64F0BA6EA}"/>
            </a:ext>
          </a:extLst>
        </xdr:cNvPr>
        <xdr:cNvCxnSpPr/>
      </xdr:nvCxnSpPr>
      <xdr:spPr>
        <a:xfrm>
          <a:off x="104775" y="52456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1665</xdr:row>
      <xdr:rowOff>87630</xdr:rowOff>
    </xdr:from>
    <xdr:to>
      <xdr:col>9</xdr:col>
      <xdr:colOff>0</xdr:colOff>
      <xdr:row>1665</xdr:row>
      <xdr:rowOff>87630</xdr:rowOff>
    </xdr:to>
    <xdr:cxnSp macro="">
      <xdr:nvCxnSpPr>
        <xdr:cNvPr id="175" name="Conector reto 174">
          <a:extLst>
            <a:ext uri="{FF2B5EF4-FFF2-40B4-BE49-F238E27FC236}">
              <a16:creationId xmlns:a16="http://schemas.microsoft.com/office/drawing/2014/main" id="{7BCF5BC1-B7D2-4A54-A4C3-DFE4EA6F3AE0}"/>
            </a:ext>
          </a:extLst>
        </xdr:cNvPr>
        <xdr:cNvCxnSpPr/>
      </xdr:nvCxnSpPr>
      <xdr:spPr>
        <a:xfrm>
          <a:off x="104775" y="54665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1675</xdr:row>
      <xdr:rowOff>87630</xdr:rowOff>
    </xdr:from>
    <xdr:to>
      <xdr:col>9</xdr:col>
      <xdr:colOff>0</xdr:colOff>
      <xdr:row>1675</xdr:row>
      <xdr:rowOff>87630</xdr:rowOff>
    </xdr:to>
    <xdr:cxnSp macro="">
      <xdr:nvCxnSpPr>
        <xdr:cNvPr id="176" name="Conector reto 175">
          <a:extLst>
            <a:ext uri="{FF2B5EF4-FFF2-40B4-BE49-F238E27FC236}">
              <a16:creationId xmlns:a16="http://schemas.microsoft.com/office/drawing/2014/main" id="{CB2901C9-54EC-4E7B-B720-395C55F3EE9A}"/>
            </a:ext>
          </a:extLst>
        </xdr:cNvPr>
        <xdr:cNvCxnSpPr/>
      </xdr:nvCxnSpPr>
      <xdr:spPr>
        <a:xfrm>
          <a:off x="104775" y="56875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1685</xdr:row>
      <xdr:rowOff>87630</xdr:rowOff>
    </xdr:from>
    <xdr:to>
      <xdr:col>9</xdr:col>
      <xdr:colOff>0</xdr:colOff>
      <xdr:row>1685</xdr:row>
      <xdr:rowOff>87630</xdr:rowOff>
    </xdr:to>
    <xdr:cxnSp macro="">
      <xdr:nvCxnSpPr>
        <xdr:cNvPr id="177" name="Conector reto 176">
          <a:extLst>
            <a:ext uri="{FF2B5EF4-FFF2-40B4-BE49-F238E27FC236}">
              <a16:creationId xmlns:a16="http://schemas.microsoft.com/office/drawing/2014/main" id="{4823E7BA-1E4C-4904-8409-16E45E1B3426}"/>
            </a:ext>
          </a:extLst>
        </xdr:cNvPr>
        <xdr:cNvCxnSpPr/>
      </xdr:nvCxnSpPr>
      <xdr:spPr>
        <a:xfrm>
          <a:off x="104775" y="59085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1694</xdr:row>
      <xdr:rowOff>87630</xdr:rowOff>
    </xdr:from>
    <xdr:to>
      <xdr:col>9</xdr:col>
      <xdr:colOff>0</xdr:colOff>
      <xdr:row>1694</xdr:row>
      <xdr:rowOff>87630</xdr:rowOff>
    </xdr:to>
    <xdr:cxnSp macro="">
      <xdr:nvCxnSpPr>
        <xdr:cNvPr id="178" name="Conector reto 177">
          <a:extLst>
            <a:ext uri="{FF2B5EF4-FFF2-40B4-BE49-F238E27FC236}">
              <a16:creationId xmlns:a16="http://schemas.microsoft.com/office/drawing/2014/main" id="{F075B29C-0262-469D-B373-AC952C9CEC9C}"/>
            </a:ext>
          </a:extLst>
        </xdr:cNvPr>
        <xdr:cNvCxnSpPr/>
      </xdr:nvCxnSpPr>
      <xdr:spPr>
        <a:xfrm>
          <a:off x="104775" y="61295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1704</xdr:row>
      <xdr:rowOff>87630</xdr:rowOff>
    </xdr:from>
    <xdr:to>
      <xdr:col>9</xdr:col>
      <xdr:colOff>0</xdr:colOff>
      <xdr:row>1704</xdr:row>
      <xdr:rowOff>87630</xdr:rowOff>
    </xdr:to>
    <xdr:cxnSp macro="">
      <xdr:nvCxnSpPr>
        <xdr:cNvPr id="179" name="Conector reto 178">
          <a:extLst>
            <a:ext uri="{FF2B5EF4-FFF2-40B4-BE49-F238E27FC236}">
              <a16:creationId xmlns:a16="http://schemas.microsoft.com/office/drawing/2014/main" id="{A8780F71-40B6-43E3-B92B-FA226BDAE214}"/>
            </a:ext>
          </a:extLst>
        </xdr:cNvPr>
        <xdr:cNvCxnSpPr/>
      </xdr:nvCxnSpPr>
      <xdr:spPr>
        <a:xfrm>
          <a:off x="104775" y="63505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1714</xdr:row>
      <xdr:rowOff>87630</xdr:rowOff>
    </xdr:from>
    <xdr:to>
      <xdr:col>9</xdr:col>
      <xdr:colOff>0</xdr:colOff>
      <xdr:row>1714</xdr:row>
      <xdr:rowOff>87630</xdr:rowOff>
    </xdr:to>
    <xdr:cxnSp macro="">
      <xdr:nvCxnSpPr>
        <xdr:cNvPr id="180" name="Conector reto 179">
          <a:extLst>
            <a:ext uri="{FF2B5EF4-FFF2-40B4-BE49-F238E27FC236}">
              <a16:creationId xmlns:a16="http://schemas.microsoft.com/office/drawing/2014/main" id="{CAFBDBBF-AA05-43BA-AC96-A8D24AEF37E7}"/>
            </a:ext>
          </a:extLst>
        </xdr:cNvPr>
        <xdr:cNvCxnSpPr/>
      </xdr:nvCxnSpPr>
      <xdr:spPr>
        <a:xfrm>
          <a:off x="104775" y="65714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1722</xdr:row>
      <xdr:rowOff>87630</xdr:rowOff>
    </xdr:from>
    <xdr:to>
      <xdr:col>9</xdr:col>
      <xdr:colOff>0</xdr:colOff>
      <xdr:row>1722</xdr:row>
      <xdr:rowOff>87630</xdr:rowOff>
    </xdr:to>
    <xdr:cxnSp macro="">
      <xdr:nvCxnSpPr>
        <xdr:cNvPr id="181" name="Conector reto 180">
          <a:extLst>
            <a:ext uri="{FF2B5EF4-FFF2-40B4-BE49-F238E27FC236}">
              <a16:creationId xmlns:a16="http://schemas.microsoft.com/office/drawing/2014/main" id="{97A2C98E-3D50-4922-9860-D0370B51B1B7}"/>
            </a:ext>
          </a:extLst>
        </xdr:cNvPr>
        <xdr:cNvCxnSpPr/>
      </xdr:nvCxnSpPr>
      <xdr:spPr>
        <a:xfrm>
          <a:off x="104775" y="67924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1730</xdr:row>
      <xdr:rowOff>87630</xdr:rowOff>
    </xdr:from>
    <xdr:to>
      <xdr:col>9</xdr:col>
      <xdr:colOff>0</xdr:colOff>
      <xdr:row>1730</xdr:row>
      <xdr:rowOff>87630</xdr:rowOff>
    </xdr:to>
    <xdr:cxnSp macro="">
      <xdr:nvCxnSpPr>
        <xdr:cNvPr id="182" name="Conector reto 181">
          <a:extLst>
            <a:ext uri="{FF2B5EF4-FFF2-40B4-BE49-F238E27FC236}">
              <a16:creationId xmlns:a16="http://schemas.microsoft.com/office/drawing/2014/main" id="{AE90AB59-0CE3-4E61-8976-60BA73395E81}"/>
            </a:ext>
          </a:extLst>
        </xdr:cNvPr>
        <xdr:cNvCxnSpPr/>
      </xdr:nvCxnSpPr>
      <xdr:spPr>
        <a:xfrm>
          <a:off x="104775" y="70134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1738</xdr:row>
      <xdr:rowOff>87630</xdr:rowOff>
    </xdr:from>
    <xdr:to>
      <xdr:col>9</xdr:col>
      <xdr:colOff>0</xdr:colOff>
      <xdr:row>1738</xdr:row>
      <xdr:rowOff>87630</xdr:rowOff>
    </xdr:to>
    <xdr:cxnSp macro="">
      <xdr:nvCxnSpPr>
        <xdr:cNvPr id="183" name="Conector reto 182">
          <a:extLst>
            <a:ext uri="{FF2B5EF4-FFF2-40B4-BE49-F238E27FC236}">
              <a16:creationId xmlns:a16="http://schemas.microsoft.com/office/drawing/2014/main" id="{15CD7326-37A7-451D-AAFD-9DD198ED0F36}"/>
            </a:ext>
          </a:extLst>
        </xdr:cNvPr>
        <xdr:cNvCxnSpPr/>
      </xdr:nvCxnSpPr>
      <xdr:spPr>
        <a:xfrm>
          <a:off x="104775" y="72344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1746</xdr:row>
      <xdr:rowOff>87630</xdr:rowOff>
    </xdr:from>
    <xdr:to>
      <xdr:col>9</xdr:col>
      <xdr:colOff>0</xdr:colOff>
      <xdr:row>1746</xdr:row>
      <xdr:rowOff>87630</xdr:rowOff>
    </xdr:to>
    <xdr:cxnSp macro="">
      <xdr:nvCxnSpPr>
        <xdr:cNvPr id="184" name="Conector reto 183">
          <a:extLst>
            <a:ext uri="{FF2B5EF4-FFF2-40B4-BE49-F238E27FC236}">
              <a16:creationId xmlns:a16="http://schemas.microsoft.com/office/drawing/2014/main" id="{153E1AB9-C94A-4187-A313-A93B83C945F6}"/>
            </a:ext>
          </a:extLst>
        </xdr:cNvPr>
        <xdr:cNvCxnSpPr/>
      </xdr:nvCxnSpPr>
      <xdr:spPr>
        <a:xfrm>
          <a:off x="104775" y="74554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1754</xdr:row>
      <xdr:rowOff>87630</xdr:rowOff>
    </xdr:from>
    <xdr:to>
      <xdr:col>9</xdr:col>
      <xdr:colOff>0</xdr:colOff>
      <xdr:row>1754</xdr:row>
      <xdr:rowOff>87630</xdr:rowOff>
    </xdr:to>
    <xdr:cxnSp macro="">
      <xdr:nvCxnSpPr>
        <xdr:cNvPr id="185" name="Conector reto 184">
          <a:extLst>
            <a:ext uri="{FF2B5EF4-FFF2-40B4-BE49-F238E27FC236}">
              <a16:creationId xmlns:a16="http://schemas.microsoft.com/office/drawing/2014/main" id="{3B749723-FEBE-4BEC-AA4E-23A0A3A1CFB2}"/>
            </a:ext>
          </a:extLst>
        </xdr:cNvPr>
        <xdr:cNvCxnSpPr/>
      </xdr:nvCxnSpPr>
      <xdr:spPr>
        <a:xfrm>
          <a:off x="104775" y="10469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1762</xdr:row>
      <xdr:rowOff>87630</xdr:rowOff>
    </xdr:from>
    <xdr:to>
      <xdr:col>9</xdr:col>
      <xdr:colOff>0</xdr:colOff>
      <xdr:row>1762</xdr:row>
      <xdr:rowOff>87630</xdr:rowOff>
    </xdr:to>
    <xdr:cxnSp macro="">
      <xdr:nvCxnSpPr>
        <xdr:cNvPr id="186" name="Conector reto 185">
          <a:extLst>
            <a:ext uri="{FF2B5EF4-FFF2-40B4-BE49-F238E27FC236}">
              <a16:creationId xmlns:a16="http://schemas.microsoft.com/office/drawing/2014/main" id="{1CBB31A1-D56A-48A7-86F4-5451BCFFAF99}"/>
            </a:ext>
          </a:extLst>
        </xdr:cNvPr>
        <xdr:cNvCxnSpPr/>
      </xdr:nvCxnSpPr>
      <xdr:spPr>
        <a:xfrm>
          <a:off x="104775" y="12679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1770</xdr:row>
      <xdr:rowOff>87630</xdr:rowOff>
    </xdr:from>
    <xdr:to>
      <xdr:col>9</xdr:col>
      <xdr:colOff>0</xdr:colOff>
      <xdr:row>1770</xdr:row>
      <xdr:rowOff>87630</xdr:rowOff>
    </xdr:to>
    <xdr:cxnSp macro="">
      <xdr:nvCxnSpPr>
        <xdr:cNvPr id="187" name="Conector reto 186">
          <a:extLst>
            <a:ext uri="{FF2B5EF4-FFF2-40B4-BE49-F238E27FC236}">
              <a16:creationId xmlns:a16="http://schemas.microsoft.com/office/drawing/2014/main" id="{2A08579B-386A-4CA6-A46A-5DA95709D561}"/>
            </a:ext>
          </a:extLst>
        </xdr:cNvPr>
        <xdr:cNvCxnSpPr/>
      </xdr:nvCxnSpPr>
      <xdr:spPr>
        <a:xfrm>
          <a:off x="104775" y="14889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1780</xdr:row>
      <xdr:rowOff>87630</xdr:rowOff>
    </xdr:from>
    <xdr:to>
      <xdr:col>9</xdr:col>
      <xdr:colOff>0</xdr:colOff>
      <xdr:row>1780</xdr:row>
      <xdr:rowOff>87630</xdr:rowOff>
    </xdr:to>
    <xdr:cxnSp macro="">
      <xdr:nvCxnSpPr>
        <xdr:cNvPr id="188" name="Conector reto 187">
          <a:extLst>
            <a:ext uri="{FF2B5EF4-FFF2-40B4-BE49-F238E27FC236}">
              <a16:creationId xmlns:a16="http://schemas.microsoft.com/office/drawing/2014/main" id="{12074FC9-1EA3-4010-9982-CBA84FCD8A68}"/>
            </a:ext>
          </a:extLst>
        </xdr:cNvPr>
        <xdr:cNvCxnSpPr/>
      </xdr:nvCxnSpPr>
      <xdr:spPr>
        <a:xfrm>
          <a:off x="104775" y="17099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1790</xdr:row>
      <xdr:rowOff>87630</xdr:rowOff>
    </xdr:from>
    <xdr:to>
      <xdr:col>9</xdr:col>
      <xdr:colOff>0</xdr:colOff>
      <xdr:row>1790</xdr:row>
      <xdr:rowOff>87630</xdr:rowOff>
    </xdr:to>
    <xdr:cxnSp macro="">
      <xdr:nvCxnSpPr>
        <xdr:cNvPr id="189" name="Conector reto 188">
          <a:extLst>
            <a:ext uri="{FF2B5EF4-FFF2-40B4-BE49-F238E27FC236}">
              <a16:creationId xmlns:a16="http://schemas.microsoft.com/office/drawing/2014/main" id="{3342BD4C-3157-451D-AB7E-4FB53932D022}"/>
            </a:ext>
          </a:extLst>
        </xdr:cNvPr>
        <xdr:cNvCxnSpPr/>
      </xdr:nvCxnSpPr>
      <xdr:spPr>
        <a:xfrm>
          <a:off x="104775" y="19309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1800</xdr:row>
      <xdr:rowOff>87630</xdr:rowOff>
    </xdr:from>
    <xdr:to>
      <xdr:col>9</xdr:col>
      <xdr:colOff>0</xdr:colOff>
      <xdr:row>1800</xdr:row>
      <xdr:rowOff>87630</xdr:rowOff>
    </xdr:to>
    <xdr:cxnSp macro="">
      <xdr:nvCxnSpPr>
        <xdr:cNvPr id="190" name="Conector reto 189">
          <a:extLst>
            <a:ext uri="{FF2B5EF4-FFF2-40B4-BE49-F238E27FC236}">
              <a16:creationId xmlns:a16="http://schemas.microsoft.com/office/drawing/2014/main" id="{37F9AA33-A651-4F3C-ABA9-697681C0CE69}"/>
            </a:ext>
          </a:extLst>
        </xdr:cNvPr>
        <xdr:cNvCxnSpPr/>
      </xdr:nvCxnSpPr>
      <xdr:spPr>
        <a:xfrm>
          <a:off x="104775" y="21518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1809</xdr:row>
      <xdr:rowOff>87630</xdr:rowOff>
    </xdr:from>
    <xdr:to>
      <xdr:col>9</xdr:col>
      <xdr:colOff>0</xdr:colOff>
      <xdr:row>1809</xdr:row>
      <xdr:rowOff>87630</xdr:rowOff>
    </xdr:to>
    <xdr:cxnSp macro="">
      <xdr:nvCxnSpPr>
        <xdr:cNvPr id="191" name="Conector reto 190">
          <a:extLst>
            <a:ext uri="{FF2B5EF4-FFF2-40B4-BE49-F238E27FC236}">
              <a16:creationId xmlns:a16="http://schemas.microsoft.com/office/drawing/2014/main" id="{698DB06B-64F4-40A7-B999-276EC47D6537}"/>
            </a:ext>
          </a:extLst>
        </xdr:cNvPr>
        <xdr:cNvCxnSpPr/>
      </xdr:nvCxnSpPr>
      <xdr:spPr>
        <a:xfrm>
          <a:off x="104775" y="23728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1819</xdr:row>
      <xdr:rowOff>87630</xdr:rowOff>
    </xdr:from>
    <xdr:to>
      <xdr:col>9</xdr:col>
      <xdr:colOff>0</xdr:colOff>
      <xdr:row>1819</xdr:row>
      <xdr:rowOff>87630</xdr:rowOff>
    </xdr:to>
    <xdr:cxnSp macro="">
      <xdr:nvCxnSpPr>
        <xdr:cNvPr id="192" name="Conector reto 191">
          <a:extLst>
            <a:ext uri="{FF2B5EF4-FFF2-40B4-BE49-F238E27FC236}">
              <a16:creationId xmlns:a16="http://schemas.microsoft.com/office/drawing/2014/main" id="{6A5F04B3-EE2A-436D-A3A8-BE04D125A05F}"/>
            </a:ext>
          </a:extLst>
        </xdr:cNvPr>
        <xdr:cNvCxnSpPr/>
      </xdr:nvCxnSpPr>
      <xdr:spPr>
        <a:xfrm>
          <a:off x="104775" y="25938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1828</xdr:row>
      <xdr:rowOff>87630</xdr:rowOff>
    </xdr:from>
    <xdr:to>
      <xdr:col>9</xdr:col>
      <xdr:colOff>0</xdr:colOff>
      <xdr:row>1828</xdr:row>
      <xdr:rowOff>87630</xdr:rowOff>
    </xdr:to>
    <xdr:cxnSp macro="">
      <xdr:nvCxnSpPr>
        <xdr:cNvPr id="193" name="Conector reto 192">
          <a:extLst>
            <a:ext uri="{FF2B5EF4-FFF2-40B4-BE49-F238E27FC236}">
              <a16:creationId xmlns:a16="http://schemas.microsoft.com/office/drawing/2014/main" id="{3D7F91A8-503B-4CAD-B33F-D62C3C067A31}"/>
            </a:ext>
          </a:extLst>
        </xdr:cNvPr>
        <xdr:cNvCxnSpPr/>
      </xdr:nvCxnSpPr>
      <xdr:spPr>
        <a:xfrm>
          <a:off x="104775" y="28148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1838</xdr:row>
      <xdr:rowOff>87630</xdr:rowOff>
    </xdr:from>
    <xdr:to>
      <xdr:col>9</xdr:col>
      <xdr:colOff>0</xdr:colOff>
      <xdr:row>1838</xdr:row>
      <xdr:rowOff>87630</xdr:rowOff>
    </xdr:to>
    <xdr:cxnSp macro="">
      <xdr:nvCxnSpPr>
        <xdr:cNvPr id="194" name="Conector reto 193">
          <a:extLst>
            <a:ext uri="{FF2B5EF4-FFF2-40B4-BE49-F238E27FC236}">
              <a16:creationId xmlns:a16="http://schemas.microsoft.com/office/drawing/2014/main" id="{D731C63E-DD40-46BD-A072-1BD25756A898}"/>
            </a:ext>
          </a:extLst>
        </xdr:cNvPr>
        <xdr:cNvCxnSpPr/>
      </xdr:nvCxnSpPr>
      <xdr:spPr>
        <a:xfrm>
          <a:off x="104775" y="30358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1848</xdr:row>
      <xdr:rowOff>87630</xdr:rowOff>
    </xdr:from>
    <xdr:to>
      <xdr:col>9</xdr:col>
      <xdr:colOff>0</xdr:colOff>
      <xdr:row>1848</xdr:row>
      <xdr:rowOff>87630</xdr:rowOff>
    </xdr:to>
    <xdr:cxnSp macro="">
      <xdr:nvCxnSpPr>
        <xdr:cNvPr id="195" name="Conector reto 194">
          <a:extLst>
            <a:ext uri="{FF2B5EF4-FFF2-40B4-BE49-F238E27FC236}">
              <a16:creationId xmlns:a16="http://schemas.microsoft.com/office/drawing/2014/main" id="{B9E9EFFD-50A0-4B43-A34B-5E52337776A7}"/>
            </a:ext>
          </a:extLst>
        </xdr:cNvPr>
        <xdr:cNvCxnSpPr/>
      </xdr:nvCxnSpPr>
      <xdr:spPr>
        <a:xfrm>
          <a:off x="104775" y="32567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1858</xdr:row>
      <xdr:rowOff>87630</xdr:rowOff>
    </xdr:from>
    <xdr:to>
      <xdr:col>9</xdr:col>
      <xdr:colOff>0</xdr:colOff>
      <xdr:row>1858</xdr:row>
      <xdr:rowOff>87630</xdr:rowOff>
    </xdr:to>
    <xdr:cxnSp macro="">
      <xdr:nvCxnSpPr>
        <xdr:cNvPr id="196" name="Conector reto 195">
          <a:extLst>
            <a:ext uri="{FF2B5EF4-FFF2-40B4-BE49-F238E27FC236}">
              <a16:creationId xmlns:a16="http://schemas.microsoft.com/office/drawing/2014/main" id="{B55BD734-8CDF-45ED-82FD-0798D941B559}"/>
            </a:ext>
          </a:extLst>
        </xdr:cNvPr>
        <xdr:cNvCxnSpPr/>
      </xdr:nvCxnSpPr>
      <xdr:spPr>
        <a:xfrm>
          <a:off x="104775" y="34777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1868</xdr:row>
      <xdr:rowOff>87630</xdr:rowOff>
    </xdr:from>
    <xdr:to>
      <xdr:col>9</xdr:col>
      <xdr:colOff>0</xdr:colOff>
      <xdr:row>1868</xdr:row>
      <xdr:rowOff>87630</xdr:rowOff>
    </xdr:to>
    <xdr:cxnSp macro="">
      <xdr:nvCxnSpPr>
        <xdr:cNvPr id="197" name="Conector reto 196">
          <a:extLst>
            <a:ext uri="{FF2B5EF4-FFF2-40B4-BE49-F238E27FC236}">
              <a16:creationId xmlns:a16="http://schemas.microsoft.com/office/drawing/2014/main" id="{DC69A194-45E4-4412-BB4D-4D9CEF5B7822}"/>
            </a:ext>
          </a:extLst>
        </xdr:cNvPr>
        <xdr:cNvCxnSpPr/>
      </xdr:nvCxnSpPr>
      <xdr:spPr>
        <a:xfrm>
          <a:off x="104775" y="36987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1876</xdr:row>
      <xdr:rowOff>87630</xdr:rowOff>
    </xdr:from>
    <xdr:to>
      <xdr:col>9</xdr:col>
      <xdr:colOff>0</xdr:colOff>
      <xdr:row>1876</xdr:row>
      <xdr:rowOff>87630</xdr:rowOff>
    </xdr:to>
    <xdr:cxnSp macro="">
      <xdr:nvCxnSpPr>
        <xdr:cNvPr id="198" name="Conector reto 197">
          <a:extLst>
            <a:ext uri="{FF2B5EF4-FFF2-40B4-BE49-F238E27FC236}">
              <a16:creationId xmlns:a16="http://schemas.microsoft.com/office/drawing/2014/main" id="{A90D59BF-AF2D-4FD8-B257-77D28567C36C}"/>
            </a:ext>
          </a:extLst>
        </xdr:cNvPr>
        <xdr:cNvCxnSpPr/>
      </xdr:nvCxnSpPr>
      <xdr:spPr>
        <a:xfrm>
          <a:off x="104775" y="39197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1883</xdr:row>
      <xdr:rowOff>87630</xdr:rowOff>
    </xdr:from>
    <xdr:to>
      <xdr:col>9</xdr:col>
      <xdr:colOff>0</xdr:colOff>
      <xdr:row>1883</xdr:row>
      <xdr:rowOff>87630</xdr:rowOff>
    </xdr:to>
    <xdr:cxnSp macro="">
      <xdr:nvCxnSpPr>
        <xdr:cNvPr id="199" name="Conector reto 198">
          <a:extLst>
            <a:ext uri="{FF2B5EF4-FFF2-40B4-BE49-F238E27FC236}">
              <a16:creationId xmlns:a16="http://schemas.microsoft.com/office/drawing/2014/main" id="{5E079D05-894D-4222-9D2C-B63DB14D1E1C}"/>
            </a:ext>
          </a:extLst>
        </xdr:cNvPr>
        <xdr:cNvCxnSpPr/>
      </xdr:nvCxnSpPr>
      <xdr:spPr>
        <a:xfrm>
          <a:off x="104775" y="41407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1892</xdr:row>
      <xdr:rowOff>87630</xdr:rowOff>
    </xdr:from>
    <xdr:to>
      <xdr:col>9</xdr:col>
      <xdr:colOff>0</xdr:colOff>
      <xdr:row>1892</xdr:row>
      <xdr:rowOff>87630</xdr:rowOff>
    </xdr:to>
    <xdr:cxnSp macro="">
      <xdr:nvCxnSpPr>
        <xdr:cNvPr id="200" name="Conector reto 199">
          <a:extLst>
            <a:ext uri="{FF2B5EF4-FFF2-40B4-BE49-F238E27FC236}">
              <a16:creationId xmlns:a16="http://schemas.microsoft.com/office/drawing/2014/main" id="{B38D337E-616E-4E12-B000-DE0ED1745F24}"/>
            </a:ext>
          </a:extLst>
        </xdr:cNvPr>
        <xdr:cNvCxnSpPr/>
      </xdr:nvCxnSpPr>
      <xdr:spPr>
        <a:xfrm>
          <a:off x="104775" y="43616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1899</xdr:row>
      <xdr:rowOff>87630</xdr:rowOff>
    </xdr:from>
    <xdr:to>
      <xdr:col>9</xdr:col>
      <xdr:colOff>0</xdr:colOff>
      <xdr:row>1899</xdr:row>
      <xdr:rowOff>87630</xdr:rowOff>
    </xdr:to>
    <xdr:cxnSp macro="">
      <xdr:nvCxnSpPr>
        <xdr:cNvPr id="201" name="Conector reto 200">
          <a:extLst>
            <a:ext uri="{FF2B5EF4-FFF2-40B4-BE49-F238E27FC236}">
              <a16:creationId xmlns:a16="http://schemas.microsoft.com/office/drawing/2014/main" id="{E0F23E92-A894-42A7-B15C-C00E9B6DB99D}"/>
            </a:ext>
          </a:extLst>
        </xdr:cNvPr>
        <xdr:cNvCxnSpPr/>
      </xdr:nvCxnSpPr>
      <xdr:spPr>
        <a:xfrm>
          <a:off x="104775" y="45826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1905</xdr:row>
      <xdr:rowOff>87630</xdr:rowOff>
    </xdr:from>
    <xdr:to>
      <xdr:col>9</xdr:col>
      <xdr:colOff>0</xdr:colOff>
      <xdr:row>1905</xdr:row>
      <xdr:rowOff>87630</xdr:rowOff>
    </xdr:to>
    <xdr:cxnSp macro="">
      <xdr:nvCxnSpPr>
        <xdr:cNvPr id="202" name="Conector reto 201">
          <a:extLst>
            <a:ext uri="{FF2B5EF4-FFF2-40B4-BE49-F238E27FC236}">
              <a16:creationId xmlns:a16="http://schemas.microsoft.com/office/drawing/2014/main" id="{6FD0352C-E457-43FA-88ED-AAA70EF47BEA}"/>
            </a:ext>
          </a:extLst>
        </xdr:cNvPr>
        <xdr:cNvCxnSpPr/>
      </xdr:nvCxnSpPr>
      <xdr:spPr>
        <a:xfrm>
          <a:off x="104775" y="48036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1911</xdr:row>
      <xdr:rowOff>87630</xdr:rowOff>
    </xdr:from>
    <xdr:to>
      <xdr:col>9</xdr:col>
      <xdr:colOff>0</xdr:colOff>
      <xdr:row>1911</xdr:row>
      <xdr:rowOff>87630</xdr:rowOff>
    </xdr:to>
    <xdr:cxnSp macro="">
      <xdr:nvCxnSpPr>
        <xdr:cNvPr id="203" name="Conector reto 202">
          <a:extLst>
            <a:ext uri="{FF2B5EF4-FFF2-40B4-BE49-F238E27FC236}">
              <a16:creationId xmlns:a16="http://schemas.microsoft.com/office/drawing/2014/main" id="{7AC7AC79-2AEB-417E-963B-6A02B0A5EA45}"/>
            </a:ext>
          </a:extLst>
        </xdr:cNvPr>
        <xdr:cNvCxnSpPr/>
      </xdr:nvCxnSpPr>
      <xdr:spPr>
        <a:xfrm>
          <a:off x="104775" y="50246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1919</xdr:row>
      <xdr:rowOff>87630</xdr:rowOff>
    </xdr:from>
    <xdr:to>
      <xdr:col>9</xdr:col>
      <xdr:colOff>0</xdr:colOff>
      <xdr:row>1919</xdr:row>
      <xdr:rowOff>87630</xdr:rowOff>
    </xdr:to>
    <xdr:cxnSp macro="">
      <xdr:nvCxnSpPr>
        <xdr:cNvPr id="204" name="Conector reto 203">
          <a:extLst>
            <a:ext uri="{FF2B5EF4-FFF2-40B4-BE49-F238E27FC236}">
              <a16:creationId xmlns:a16="http://schemas.microsoft.com/office/drawing/2014/main" id="{17ACD47B-A2B1-4D9B-9E51-7B0F5C49E1AE}"/>
            </a:ext>
          </a:extLst>
        </xdr:cNvPr>
        <xdr:cNvCxnSpPr/>
      </xdr:nvCxnSpPr>
      <xdr:spPr>
        <a:xfrm>
          <a:off x="104775" y="52456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1928</xdr:row>
      <xdr:rowOff>87630</xdr:rowOff>
    </xdr:from>
    <xdr:to>
      <xdr:col>9</xdr:col>
      <xdr:colOff>0</xdr:colOff>
      <xdr:row>1928</xdr:row>
      <xdr:rowOff>87630</xdr:rowOff>
    </xdr:to>
    <xdr:cxnSp macro="">
      <xdr:nvCxnSpPr>
        <xdr:cNvPr id="205" name="Conector reto 204">
          <a:extLst>
            <a:ext uri="{FF2B5EF4-FFF2-40B4-BE49-F238E27FC236}">
              <a16:creationId xmlns:a16="http://schemas.microsoft.com/office/drawing/2014/main" id="{B5614D45-5BE2-404C-9086-DEF2164E6E81}"/>
            </a:ext>
          </a:extLst>
        </xdr:cNvPr>
        <xdr:cNvCxnSpPr/>
      </xdr:nvCxnSpPr>
      <xdr:spPr>
        <a:xfrm>
          <a:off x="104775" y="54665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1937</xdr:row>
      <xdr:rowOff>87630</xdr:rowOff>
    </xdr:from>
    <xdr:to>
      <xdr:col>9</xdr:col>
      <xdr:colOff>0</xdr:colOff>
      <xdr:row>1937</xdr:row>
      <xdr:rowOff>87630</xdr:rowOff>
    </xdr:to>
    <xdr:cxnSp macro="">
      <xdr:nvCxnSpPr>
        <xdr:cNvPr id="206" name="Conector reto 205">
          <a:extLst>
            <a:ext uri="{FF2B5EF4-FFF2-40B4-BE49-F238E27FC236}">
              <a16:creationId xmlns:a16="http://schemas.microsoft.com/office/drawing/2014/main" id="{D964373E-6CC0-4FE4-B0A3-1D6076475C4F}"/>
            </a:ext>
          </a:extLst>
        </xdr:cNvPr>
        <xdr:cNvCxnSpPr/>
      </xdr:nvCxnSpPr>
      <xdr:spPr>
        <a:xfrm>
          <a:off x="104775" y="56875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1945</xdr:row>
      <xdr:rowOff>87630</xdr:rowOff>
    </xdr:from>
    <xdr:to>
      <xdr:col>9</xdr:col>
      <xdr:colOff>0</xdr:colOff>
      <xdr:row>1945</xdr:row>
      <xdr:rowOff>87630</xdr:rowOff>
    </xdr:to>
    <xdr:cxnSp macro="">
      <xdr:nvCxnSpPr>
        <xdr:cNvPr id="207" name="Conector reto 206">
          <a:extLst>
            <a:ext uri="{FF2B5EF4-FFF2-40B4-BE49-F238E27FC236}">
              <a16:creationId xmlns:a16="http://schemas.microsoft.com/office/drawing/2014/main" id="{3B8FC0FE-9D2F-4E8B-93B3-EE408AF36E75}"/>
            </a:ext>
          </a:extLst>
        </xdr:cNvPr>
        <xdr:cNvCxnSpPr/>
      </xdr:nvCxnSpPr>
      <xdr:spPr>
        <a:xfrm>
          <a:off x="104775" y="59085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1953</xdr:row>
      <xdr:rowOff>87630</xdr:rowOff>
    </xdr:from>
    <xdr:to>
      <xdr:col>9</xdr:col>
      <xdr:colOff>0</xdr:colOff>
      <xdr:row>1953</xdr:row>
      <xdr:rowOff>87630</xdr:rowOff>
    </xdr:to>
    <xdr:cxnSp macro="">
      <xdr:nvCxnSpPr>
        <xdr:cNvPr id="208" name="Conector reto 207">
          <a:extLst>
            <a:ext uri="{FF2B5EF4-FFF2-40B4-BE49-F238E27FC236}">
              <a16:creationId xmlns:a16="http://schemas.microsoft.com/office/drawing/2014/main" id="{28454C22-91CB-4FB9-97F3-A3D41915A589}"/>
            </a:ext>
          </a:extLst>
        </xdr:cNvPr>
        <xdr:cNvCxnSpPr/>
      </xdr:nvCxnSpPr>
      <xdr:spPr>
        <a:xfrm>
          <a:off x="104775" y="61295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1961</xdr:row>
      <xdr:rowOff>87630</xdr:rowOff>
    </xdr:from>
    <xdr:to>
      <xdr:col>9</xdr:col>
      <xdr:colOff>0</xdr:colOff>
      <xdr:row>1961</xdr:row>
      <xdr:rowOff>87630</xdr:rowOff>
    </xdr:to>
    <xdr:cxnSp macro="">
      <xdr:nvCxnSpPr>
        <xdr:cNvPr id="209" name="Conector reto 208">
          <a:extLst>
            <a:ext uri="{FF2B5EF4-FFF2-40B4-BE49-F238E27FC236}">
              <a16:creationId xmlns:a16="http://schemas.microsoft.com/office/drawing/2014/main" id="{6CC1C124-BBD7-4BA0-9879-0112B8F600B2}"/>
            </a:ext>
          </a:extLst>
        </xdr:cNvPr>
        <xdr:cNvCxnSpPr/>
      </xdr:nvCxnSpPr>
      <xdr:spPr>
        <a:xfrm>
          <a:off x="104775" y="63505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1969</xdr:row>
      <xdr:rowOff>87630</xdr:rowOff>
    </xdr:from>
    <xdr:to>
      <xdr:col>9</xdr:col>
      <xdr:colOff>0</xdr:colOff>
      <xdr:row>1969</xdr:row>
      <xdr:rowOff>87630</xdr:rowOff>
    </xdr:to>
    <xdr:cxnSp macro="">
      <xdr:nvCxnSpPr>
        <xdr:cNvPr id="210" name="Conector reto 209">
          <a:extLst>
            <a:ext uri="{FF2B5EF4-FFF2-40B4-BE49-F238E27FC236}">
              <a16:creationId xmlns:a16="http://schemas.microsoft.com/office/drawing/2014/main" id="{93712F9D-AACE-4211-B8C8-BF1948BC8C01}"/>
            </a:ext>
          </a:extLst>
        </xdr:cNvPr>
        <xdr:cNvCxnSpPr/>
      </xdr:nvCxnSpPr>
      <xdr:spPr>
        <a:xfrm>
          <a:off x="104775" y="657148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1977</xdr:row>
      <xdr:rowOff>87630</xdr:rowOff>
    </xdr:from>
    <xdr:to>
      <xdr:col>9</xdr:col>
      <xdr:colOff>0</xdr:colOff>
      <xdr:row>1977</xdr:row>
      <xdr:rowOff>87630</xdr:rowOff>
    </xdr:to>
    <xdr:cxnSp macro="">
      <xdr:nvCxnSpPr>
        <xdr:cNvPr id="211" name="Conector reto 210">
          <a:extLst>
            <a:ext uri="{FF2B5EF4-FFF2-40B4-BE49-F238E27FC236}">
              <a16:creationId xmlns:a16="http://schemas.microsoft.com/office/drawing/2014/main" id="{E8DAC26A-74DC-4DB8-AEC8-AF98870FF30F}"/>
            </a:ext>
          </a:extLst>
        </xdr:cNvPr>
        <xdr:cNvCxnSpPr/>
      </xdr:nvCxnSpPr>
      <xdr:spPr>
        <a:xfrm>
          <a:off x="104775" y="679246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1985</xdr:row>
      <xdr:rowOff>87630</xdr:rowOff>
    </xdr:from>
    <xdr:to>
      <xdr:col>9</xdr:col>
      <xdr:colOff>0</xdr:colOff>
      <xdr:row>1985</xdr:row>
      <xdr:rowOff>87630</xdr:rowOff>
    </xdr:to>
    <xdr:cxnSp macro="">
      <xdr:nvCxnSpPr>
        <xdr:cNvPr id="212" name="Conector reto 211">
          <a:extLst>
            <a:ext uri="{FF2B5EF4-FFF2-40B4-BE49-F238E27FC236}">
              <a16:creationId xmlns:a16="http://schemas.microsoft.com/office/drawing/2014/main" id="{FD2D74C0-0B2D-4C2C-B9EE-7AC9A6DBCDD1}"/>
            </a:ext>
          </a:extLst>
        </xdr:cNvPr>
        <xdr:cNvCxnSpPr/>
      </xdr:nvCxnSpPr>
      <xdr:spPr>
        <a:xfrm>
          <a:off x="104775" y="701344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1993</xdr:row>
      <xdr:rowOff>87630</xdr:rowOff>
    </xdr:from>
    <xdr:to>
      <xdr:col>9</xdr:col>
      <xdr:colOff>0</xdr:colOff>
      <xdr:row>1993</xdr:row>
      <xdr:rowOff>87630</xdr:rowOff>
    </xdr:to>
    <xdr:cxnSp macro="">
      <xdr:nvCxnSpPr>
        <xdr:cNvPr id="213" name="Conector reto 212">
          <a:extLst>
            <a:ext uri="{FF2B5EF4-FFF2-40B4-BE49-F238E27FC236}">
              <a16:creationId xmlns:a16="http://schemas.microsoft.com/office/drawing/2014/main" id="{DBF2A33C-C9B3-4B7C-B99C-E77CB5DA402B}"/>
            </a:ext>
          </a:extLst>
        </xdr:cNvPr>
        <xdr:cNvCxnSpPr/>
      </xdr:nvCxnSpPr>
      <xdr:spPr>
        <a:xfrm>
          <a:off x="104775" y="723442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2001</xdr:row>
      <xdr:rowOff>87630</xdr:rowOff>
    </xdr:from>
    <xdr:to>
      <xdr:col>9</xdr:col>
      <xdr:colOff>0</xdr:colOff>
      <xdr:row>2001</xdr:row>
      <xdr:rowOff>87630</xdr:rowOff>
    </xdr:to>
    <xdr:cxnSp macro="">
      <xdr:nvCxnSpPr>
        <xdr:cNvPr id="214" name="Conector reto 213">
          <a:extLst>
            <a:ext uri="{FF2B5EF4-FFF2-40B4-BE49-F238E27FC236}">
              <a16:creationId xmlns:a16="http://schemas.microsoft.com/office/drawing/2014/main" id="{E86AB06C-1E57-4329-B306-2C765F5171FD}"/>
            </a:ext>
          </a:extLst>
        </xdr:cNvPr>
        <xdr:cNvCxnSpPr/>
      </xdr:nvCxnSpPr>
      <xdr:spPr>
        <a:xfrm>
          <a:off x="104775" y="7455408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378</xdr:row>
      <xdr:rowOff>85725</xdr:rowOff>
    </xdr:from>
    <xdr:to>
      <xdr:col>8</xdr:col>
      <xdr:colOff>752475</xdr:colOff>
      <xdr:row>378</xdr:row>
      <xdr:rowOff>85725</xdr:rowOff>
    </xdr:to>
    <xdr:cxnSp macro="">
      <xdr:nvCxnSpPr>
        <xdr:cNvPr id="215" name="Conector reto 214">
          <a:extLst>
            <a:ext uri="{FF2B5EF4-FFF2-40B4-BE49-F238E27FC236}">
              <a16:creationId xmlns:a16="http://schemas.microsoft.com/office/drawing/2014/main" id="{71F9B3E6-D2C4-45F7-85A6-339D2BF0F2A3}"/>
            </a:ext>
          </a:extLst>
        </xdr:cNvPr>
        <xdr:cNvCxnSpPr/>
      </xdr:nvCxnSpPr>
      <xdr:spPr>
        <a:xfrm>
          <a:off x="0" y="16722090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2008</xdr:row>
      <xdr:rowOff>87630</xdr:rowOff>
    </xdr:from>
    <xdr:to>
      <xdr:col>9</xdr:col>
      <xdr:colOff>0</xdr:colOff>
      <xdr:row>2008</xdr:row>
      <xdr:rowOff>87630</xdr:rowOff>
    </xdr:to>
    <xdr:cxnSp macro="">
      <xdr:nvCxnSpPr>
        <xdr:cNvPr id="216" name="Conector reto 215">
          <a:extLst>
            <a:ext uri="{FF2B5EF4-FFF2-40B4-BE49-F238E27FC236}">
              <a16:creationId xmlns:a16="http://schemas.microsoft.com/office/drawing/2014/main" id="{E8A9F42B-95FE-4E36-BFA5-13D6F0670BEB}"/>
            </a:ext>
          </a:extLst>
        </xdr:cNvPr>
        <xdr:cNvCxnSpPr/>
      </xdr:nvCxnSpPr>
      <xdr:spPr>
        <a:xfrm>
          <a:off x="104775" y="5916930"/>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2018</xdr:row>
      <xdr:rowOff>87630</xdr:rowOff>
    </xdr:from>
    <xdr:to>
      <xdr:col>9</xdr:col>
      <xdr:colOff>0</xdr:colOff>
      <xdr:row>2018</xdr:row>
      <xdr:rowOff>87630</xdr:rowOff>
    </xdr:to>
    <xdr:cxnSp macro="">
      <xdr:nvCxnSpPr>
        <xdr:cNvPr id="217" name="Conector reto 216">
          <a:extLst>
            <a:ext uri="{FF2B5EF4-FFF2-40B4-BE49-F238E27FC236}">
              <a16:creationId xmlns:a16="http://schemas.microsoft.com/office/drawing/2014/main" id="{F9FCD948-7912-4577-ABEE-7ADEF49D2B0A}"/>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2025</xdr:row>
      <xdr:rowOff>87630</xdr:rowOff>
    </xdr:from>
    <xdr:to>
      <xdr:col>9</xdr:col>
      <xdr:colOff>0</xdr:colOff>
      <xdr:row>2025</xdr:row>
      <xdr:rowOff>87630</xdr:rowOff>
    </xdr:to>
    <xdr:cxnSp macro="">
      <xdr:nvCxnSpPr>
        <xdr:cNvPr id="218" name="Conector reto 217">
          <a:extLst>
            <a:ext uri="{FF2B5EF4-FFF2-40B4-BE49-F238E27FC236}">
              <a16:creationId xmlns:a16="http://schemas.microsoft.com/office/drawing/2014/main" id="{3A6C5A52-29BD-4387-8A21-EC855B4F934E}"/>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2032</xdr:row>
      <xdr:rowOff>87630</xdr:rowOff>
    </xdr:from>
    <xdr:to>
      <xdr:col>9</xdr:col>
      <xdr:colOff>0</xdr:colOff>
      <xdr:row>2032</xdr:row>
      <xdr:rowOff>87630</xdr:rowOff>
    </xdr:to>
    <xdr:cxnSp macro="">
      <xdr:nvCxnSpPr>
        <xdr:cNvPr id="219" name="Conector reto 218">
          <a:extLst>
            <a:ext uri="{FF2B5EF4-FFF2-40B4-BE49-F238E27FC236}">
              <a16:creationId xmlns:a16="http://schemas.microsoft.com/office/drawing/2014/main" id="{A9091238-70DE-4BE8-8DED-0AADF42DA638}"/>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2042</xdr:row>
      <xdr:rowOff>87630</xdr:rowOff>
    </xdr:from>
    <xdr:to>
      <xdr:col>9</xdr:col>
      <xdr:colOff>0</xdr:colOff>
      <xdr:row>2042</xdr:row>
      <xdr:rowOff>87630</xdr:rowOff>
    </xdr:to>
    <xdr:cxnSp macro="">
      <xdr:nvCxnSpPr>
        <xdr:cNvPr id="220" name="Conector reto 219">
          <a:extLst>
            <a:ext uri="{FF2B5EF4-FFF2-40B4-BE49-F238E27FC236}">
              <a16:creationId xmlns:a16="http://schemas.microsoft.com/office/drawing/2014/main" id="{F7EFA9F6-0A2C-4C78-8AA7-7C32C6DFFBE8}"/>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2054</xdr:row>
      <xdr:rowOff>87630</xdr:rowOff>
    </xdr:from>
    <xdr:to>
      <xdr:col>9</xdr:col>
      <xdr:colOff>0</xdr:colOff>
      <xdr:row>2054</xdr:row>
      <xdr:rowOff>87630</xdr:rowOff>
    </xdr:to>
    <xdr:cxnSp macro="">
      <xdr:nvCxnSpPr>
        <xdr:cNvPr id="221" name="Conector reto 220">
          <a:extLst>
            <a:ext uri="{FF2B5EF4-FFF2-40B4-BE49-F238E27FC236}">
              <a16:creationId xmlns:a16="http://schemas.microsoft.com/office/drawing/2014/main" id="{888E6DEB-B014-4CCF-929B-C68EAACBA49B}"/>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2063</xdr:row>
      <xdr:rowOff>87630</xdr:rowOff>
    </xdr:from>
    <xdr:to>
      <xdr:col>9</xdr:col>
      <xdr:colOff>0</xdr:colOff>
      <xdr:row>2063</xdr:row>
      <xdr:rowOff>87630</xdr:rowOff>
    </xdr:to>
    <xdr:cxnSp macro="">
      <xdr:nvCxnSpPr>
        <xdr:cNvPr id="222" name="Conector reto 221">
          <a:extLst>
            <a:ext uri="{FF2B5EF4-FFF2-40B4-BE49-F238E27FC236}">
              <a16:creationId xmlns:a16="http://schemas.microsoft.com/office/drawing/2014/main" id="{8E9C11BD-4716-4528-B037-2F2C986B6033}"/>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2072</xdr:row>
      <xdr:rowOff>87630</xdr:rowOff>
    </xdr:from>
    <xdr:to>
      <xdr:col>9</xdr:col>
      <xdr:colOff>0</xdr:colOff>
      <xdr:row>2072</xdr:row>
      <xdr:rowOff>87630</xdr:rowOff>
    </xdr:to>
    <xdr:cxnSp macro="">
      <xdr:nvCxnSpPr>
        <xdr:cNvPr id="223" name="Conector reto 222">
          <a:extLst>
            <a:ext uri="{FF2B5EF4-FFF2-40B4-BE49-F238E27FC236}">
              <a16:creationId xmlns:a16="http://schemas.microsoft.com/office/drawing/2014/main" id="{EC780C42-7718-49CE-9B20-864D5EAA577D}"/>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2081</xdr:row>
      <xdr:rowOff>87630</xdr:rowOff>
    </xdr:from>
    <xdr:to>
      <xdr:col>9</xdr:col>
      <xdr:colOff>0</xdr:colOff>
      <xdr:row>2081</xdr:row>
      <xdr:rowOff>87630</xdr:rowOff>
    </xdr:to>
    <xdr:cxnSp macro="">
      <xdr:nvCxnSpPr>
        <xdr:cNvPr id="224" name="Conector reto 223">
          <a:extLst>
            <a:ext uri="{FF2B5EF4-FFF2-40B4-BE49-F238E27FC236}">
              <a16:creationId xmlns:a16="http://schemas.microsoft.com/office/drawing/2014/main" id="{4D8BCCC6-12C5-4876-AC54-E19CF5E7A555}"/>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2091</xdr:row>
      <xdr:rowOff>87630</xdr:rowOff>
    </xdr:from>
    <xdr:to>
      <xdr:col>9</xdr:col>
      <xdr:colOff>0</xdr:colOff>
      <xdr:row>2091</xdr:row>
      <xdr:rowOff>87630</xdr:rowOff>
    </xdr:to>
    <xdr:cxnSp macro="">
      <xdr:nvCxnSpPr>
        <xdr:cNvPr id="225" name="Conector reto 224">
          <a:extLst>
            <a:ext uri="{FF2B5EF4-FFF2-40B4-BE49-F238E27FC236}">
              <a16:creationId xmlns:a16="http://schemas.microsoft.com/office/drawing/2014/main" id="{9BF19CA5-9C0A-4862-AB4F-C893F17744DF}"/>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2100</xdr:row>
      <xdr:rowOff>87630</xdr:rowOff>
    </xdr:from>
    <xdr:to>
      <xdr:col>9</xdr:col>
      <xdr:colOff>0</xdr:colOff>
      <xdr:row>2100</xdr:row>
      <xdr:rowOff>87630</xdr:rowOff>
    </xdr:to>
    <xdr:cxnSp macro="">
      <xdr:nvCxnSpPr>
        <xdr:cNvPr id="226" name="Conector reto 225">
          <a:extLst>
            <a:ext uri="{FF2B5EF4-FFF2-40B4-BE49-F238E27FC236}">
              <a16:creationId xmlns:a16="http://schemas.microsoft.com/office/drawing/2014/main" id="{C8F8B7BE-EA9D-46E4-9ACD-515BC64B002F}"/>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2109</xdr:row>
      <xdr:rowOff>87630</xdr:rowOff>
    </xdr:from>
    <xdr:to>
      <xdr:col>9</xdr:col>
      <xdr:colOff>0</xdr:colOff>
      <xdr:row>2109</xdr:row>
      <xdr:rowOff>87630</xdr:rowOff>
    </xdr:to>
    <xdr:cxnSp macro="">
      <xdr:nvCxnSpPr>
        <xdr:cNvPr id="227" name="Conector reto 226">
          <a:extLst>
            <a:ext uri="{FF2B5EF4-FFF2-40B4-BE49-F238E27FC236}">
              <a16:creationId xmlns:a16="http://schemas.microsoft.com/office/drawing/2014/main" id="{69E06C06-DBA4-42FC-B74D-407F69385482}"/>
            </a:ext>
          </a:extLst>
        </xdr:cNvPr>
        <xdr:cNvCxnSpPr/>
      </xdr:nvCxnSpPr>
      <xdr:spPr>
        <a:xfrm>
          <a:off x="104775" y="619069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2117</xdr:row>
      <xdr:rowOff>87630</xdr:rowOff>
    </xdr:from>
    <xdr:to>
      <xdr:col>9</xdr:col>
      <xdr:colOff>0</xdr:colOff>
      <xdr:row>2117</xdr:row>
      <xdr:rowOff>87630</xdr:rowOff>
    </xdr:to>
    <xdr:cxnSp macro="">
      <xdr:nvCxnSpPr>
        <xdr:cNvPr id="228" name="Conector reto 227">
          <a:extLst>
            <a:ext uri="{FF2B5EF4-FFF2-40B4-BE49-F238E27FC236}">
              <a16:creationId xmlns:a16="http://schemas.microsoft.com/office/drawing/2014/main" id="{82E7D36F-EDEE-4D90-B21A-1D9EEE56BB29}"/>
            </a:ext>
          </a:extLst>
        </xdr:cNvPr>
        <xdr:cNvCxnSpPr/>
      </xdr:nvCxnSpPr>
      <xdr:spPr>
        <a:xfrm>
          <a:off x="104775" y="621279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2127</xdr:row>
      <xdr:rowOff>87630</xdr:rowOff>
    </xdr:from>
    <xdr:to>
      <xdr:col>9</xdr:col>
      <xdr:colOff>0</xdr:colOff>
      <xdr:row>2127</xdr:row>
      <xdr:rowOff>87630</xdr:rowOff>
    </xdr:to>
    <xdr:cxnSp macro="">
      <xdr:nvCxnSpPr>
        <xdr:cNvPr id="229" name="Conector reto 228">
          <a:extLst>
            <a:ext uri="{FF2B5EF4-FFF2-40B4-BE49-F238E27FC236}">
              <a16:creationId xmlns:a16="http://schemas.microsoft.com/office/drawing/2014/main" id="{09554801-BDB4-45F6-8D31-2EF6483E5253}"/>
            </a:ext>
          </a:extLst>
        </xdr:cNvPr>
        <xdr:cNvCxnSpPr/>
      </xdr:nvCxnSpPr>
      <xdr:spPr>
        <a:xfrm>
          <a:off x="104775" y="623489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2136</xdr:row>
      <xdr:rowOff>87630</xdr:rowOff>
    </xdr:from>
    <xdr:to>
      <xdr:col>9</xdr:col>
      <xdr:colOff>0</xdr:colOff>
      <xdr:row>2136</xdr:row>
      <xdr:rowOff>87630</xdr:rowOff>
    </xdr:to>
    <xdr:cxnSp macro="">
      <xdr:nvCxnSpPr>
        <xdr:cNvPr id="230" name="Conector reto 229">
          <a:extLst>
            <a:ext uri="{FF2B5EF4-FFF2-40B4-BE49-F238E27FC236}">
              <a16:creationId xmlns:a16="http://schemas.microsoft.com/office/drawing/2014/main" id="{FFCB2883-AFD4-432C-B2F5-3D2DB4832AA6}"/>
            </a:ext>
          </a:extLst>
        </xdr:cNvPr>
        <xdr:cNvCxnSpPr/>
      </xdr:nvCxnSpPr>
      <xdr:spPr>
        <a:xfrm>
          <a:off x="104775" y="625699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2145</xdr:row>
      <xdr:rowOff>87630</xdr:rowOff>
    </xdr:from>
    <xdr:to>
      <xdr:col>9</xdr:col>
      <xdr:colOff>0</xdr:colOff>
      <xdr:row>2145</xdr:row>
      <xdr:rowOff>87630</xdr:rowOff>
    </xdr:to>
    <xdr:cxnSp macro="">
      <xdr:nvCxnSpPr>
        <xdr:cNvPr id="231" name="Conector reto 230">
          <a:extLst>
            <a:ext uri="{FF2B5EF4-FFF2-40B4-BE49-F238E27FC236}">
              <a16:creationId xmlns:a16="http://schemas.microsoft.com/office/drawing/2014/main" id="{9DC9FE25-5A30-4833-8B39-2FF54D7CC133}"/>
            </a:ext>
          </a:extLst>
        </xdr:cNvPr>
        <xdr:cNvCxnSpPr/>
      </xdr:nvCxnSpPr>
      <xdr:spPr>
        <a:xfrm>
          <a:off x="104775" y="627908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2153</xdr:row>
      <xdr:rowOff>87630</xdr:rowOff>
    </xdr:from>
    <xdr:to>
      <xdr:col>9</xdr:col>
      <xdr:colOff>0</xdr:colOff>
      <xdr:row>2153</xdr:row>
      <xdr:rowOff>87630</xdr:rowOff>
    </xdr:to>
    <xdr:cxnSp macro="">
      <xdr:nvCxnSpPr>
        <xdr:cNvPr id="232" name="Conector reto 231">
          <a:extLst>
            <a:ext uri="{FF2B5EF4-FFF2-40B4-BE49-F238E27FC236}">
              <a16:creationId xmlns:a16="http://schemas.microsoft.com/office/drawing/2014/main" id="{25C57CB9-F58C-48B4-91C8-9207DBA9CC5B}"/>
            </a:ext>
          </a:extLst>
        </xdr:cNvPr>
        <xdr:cNvCxnSpPr/>
      </xdr:nvCxnSpPr>
      <xdr:spPr>
        <a:xfrm>
          <a:off x="104775" y="630118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2161</xdr:row>
      <xdr:rowOff>87630</xdr:rowOff>
    </xdr:from>
    <xdr:to>
      <xdr:col>9</xdr:col>
      <xdr:colOff>0</xdr:colOff>
      <xdr:row>2161</xdr:row>
      <xdr:rowOff>87630</xdr:rowOff>
    </xdr:to>
    <xdr:cxnSp macro="">
      <xdr:nvCxnSpPr>
        <xdr:cNvPr id="233" name="Conector reto 232">
          <a:extLst>
            <a:ext uri="{FF2B5EF4-FFF2-40B4-BE49-F238E27FC236}">
              <a16:creationId xmlns:a16="http://schemas.microsoft.com/office/drawing/2014/main" id="{CB4AE940-A68F-49AD-B996-329FEFBFA421}"/>
            </a:ext>
          </a:extLst>
        </xdr:cNvPr>
        <xdr:cNvCxnSpPr/>
      </xdr:nvCxnSpPr>
      <xdr:spPr>
        <a:xfrm>
          <a:off x="104775" y="632328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2169</xdr:row>
      <xdr:rowOff>87630</xdr:rowOff>
    </xdr:from>
    <xdr:to>
      <xdr:col>9</xdr:col>
      <xdr:colOff>0</xdr:colOff>
      <xdr:row>2169</xdr:row>
      <xdr:rowOff>87630</xdr:rowOff>
    </xdr:to>
    <xdr:cxnSp macro="">
      <xdr:nvCxnSpPr>
        <xdr:cNvPr id="234" name="Conector reto 233">
          <a:extLst>
            <a:ext uri="{FF2B5EF4-FFF2-40B4-BE49-F238E27FC236}">
              <a16:creationId xmlns:a16="http://schemas.microsoft.com/office/drawing/2014/main" id="{EBB4DDAC-597C-4CC7-AC16-4B14C433AA3B}"/>
            </a:ext>
          </a:extLst>
        </xdr:cNvPr>
        <xdr:cNvCxnSpPr/>
      </xdr:nvCxnSpPr>
      <xdr:spPr>
        <a:xfrm>
          <a:off x="104775" y="634538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2189</xdr:row>
      <xdr:rowOff>87630</xdr:rowOff>
    </xdr:from>
    <xdr:to>
      <xdr:col>9</xdr:col>
      <xdr:colOff>0</xdr:colOff>
      <xdr:row>2189</xdr:row>
      <xdr:rowOff>87630</xdr:rowOff>
    </xdr:to>
    <xdr:cxnSp macro="">
      <xdr:nvCxnSpPr>
        <xdr:cNvPr id="235" name="Conector reto 234">
          <a:extLst>
            <a:ext uri="{FF2B5EF4-FFF2-40B4-BE49-F238E27FC236}">
              <a16:creationId xmlns:a16="http://schemas.microsoft.com/office/drawing/2014/main" id="{1212F064-EB31-44BE-9E78-C74C765562A7}"/>
            </a:ext>
          </a:extLst>
        </xdr:cNvPr>
        <xdr:cNvCxnSpPr/>
      </xdr:nvCxnSpPr>
      <xdr:spPr>
        <a:xfrm>
          <a:off x="104775" y="636748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2198</xdr:row>
      <xdr:rowOff>87630</xdr:rowOff>
    </xdr:from>
    <xdr:to>
      <xdr:col>9</xdr:col>
      <xdr:colOff>0</xdr:colOff>
      <xdr:row>2198</xdr:row>
      <xdr:rowOff>87630</xdr:rowOff>
    </xdr:to>
    <xdr:cxnSp macro="">
      <xdr:nvCxnSpPr>
        <xdr:cNvPr id="236" name="Conector reto 235">
          <a:extLst>
            <a:ext uri="{FF2B5EF4-FFF2-40B4-BE49-F238E27FC236}">
              <a16:creationId xmlns:a16="http://schemas.microsoft.com/office/drawing/2014/main" id="{63CA6CDF-A33D-4457-A92C-9F1A24AF7B40}"/>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2207</xdr:row>
      <xdr:rowOff>87630</xdr:rowOff>
    </xdr:from>
    <xdr:to>
      <xdr:col>9</xdr:col>
      <xdr:colOff>0</xdr:colOff>
      <xdr:row>2207</xdr:row>
      <xdr:rowOff>87630</xdr:rowOff>
    </xdr:to>
    <xdr:cxnSp macro="">
      <xdr:nvCxnSpPr>
        <xdr:cNvPr id="237" name="Conector reto 236">
          <a:extLst>
            <a:ext uri="{FF2B5EF4-FFF2-40B4-BE49-F238E27FC236}">
              <a16:creationId xmlns:a16="http://schemas.microsoft.com/office/drawing/2014/main" id="{DD0ECAC0-E46F-4218-ABBA-5EF32213B4E1}"/>
            </a:ext>
          </a:extLst>
        </xdr:cNvPr>
        <xdr:cNvCxnSpPr/>
      </xdr:nvCxnSpPr>
      <xdr:spPr>
        <a:xfrm>
          <a:off x="104775" y="619069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2216</xdr:row>
      <xdr:rowOff>87630</xdr:rowOff>
    </xdr:from>
    <xdr:to>
      <xdr:col>9</xdr:col>
      <xdr:colOff>0</xdr:colOff>
      <xdr:row>2216</xdr:row>
      <xdr:rowOff>87630</xdr:rowOff>
    </xdr:to>
    <xdr:cxnSp macro="">
      <xdr:nvCxnSpPr>
        <xdr:cNvPr id="238" name="Conector reto 237">
          <a:extLst>
            <a:ext uri="{FF2B5EF4-FFF2-40B4-BE49-F238E27FC236}">
              <a16:creationId xmlns:a16="http://schemas.microsoft.com/office/drawing/2014/main" id="{70975E83-445B-4D07-B551-27EC11A7F294}"/>
            </a:ext>
          </a:extLst>
        </xdr:cNvPr>
        <xdr:cNvCxnSpPr/>
      </xdr:nvCxnSpPr>
      <xdr:spPr>
        <a:xfrm>
          <a:off x="104775" y="621279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2225</xdr:row>
      <xdr:rowOff>87630</xdr:rowOff>
    </xdr:from>
    <xdr:to>
      <xdr:col>9</xdr:col>
      <xdr:colOff>0</xdr:colOff>
      <xdr:row>2225</xdr:row>
      <xdr:rowOff>87630</xdr:rowOff>
    </xdr:to>
    <xdr:cxnSp macro="">
      <xdr:nvCxnSpPr>
        <xdr:cNvPr id="239" name="Conector reto 238">
          <a:extLst>
            <a:ext uri="{FF2B5EF4-FFF2-40B4-BE49-F238E27FC236}">
              <a16:creationId xmlns:a16="http://schemas.microsoft.com/office/drawing/2014/main" id="{F525D655-9228-41B1-A12D-712D11A3A18C}"/>
            </a:ext>
          </a:extLst>
        </xdr:cNvPr>
        <xdr:cNvCxnSpPr/>
      </xdr:nvCxnSpPr>
      <xdr:spPr>
        <a:xfrm>
          <a:off x="104775" y="623489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2232</xdr:row>
      <xdr:rowOff>87630</xdr:rowOff>
    </xdr:from>
    <xdr:to>
      <xdr:col>9</xdr:col>
      <xdr:colOff>0</xdr:colOff>
      <xdr:row>2232</xdr:row>
      <xdr:rowOff>87630</xdr:rowOff>
    </xdr:to>
    <xdr:cxnSp macro="">
      <xdr:nvCxnSpPr>
        <xdr:cNvPr id="240" name="Conector reto 239">
          <a:extLst>
            <a:ext uri="{FF2B5EF4-FFF2-40B4-BE49-F238E27FC236}">
              <a16:creationId xmlns:a16="http://schemas.microsoft.com/office/drawing/2014/main" id="{E2D7C709-64FF-4D88-ACCD-E4532EC5FB08}"/>
            </a:ext>
          </a:extLst>
        </xdr:cNvPr>
        <xdr:cNvCxnSpPr/>
      </xdr:nvCxnSpPr>
      <xdr:spPr>
        <a:xfrm>
          <a:off x="104775" y="625699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2240</xdr:row>
      <xdr:rowOff>87630</xdr:rowOff>
    </xdr:from>
    <xdr:to>
      <xdr:col>9</xdr:col>
      <xdr:colOff>0</xdr:colOff>
      <xdr:row>2240</xdr:row>
      <xdr:rowOff>87630</xdr:rowOff>
    </xdr:to>
    <xdr:cxnSp macro="">
      <xdr:nvCxnSpPr>
        <xdr:cNvPr id="241" name="Conector reto 240">
          <a:extLst>
            <a:ext uri="{FF2B5EF4-FFF2-40B4-BE49-F238E27FC236}">
              <a16:creationId xmlns:a16="http://schemas.microsoft.com/office/drawing/2014/main" id="{3D0E59CC-B62E-431B-80BF-168B65C5469C}"/>
            </a:ext>
          </a:extLst>
        </xdr:cNvPr>
        <xdr:cNvCxnSpPr/>
      </xdr:nvCxnSpPr>
      <xdr:spPr>
        <a:xfrm>
          <a:off x="104775" y="627908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2248</xdr:row>
      <xdr:rowOff>87630</xdr:rowOff>
    </xdr:from>
    <xdr:to>
      <xdr:col>9</xdr:col>
      <xdr:colOff>0</xdr:colOff>
      <xdr:row>2248</xdr:row>
      <xdr:rowOff>87630</xdr:rowOff>
    </xdr:to>
    <xdr:cxnSp macro="">
      <xdr:nvCxnSpPr>
        <xdr:cNvPr id="242" name="Conector reto 241">
          <a:extLst>
            <a:ext uri="{FF2B5EF4-FFF2-40B4-BE49-F238E27FC236}">
              <a16:creationId xmlns:a16="http://schemas.microsoft.com/office/drawing/2014/main" id="{5E9DC18E-81F1-403A-B33E-F39C7A57B12D}"/>
            </a:ext>
          </a:extLst>
        </xdr:cNvPr>
        <xdr:cNvCxnSpPr/>
      </xdr:nvCxnSpPr>
      <xdr:spPr>
        <a:xfrm>
          <a:off x="104775" y="630118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2256</xdr:row>
      <xdr:rowOff>87630</xdr:rowOff>
    </xdr:from>
    <xdr:to>
      <xdr:col>9</xdr:col>
      <xdr:colOff>0</xdr:colOff>
      <xdr:row>2256</xdr:row>
      <xdr:rowOff>87630</xdr:rowOff>
    </xdr:to>
    <xdr:cxnSp macro="">
      <xdr:nvCxnSpPr>
        <xdr:cNvPr id="243" name="Conector reto 242">
          <a:extLst>
            <a:ext uri="{FF2B5EF4-FFF2-40B4-BE49-F238E27FC236}">
              <a16:creationId xmlns:a16="http://schemas.microsoft.com/office/drawing/2014/main" id="{1CD4741B-B6E0-4E83-B84D-0D18B38F88BF}"/>
            </a:ext>
          </a:extLst>
        </xdr:cNvPr>
        <xdr:cNvCxnSpPr/>
      </xdr:nvCxnSpPr>
      <xdr:spPr>
        <a:xfrm>
          <a:off x="104775" y="632328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2263</xdr:row>
      <xdr:rowOff>87630</xdr:rowOff>
    </xdr:from>
    <xdr:to>
      <xdr:col>9</xdr:col>
      <xdr:colOff>0</xdr:colOff>
      <xdr:row>2263</xdr:row>
      <xdr:rowOff>87630</xdr:rowOff>
    </xdr:to>
    <xdr:cxnSp macro="">
      <xdr:nvCxnSpPr>
        <xdr:cNvPr id="244" name="Conector reto 243">
          <a:extLst>
            <a:ext uri="{FF2B5EF4-FFF2-40B4-BE49-F238E27FC236}">
              <a16:creationId xmlns:a16="http://schemas.microsoft.com/office/drawing/2014/main" id="{AD37D20C-F827-42AC-96F4-CA5E513D6249}"/>
            </a:ext>
          </a:extLst>
        </xdr:cNvPr>
        <xdr:cNvCxnSpPr/>
      </xdr:nvCxnSpPr>
      <xdr:spPr>
        <a:xfrm>
          <a:off x="104775" y="634538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2271</xdr:row>
      <xdr:rowOff>87630</xdr:rowOff>
    </xdr:from>
    <xdr:to>
      <xdr:col>9</xdr:col>
      <xdr:colOff>0</xdr:colOff>
      <xdr:row>2271</xdr:row>
      <xdr:rowOff>87630</xdr:rowOff>
    </xdr:to>
    <xdr:cxnSp macro="">
      <xdr:nvCxnSpPr>
        <xdr:cNvPr id="245" name="Conector reto 244">
          <a:extLst>
            <a:ext uri="{FF2B5EF4-FFF2-40B4-BE49-F238E27FC236}">
              <a16:creationId xmlns:a16="http://schemas.microsoft.com/office/drawing/2014/main" id="{AD1F4F2F-2429-4084-8868-35AE43BE28E2}"/>
            </a:ext>
          </a:extLst>
        </xdr:cNvPr>
        <xdr:cNvCxnSpPr/>
      </xdr:nvCxnSpPr>
      <xdr:spPr>
        <a:xfrm>
          <a:off x="104775" y="636748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2277</xdr:row>
      <xdr:rowOff>87630</xdr:rowOff>
    </xdr:from>
    <xdr:to>
      <xdr:col>9</xdr:col>
      <xdr:colOff>0</xdr:colOff>
      <xdr:row>2277</xdr:row>
      <xdr:rowOff>87630</xdr:rowOff>
    </xdr:to>
    <xdr:cxnSp macro="">
      <xdr:nvCxnSpPr>
        <xdr:cNvPr id="246" name="Conector reto 245">
          <a:extLst>
            <a:ext uri="{FF2B5EF4-FFF2-40B4-BE49-F238E27FC236}">
              <a16:creationId xmlns:a16="http://schemas.microsoft.com/office/drawing/2014/main" id="{93EB3BFA-7627-4530-8FF1-6369782224C9}"/>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2286</xdr:row>
      <xdr:rowOff>87630</xdr:rowOff>
    </xdr:from>
    <xdr:to>
      <xdr:col>9</xdr:col>
      <xdr:colOff>0</xdr:colOff>
      <xdr:row>2286</xdr:row>
      <xdr:rowOff>87630</xdr:rowOff>
    </xdr:to>
    <xdr:cxnSp macro="">
      <xdr:nvCxnSpPr>
        <xdr:cNvPr id="247" name="Conector reto 246">
          <a:extLst>
            <a:ext uri="{FF2B5EF4-FFF2-40B4-BE49-F238E27FC236}">
              <a16:creationId xmlns:a16="http://schemas.microsoft.com/office/drawing/2014/main" id="{A48E65AD-70D4-4B62-802C-2B36BCCBB3D3}"/>
            </a:ext>
          </a:extLst>
        </xdr:cNvPr>
        <xdr:cNvCxnSpPr/>
      </xdr:nvCxnSpPr>
      <xdr:spPr>
        <a:xfrm>
          <a:off x="104775" y="619069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2294</xdr:row>
      <xdr:rowOff>87630</xdr:rowOff>
    </xdr:from>
    <xdr:to>
      <xdr:col>9</xdr:col>
      <xdr:colOff>0</xdr:colOff>
      <xdr:row>2294</xdr:row>
      <xdr:rowOff>87630</xdr:rowOff>
    </xdr:to>
    <xdr:cxnSp macro="">
      <xdr:nvCxnSpPr>
        <xdr:cNvPr id="248" name="Conector reto 247">
          <a:extLst>
            <a:ext uri="{FF2B5EF4-FFF2-40B4-BE49-F238E27FC236}">
              <a16:creationId xmlns:a16="http://schemas.microsoft.com/office/drawing/2014/main" id="{88FEA888-BE33-49DC-830B-B72265AEBBE3}"/>
            </a:ext>
          </a:extLst>
        </xdr:cNvPr>
        <xdr:cNvCxnSpPr/>
      </xdr:nvCxnSpPr>
      <xdr:spPr>
        <a:xfrm>
          <a:off x="104775" y="621279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2301</xdr:row>
      <xdr:rowOff>87630</xdr:rowOff>
    </xdr:from>
    <xdr:to>
      <xdr:col>9</xdr:col>
      <xdr:colOff>0</xdr:colOff>
      <xdr:row>2301</xdr:row>
      <xdr:rowOff>87630</xdr:rowOff>
    </xdr:to>
    <xdr:cxnSp macro="">
      <xdr:nvCxnSpPr>
        <xdr:cNvPr id="249" name="Conector reto 248">
          <a:extLst>
            <a:ext uri="{FF2B5EF4-FFF2-40B4-BE49-F238E27FC236}">
              <a16:creationId xmlns:a16="http://schemas.microsoft.com/office/drawing/2014/main" id="{5C9F4359-6447-46A7-8533-C5A883C5598C}"/>
            </a:ext>
          </a:extLst>
        </xdr:cNvPr>
        <xdr:cNvCxnSpPr/>
      </xdr:nvCxnSpPr>
      <xdr:spPr>
        <a:xfrm>
          <a:off x="104775" y="623489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2312</xdr:row>
      <xdr:rowOff>87630</xdr:rowOff>
    </xdr:from>
    <xdr:to>
      <xdr:col>9</xdr:col>
      <xdr:colOff>0</xdr:colOff>
      <xdr:row>2312</xdr:row>
      <xdr:rowOff>87630</xdr:rowOff>
    </xdr:to>
    <xdr:cxnSp macro="">
      <xdr:nvCxnSpPr>
        <xdr:cNvPr id="250" name="Conector reto 249">
          <a:extLst>
            <a:ext uri="{FF2B5EF4-FFF2-40B4-BE49-F238E27FC236}">
              <a16:creationId xmlns:a16="http://schemas.microsoft.com/office/drawing/2014/main" id="{963EFEE6-BA8B-4C27-8286-B4DDF03A69E4}"/>
            </a:ext>
          </a:extLst>
        </xdr:cNvPr>
        <xdr:cNvCxnSpPr/>
      </xdr:nvCxnSpPr>
      <xdr:spPr>
        <a:xfrm>
          <a:off x="104775" y="625699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2321</xdr:row>
      <xdr:rowOff>87630</xdr:rowOff>
    </xdr:from>
    <xdr:to>
      <xdr:col>9</xdr:col>
      <xdr:colOff>0</xdr:colOff>
      <xdr:row>2321</xdr:row>
      <xdr:rowOff>87630</xdr:rowOff>
    </xdr:to>
    <xdr:cxnSp macro="">
      <xdr:nvCxnSpPr>
        <xdr:cNvPr id="251" name="Conector reto 250">
          <a:extLst>
            <a:ext uri="{FF2B5EF4-FFF2-40B4-BE49-F238E27FC236}">
              <a16:creationId xmlns:a16="http://schemas.microsoft.com/office/drawing/2014/main" id="{06FE585C-DA41-4722-821D-AA41750763AB}"/>
            </a:ext>
          </a:extLst>
        </xdr:cNvPr>
        <xdr:cNvCxnSpPr/>
      </xdr:nvCxnSpPr>
      <xdr:spPr>
        <a:xfrm>
          <a:off x="104775" y="627908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2328</xdr:row>
      <xdr:rowOff>87630</xdr:rowOff>
    </xdr:from>
    <xdr:to>
      <xdr:col>9</xdr:col>
      <xdr:colOff>0</xdr:colOff>
      <xdr:row>2328</xdr:row>
      <xdr:rowOff>87630</xdr:rowOff>
    </xdr:to>
    <xdr:cxnSp macro="">
      <xdr:nvCxnSpPr>
        <xdr:cNvPr id="252" name="Conector reto 251">
          <a:extLst>
            <a:ext uri="{FF2B5EF4-FFF2-40B4-BE49-F238E27FC236}">
              <a16:creationId xmlns:a16="http://schemas.microsoft.com/office/drawing/2014/main" id="{5FA26492-1D92-4B1A-900B-6EDEB142057B}"/>
            </a:ext>
          </a:extLst>
        </xdr:cNvPr>
        <xdr:cNvCxnSpPr/>
      </xdr:nvCxnSpPr>
      <xdr:spPr>
        <a:xfrm>
          <a:off x="104775" y="630118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2335</xdr:row>
      <xdr:rowOff>87630</xdr:rowOff>
    </xdr:from>
    <xdr:to>
      <xdr:col>9</xdr:col>
      <xdr:colOff>0</xdr:colOff>
      <xdr:row>2335</xdr:row>
      <xdr:rowOff>87630</xdr:rowOff>
    </xdr:to>
    <xdr:cxnSp macro="">
      <xdr:nvCxnSpPr>
        <xdr:cNvPr id="253" name="Conector reto 252">
          <a:extLst>
            <a:ext uri="{FF2B5EF4-FFF2-40B4-BE49-F238E27FC236}">
              <a16:creationId xmlns:a16="http://schemas.microsoft.com/office/drawing/2014/main" id="{62982BD4-188B-41FD-B667-1C2F4E9F4F92}"/>
            </a:ext>
          </a:extLst>
        </xdr:cNvPr>
        <xdr:cNvCxnSpPr/>
      </xdr:nvCxnSpPr>
      <xdr:spPr>
        <a:xfrm>
          <a:off x="104775" y="632328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2342</xdr:row>
      <xdr:rowOff>87630</xdr:rowOff>
    </xdr:from>
    <xdr:to>
      <xdr:col>9</xdr:col>
      <xdr:colOff>0</xdr:colOff>
      <xdr:row>2342</xdr:row>
      <xdr:rowOff>87630</xdr:rowOff>
    </xdr:to>
    <xdr:cxnSp macro="">
      <xdr:nvCxnSpPr>
        <xdr:cNvPr id="254" name="Conector reto 253">
          <a:extLst>
            <a:ext uri="{FF2B5EF4-FFF2-40B4-BE49-F238E27FC236}">
              <a16:creationId xmlns:a16="http://schemas.microsoft.com/office/drawing/2014/main" id="{B9E979B7-E1DD-46EF-A5E8-E80B561F94B8}"/>
            </a:ext>
          </a:extLst>
        </xdr:cNvPr>
        <xdr:cNvCxnSpPr/>
      </xdr:nvCxnSpPr>
      <xdr:spPr>
        <a:xfrm>
          <a:off x="104775" y="634538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2353</xdr:row>
      <xdr:rowOff>87630</xdr:rowOff>
    </xdr:from>
    <xdr:to>
      <xdr:col>9</xdr:col>
      <xdr:colOff>0</xdr:colOff>
      <xdr:row>2353</xdr:row>
      <xdr:rowOff>87630</xdr:rowOff>
    </xdr:to>
    <xdr:cxnSp macro="">
      <xdr:nvCxnSpPr>
        <xdr:cNvPr id="255" name="Conector reto 254">
          <a:extLst>
            <a:ext uri="{FF2B5EF4-FFF2-40B4-BE49-F238E27FC236}">
              <a16:creationId xmlns:a16="http://schemas.microsoft.com/office/drawing/2014/main" id="{817FFDE8-D482-417E-8736-3F6C2A25E8B2}"/>
            </a:ext>
          </a:extLst>
        </xdr:cNvPr>
        <xdr:cNvCxnSpPr/>
      </xdr:nvCxnSpPr>
      <xdr:spPr>
        <a:xfrm>
          <a:off x="104775" y="636748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2358</xdr:row>
      <xdr:rowOff>87630</xdr:rowOff>
    </xdr:from>
    <xdr:to>
      <xdr:col>9</xdr:col>
      <xdr:colOff>0</xdr:colOff>
      <xdr:row>2358</xdr:row>
      <xdr:rowOff>87630</xdr:rowOff>
    </xdr:to>
    <xdr:cxnSp macro="">
      <xdr:nvCxnSpPr>
        <xdr:cNvPr id="256" name="Conector reto 255">
          <a:extLst>
            <a:ext uri="{FF2B5EF4-FFF2-40B4-BE49-F238E27FC236}">
              <a16:creationId xmlns:a16="http://schemas.microsoft.com/office/drawing/2014/main" id="{461C8316-2E71-40B4-AE4E-5284AA3DB209}"/>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2370</xdr:row>
      <xdr:rowOff>87630</xdr:rowOff>
    </xdr:from>
    <xdr:to>
      <xdr:col>9</xdr:col>
      <xdr:colOff>0</xdr:colOff>
      <xdr:row>2370</xdr:row>
      <xdr:rowOff>87630</xdr:rowOff>
    </xdr:to>
    <xdr:cxnSp macro="">
      <xdr:nvCxnSpPr>
        <xdr:cNvPr id="257" name="Conector reto 256">
          <a:extLst>
            <a:ext uri="{FF2B5EF4-FFF2-40B4-BE49-F238E27FC236}">
              <a16:creationId xmlns:a16="http://schemas.microsoft.com/office/drawing/2014/main" id="{4FD12840-6066-4D3D-B0AF-A843AEA1FCE4}"/>
            </a:ext>
          </a:extLst>
        </xdr:cNvPr>
        <xdr:cNvCxnSpPr/>
      </xdr:nvCxnSpPr>
      <xdr:spPr>
        <a:xfrm>
          <a:off x="104775" y="619069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2377</xdr:row>
      <xdr:rowOff>87630</xdr:rowOff>
    </xdr:from>
    <xdr:to>
      <xdr:col>9</xdr:col>
      <xdr:colOff>0</xdr:colOff>
      <xdr:row>2377</xdr:row>
      <xdr:rowOff>87630</xdr:rowOff>
    </xdr:to>
    <xdr:cxnSp macro="">
      <xdr:nvCxnSpPr>
        <xdr:cNvPr id="258" name="Conector reto 257">
          <a:extLst>
            <a:ext uri="{FF2B5EF4-FFF2-40B4-BE49-F238E27FC236}">
              <a16:creationId xmlns:a16="http://schemas.microsoft.com/office/drawing/2014/main" id="{A76EFF26-8C38-4B34-8F96-E03AE7056DF8}"/>
            </a:ext>
          </a:extLst>
        </xdr:cNvPr>
        <xdr:cNvCxnSpPr/>
      </xdr:nvCxnSpPr>
      <xdr:spPr>
        <a:xfrm>
          <a:off x="104775" y="621279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2386</xdr:row>
      <xdr:rowOff>87630</xdr:rowOff>
    </xdr:from>
    <xdr:to>
      <xdr:col>9</xdr:col>
      <xdr:colOff>0</xdr:colOff>
      <xdr:row>2386</xdr:row>
      <xdr:rowOff>87630</xdr:rowOff>
    </xdr:to>
    <xdr:cxnSp macro="">
      <xdr:nvCxnSpPr>
        <xdr:cNvPr id="259" name="Conector reto 258">
          <a:extLst>
            <a:ext uri="{FF2B5EF4-FFF2-40B4-BE49-F238E27FC236}">
              <a16:creationId xmlns:a16="http://schemas.microsoft.com/office/drawing/2014/main" id="{2AA34980-4168-46F8-A508-ABE1770F9905}"/>
            </a:ext>
          </a:extLst>
        </xdr:cNvPr>
        <xdr:cNvCxnSpPr/>
      </xdr:nvCxnSpPr>
      <xdr:spPr>
        <a:xfrm>
          <a:off x="104775" y="623489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2394</xdr:row>
      <xdr:rowOff>87630</xdr:rowOff>
    </xdr:from>
    <xdr:to>
      <xdr:col>9</xdr:col>
      <xdr:colOff>0</xdr:colOff>
      <xdr:row>2394</xdr:row>
      <xdr:rowOff>87630</xdr:rowOff>
    </xdr:to>
    <xdr:cxnSp macro="">
      <xdr:nvCxnSpPr>
        <xdr:cNvPr id="260" name="Conector reto 259">
          <a:extLst>
            <a:ext uri="{FF2B5EF4-FFF2-40B4-BE49-F238E27FC236}">
              <a16:creationId xmlns:a16="http://schemas.microsoft.com/office/drawing/2014/main" id="{3CD48F3C-9E1A-40B1-BDAE-76875DD0613D}"/>
            </a:ext>
          </a:extLst>
        </xdr:cNvPr>
        <xdr:cNvCxnSpPr/>
      </xdr:nvCxnSpPr>
      <xdr:spPr>
        <a:xfrm>
          <a:off x="104775" y="625699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2403</xdr:row>
      <xdr:rowOff>87630</xdr:rowOff>
    </xdr:from>
    <xdr:to>
      <xdr:col>9</xdr:col>
      <xdr:colOff>0</xdr:colOff>
      <xdr:row>2403</xdr:row>
      <xdr:rowOff>87630</xdr:rowOff>
    </xdr:to>
    <xdr:cxnSp macro="">
      <xdr:nvCxnSpPr>
        <xdr:cNvPr id="261" name="Conector reto 260">
          <a:extLst>
            <a:ext uri="{FF2B5EF4-FFF2-40B4-BE49-F238E27FC236}">
              <a16:creationId xmlns:a16="http://schemas.microsoft.com/office/drawing/2014/main" id="{2A9DCB28-EFD4-459F-8A9C-A6C462392D94}"/>
            </a:ext>
          </a:extLst>
        </xdr:cNvPr>
        <xdr:cNvCxnSpPr/>
      </xdr:nvCxnSpPr>
      <xdr:spPr>
        <a:xfrm>
          <a:off x="104775" y="627908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2414</xdr:row>
      <xdr:rowOff>87630</xdr:rowOff>
    </xdr:from>
    <xdr:to>
      <xdr:col>9</xdr:col>
      <xdr:colOff>0</xdr:colOff>
      <xdr:row>2414</xdr:row>
      <xdr:rowOff>87630</xdr:rowOff>
    </xdr:to>
    <xdr:cxnSp macro="">
      <xdr:nvCxnSpPr>
        <xdr:cNvPr id="262" name="Conector reto 261">
          <a:extLst>
            <a:ext uri="{FF2B5EF4-FFF2-40B4-BE49-F238E27FC236}">
              <a16:creationId xmlns:a16="http://schemas.microsoft.com/office/drawing/2014/main" id="{990F0089-3EDA-4558-B274-115DF698D6D0}"/>
            </a:ext>
          </a:extLst>
        </xdr:cNvPr>
        <xdr:cNvCxnSpPr/>
      </xdr:nvCxnSpPr>
      <xdr:spPr>
        <a:xfrm>
          <a:off x="104775" y="630118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2425</xdr:row>
      <xdr:rowOff>87630</xdr:rowOff>
    </xdr:from>
    <xdr:to>
      <xdr:col>9</xdr:col>
      <xdr:colOff>0</xdr:colOff>
      <xdr:row>2425</xdr:row>
      <xdr:rowOff>87630</xdr:rowOff>
    </xdr:to>
    <xdr:cxnSp macro="">
      <xdr:nvCxnSpPr>
        <xdr:cNvPr id="263" name="Conector reto 262">
          <a:extLst>
            <a:ext uri="{FF2B5EF4-FFF2-40B4-BE49-F238E27FC236}">
              <a16:creationId xmlns:a16="http://schemas.microsoft.com/office/drawing/2014/main" id="{BE02DF9E-2854-404B-A62A-F87A8D32DDC2}"/>
            </a:ext>
          </a:extLst>
        </xdr:cNvPr>
        <xdr:cNvCxnSpPr/>
      </xdr:nvCxnSpPr>
      <xdr:spPr>
        <a:xfrm>
          <a:off x="104775" y="632328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2438</xdr:row>
      <xdr:rowOff>87630</xdr:rowOff>
    </xdr:from>
    <xdr:to>
      <xdr:col>9</xdr:col>
      <xdr:colOff>0</xdr:colOff>
      <xdr:row>2438</xdr:row>
      <xdr:rowOff>87630</xdr:rowOff>
    </xdr:to>
    <xdr:cxnSp macro="">
      <xdr:nvCxnSpPr>
        <xdr:cNvPr id="264" name="Conector reto 263">
          <a:extLst>
            <a:ext uri="{FF2B5EF4-FFF2-40B4-BE49-F238E27FC236}">
              <a16:creationId xmlns:a16="http://schemas.microsoft.com/office/drawing/2014/main" id="{DEE9184F-94DF-475A-BC0C-CDF4F3831292}"/>
            </a:ext>
          </a:extLst>
        </xdr:cNvPr>
        <xdr:cNvCxnSpPr/>
      </xdr:nvCxnSpPr>
      <xdr:spPr>
        <a:xfrm>
          <a:off x="104775" y="634538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2446</xdr:row>
      <xdr:rowOff>87630</xdr:rowOff>
    </xdr:from>
    <xdr:to>
      <xdr:col>9</xdr:col>
      <xdr:colOff>0</xdr:colOff>
      <xdr:row>2446</xdr:row>
      <xdr:rowOff>87630</xdr:rowOff>
    </xdr:to>
    <xdr:cxnSp macro="">
      <xdr:nvCxnSpPr>
        <xdr:cNvPr id="265" name="Conector reto 264">
          <a:extLst>
            <a:ext uri="{FF2B5EF4-FFF2-40B4-BE49-F238E27FC236}">
              <a16:creationId xmlns:a16="http://schemas.microsoft.com/office/drawing/2014/main" id="{3B846CF2-DC23-4450-BA8A-7FDD0B33A9DB}"/>
            </a:ext>
          </a:extLst>
        </xdr:cNvPr>
        <xdr:cNvCxnSpPr/>
      </xdr:nvCxnSpPr>
      <xdr:spPr>
        <a:xfrm>
          <a:off x="104775" y="636748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2460</xdr:row>
      <xdr:rowOff>87630</xdr:rowOff>
    </xdr:from>
    <xdr:to>
      <xdr:col>9</xdr:col>
      <xdr:colOff>0</xdr:colOff>
      <xdr:row>2460</xdr:row>
      <xdr:rowOff>87630</xdr:rowOff>
    </xdr:to>
    <xdr:cxnSp macro="">
      <xdr:nvCxnSpPr>
        <xdr:cNvPr id="266" name="Conector reto 265">
          <a:extLst>
            <a:ext uri="{FF2B5EF4-FFF2-40B4-BE49-F238E27FC236}">
              <a16:creationId xmlns:a16="http://schemas.microsoft.com/office/drawing/2014/main" id="{3B381F68-49F3-4F27-AE35-B1CC5CADD847}"/>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2468</xdr:row>
      <xdr:rowOff>87630</xdr:rowOff>
    </xdr:from>
    <xdr:to>
      <xdr:col>9</xdr:col>
      <xdr:colOff>0</xdr:colOff>
      <xdr:row>2468</xdr:row>
      <xdr:rowOff>87630</xdr:rowOff>
    </xdr:to>
    <xdr:cxnSp macro="">
      <xdr:nvCxnSpPr>
        <xdr:cNvPr id="268" name="Conector reto 267">
          <a:extLst>
            <a:ext uri="{FF2B5EF4-FFF2-40B4-BE49-F238E27FC236}">
              <a16:creationId xmlns:a16="http://schemas.microsoft.com/office/drawing/2014/main" id="{E2EC53DA-166B-48E4-AA63-1D82021CA352}"/>
            </a:ext>
          </a:extLst>
        </xdr:cNvPr>
        <xdr:cNvCxnSpPr/>
      </xdr:nvCxnSpPr>
      <xdr:spPr>
        <a:xfrm>
          <a:off x="104775" y="621279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2477</xdr:row>
      <xdr:rowOff>87630</xdr:rowOff>
    </xdr:from>
    <xdr:to>
      <xdr:col>9</xdr:col>
      <xdr:colOff>0</xdr:colOff>
      <xdr:row>2477</xdr:row>
      <xdr:rowOff>87630</xdr:rowOff>
    </xdr:to>
    <xdr:cxnSp macro="">
      <xdr:nvCxnSpPr>
        <xdr:cNvPr id="269" name="Conector reto 268">
          <a:extLst>
            <a:ext uri="{FF2B5EF4-FFF2-40B4-BE49-F238E27FC236}">
              <a16:creationId xmlns:a16="http://schemas.microsoft.com/office/drawing/2014/main" id="{E5B1D55F-F766-45BD-BAB9-54E101453825}"/>
            </a:ext>
          </a:extLst>
        </xdr:cNvPr>
        <xdr:cNvCxnSpPr/>
      </xdr:nvCxnSpPr>
      <xdr:spPr>
        <a:xfrm>
          <a:off x="104775" y="623489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2486</xdr:row>
      <xdr:rowOff>87630</xdr:rowOff>
    </xdr:from>
    <xdr:to>
      <xdr:col>9</xdr:col>
      <xdr:colOff>0</xdr:colOff>
      <xdr:row>2486</xdr:row>
      <xdr:rowOff>87630</xdr:rowOff>
    </xdr:to>
    <xdr:cxnSp macro="">
      <xdr:nvCxnSpPr>
        <xdr:cNvPr id="270" name="Conector reto 269">
          <a:extLst>
            <a:ext uri="{FF2B5EF4-FFF2-40B4-BE49-F238E27FC236}">
              <a16:creationId xmlns:a16="http://schemas.microsoft.com/office/drawing/2014/main" id="{A3702E2C-A05C-40BF-8E89-44C8C1CBEFC1}"/>
            </a:ext>
          </a:extLst>
        </xdr:cNvPr>
        <xdr:cNvCxnSpPr/>
      </xdr:nvCxnSpPr>
      <xdr:spPr>
        <a:xfrm>
          <a:off x="104775" y="625699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2498</xdr:row>
      <xdr:rowOff>87630</xdr:rowOff>
    </xdr:from>
    <xdr:to>
      <xdr:col>9</xdr:col>
      <xdr:colOff>0</xdr:colOff>
      <xdr:row>2498</xdr:row>
      <xdr:rowOff>87630</xdr:rowOff>
    </xdr:to>
    <xdr:cxnSp macro="">
      <xdr:nvCxnSpPr>
        <xdr:cNvPr id="271" name="Conector reto 270">
          <a:extLst>
            <a:ext uri="{FF2B5EF4-FFF2-40B4-BE49-F238E27FC236}">
              <a16:creationId xmlns:a16="http://schemas.microsoft.com/office/drawing/2014/main" id="{A3B95841-7DF7-42E2-B487-351532F4F0C8}"/>
            </a:ext>
          </a:extLst>
        </xdr:cNvPr>
        <xdr:cNvCxnSpPr/>
      </xdr:nvCxnSpPr>
      <xdr:spPr>
        <a:xfrm>
          <a:off x="104775" y="627908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2507</xdr:row>
      <xdr:rowOff>87630</xdr:rowOff>
    </xdr:from>
    <xdr:to>
      <xdr:col>9</xdr:col>
      <xdr:colOff>0</xdr:colOff>
      <xdr:row>2507</xdr:row>
      <xdr:rowOff>87630</xdr:rowOff>
    </xdr:to>
    <xdr:cxnSp macro="">
      <xdr:nvCxnSpPr>
        <xdr:cNvPr id="272" name="Conector reto 271">
          <a:extLst>
            <a:ext uri="{FF2B5EF4-FFF2-40B4-BE49-F238E27FC236}">
              <a16:creationId xmlns:a16="http://schemas.microsoft.com/office/drawing/2014/main" id="{24267EAD-6678-4036-BA7F-6D50DDB7E23E}"/>
            </a:ext>
          </a:extLst>
        </xdr:cNvPr>
        <xdr:cNvCxnSpPr/>
      </xdr:nvCxnSpPr>
      <xdr:spPr>
        <a:xfrm>
          <a:off x="104775" y="630118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2514</xdr:row>
      <xdr:rowOff>87630</xdr:rowOff>
    </xdr:from>
    <xdr:to>
      <xdr:col>9</xdr:col>
      <xdr:colOff>0</xdr:colOff>
      <xdr:row>2514</xdr:row>
      <xdr:rowOff>87630</xdr:rowOff>
    </xdr:to>
    <xdr:cxnSp macro="">
      <xdr:nvCxnSpPr>
        <xdr:cNvPr id="273" name="Conector reto 272">
          <a:extLst>
            <a:ext uri="{FF2B5EF4-FFF2-40B4-BE49-F238E27FC236}">
              <a16:creationId xmlns:a16="http://schemas.microsoft.com/office/drawing/2014/main" id="{FC95D374-C7BF-4993-838F-822D0DD02974}"/>
            </a:ext>
          </a:extLst>
        </xdr:cNvPr>
        <xdr:cNvCxnSpPr/>
      </xdr:nvCxnSpPr>
      <xdr:spPr>
        <a:xfrm>
          <a:off x="104775" y="632328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2522</xdr:row>
      <xdr:rowOff>87630</xdr:rowOff>
    </xdr:from>
    <xdr:to>
      <xdr:col>9</xdr:col>
      <xdr:colOff>0</xdr:colOff>
      <xdr:row>2522</xdr:row>
      <xdr:rowOff>87630</xdr:rowOff>
    </xdr:to>
    <xdr:cxnSp macro="">
      <xdr:nvCxnSpPr>
        <xdr:cNvPr id="274" name="Conector reto 273">
          <a:extLst>
            <a:ext uri="{FF2B5EF4-FFF2-40B4-BE49-F238E27FC236}">
              <a16:creationId xmlns:a16="http://schemas.microsoft.com/office/drawing/2014/main" id="{A4358308-00B0-485D-910C-2C49A09FDD04}"/>
            </a:ext>
          </a:extLst>
        </xdr:cNvPr>
        <xdr:cNvCxnSpPr/>
      </xdr:nvCxnSpPr>
      <xdr:spPr>
        <a:xfrm>
          <a:off x="104775" y="634538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2530</xdr:row>
      <xdr:rowOff>87630</xdr:rowOff>
    </xdr:from>
    <xdr:to>
      <xdr:col>9</xdr:col>
      <xdr:colOff>0</xdr:colOff>
      <xdr:row>2530</xdr:row>
      <xdr:rowOff>87630</xdr:rowOff>
    </xdr:to>
    <xdr:cxnSp macro="">
      <xdr:nvCxnSpPr>
        <xdr:cNvPr id="275" name="Conector reto 274">
          <a:extLst>
            <a:ext uri="{FF2B5EF4-FFF2-40B4-BE49-F238E27FC236}">
              <a16:creationId xmlns:a16="http://schemas.microsoft.com/office/drawing/2014/main" id="{EC6FB5E3-EA0B-4D1A-8776-3C3C1A2D0A88}"/>
            </a:ext>
          </a:extLst>
        </xdr:cNvPr>
        <xdr:cNvCxnSpPr/>
      </xdr:nvCxnSpPr>
      <xdr:spPr>
        <a:xfrm>
          <a:off x="104775" y="636748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2535</xdr:row>
      <xdr:rowOff>87630</xdr:rowOff>
    </xdr:from>
    <xdr:to>
      <xdr:col>9</xdr:col>
      <xdr:colOff>0</xdr:colOff>
      <xdr:row>2535</xdr:row>
      <xdr:rowOff>87630</xdr:rowOff>
    </xdr:to>
    <xdr:cxnSp macro="">
      <xdr:nvCxnSpPr>
        <xdr:cNvPr id="276" name="Conector reto 275">
          <a:extLst>
            <a:ext uri="{FF2B5EF4-FFF2-40B4-BE49-F238E27FC236}">
              <a16:creationId xmlns:a16="http://schemas.microsoft.com/office/drawing/2014/main" id="{C597759C-2F75-4A36-98F7-CD27A3E28CC1}"/>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2540</xdr:row>
      <xdr:rowOff>87630</xdr:rowOff>
    </xdr:from>
    <xdr:to>
      <xdr:col>9</xdr:col>
      <xdr:colOff>0</xdr:colOff>
      <xdr:row>2540</xdr:row>
      <xdr:rowOff>87630</xdr:rowOff>
    </xdr:to>
    <xdr:cxnSp macro="">
      <xdr:nvCxnSpPr>
        <xdr:cNvPr id="277" name="Conector reto 276">
          <a:extLst>
            <a:ext uri="{FF2B5EF4-FFF2-40B4-BE49-F238E27FC236}">
              <a16:creationId xmlns:a16="http://schemas.microsoft.com/office/drawing/2014/main" id="{863959BC-CDAF-49DA-B199-12B95C4F6312}"/>
            </a:ext>
          </a:extLst>
        </xdr:cNvPr>
        <xdr:cNvCxnSpPr/>
      </xdr:nvCxnSpPr>
      <xdr:spPr>
        <a:xfrm>
          <a:off x="104775" y="619069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2545</xdr:row>
      <xdr:rowOff>87630</xdr:rowOff>
    </xdr:from>
    <xdr:to>
      <xdr:col>9</xdr:col>
      <xdr:colOff>0</xdr:colOff>
      <xdr:row>2545</xdr:row>
      <xdr:rowOff>87630</xdr:rowOff>
    </xdr:to>
    <xdr:cxnSp macro="">
      <xdr:nvCxnSpPr>
        <xdr:cNvPr id="278" name="Conector reto 277">
          <a:extLst>
            <a:ext uri="{FF2B5EF4-FFF2-40B4-BE49-F238E27FC236}">
              <a16:creationId xmlns:a16="http://schemas.microsoft.com/office/drawing/2014/main" id="{18F44601-5322-4382-BFF5-75C22D7C9D3C}"/>
            </a:ext>
          </a:extLst>
        </xdr:cNvPr>
        <xdr:cNvCxnSpPr/>
      </xdr:nvCxnSpPr>
      <xdr:spPr>
        <a:xfrm>
          <a:off x="104775" y="621279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2558</xdr:row>
      <xdr:rowOff>78105</xdr:rowOff>
    </xdr:from>
    <xdr:to>
      <xdr:col>9</xdr:col>
      <xdr:colOff>28575</xdr:colOff>
      <xdr:row>2558</xdr:row>
      <xdr:rowOff>78105</xdr:rowOff>
    </xdr:to>
    <xdr:cxnSp macro="">
      <xdr:nvCxnSpPr>
        <xdr:cNvPr id="279" name="Conector reto 278">
          <a:extLst>
            <a:ext uri="{FF2B5EF4-FFF2-40B4-BE49-F238E27FC236}">
              <a16:creationId xmlns:a16="http://schemas.microsoft.com/office/drawing/2014/main" id="{3257493A-C257-4A88-A057-8ABDEDDA9DF0}"/>
            </a:ext>
          </a:extLst>
        </xdr:cNvPr>
        <xdr:cNvCxnSpPr/>
      </xdr:nvCxnSpPr>
      <xdr:spPr>
        <a:xfrm>
          <a:off x="133350" y="77758480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2571</xdr:row>
      <xdr:rowOff>87630</xdr:rowOff>
    </xdr:from>
    <xdr:to>
      <xdr:col>9</xdr:col>
      <xdr:colOff>0</xdr:colOff>
      <xdr:row>2571</xdr:row>
      <xdr:rowOff>87630</xdr:rowOff>
    </xdr:to>
    <xdr:cxnSp macro="">
      <xdr:nvCxnSpPr>
        <xdr:cNvPr id="281" name="Conector reto 280">
          <a:extLst>
            <a:ext uri="{FF2B5EF4-FFF2-40B4-BE49-F238E27FC236}">
              <a16:creationId xmlns:a16="http://schemas.microsoft.com/office/drawing/2014/main" id="{9899E937-6945-4196-B1F8-CA61020909A8}"/>
            </a:ext>
          </a:extLst>
        </xdr:cNvPr>
        <xdr:cNvCxnSpPr/>
      </xdr:nvCxnSpPr>
      <xdr:spPr>
        <a:xfrm>
          <a:off x="104775" y="627908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2583</xdr:row>
      <xdr:rowOff>87630</xdr:rowOff>
    </xdr:from>
    <xdr:to>
      <xdr:col>9</xdr:col>
      <xdr:colOff>0</xdr:colOff>
      <xdr:row>2583</xdr:row>
      <xdr:rowOff>87630</xdr:rowOff>
    </xdr:to>
    <xdr:cxnSp macro="">
      <xdr:nvCxnSpPr>
        <xdr:cNvPr id="282" name="Conector reto 281">
          <a:extLst>
            <a:ext uri="{FF2B5EF4-FFF2-40B4-BE49-F238E27FC236}">
              <a16:creationId xmlns:a16="http://schemas.microsoft.com/office/drawing/2014/main" id="{0909DCCB-00AF-4B3E-BA4A-B1B8EC18C737}"/>
            </a:ext>
          </a:extLst>
        </xdr:cNvPr>
        <xdr:cNvCxnSpPr/>
      </xdr:nvCxnSpPr>
      <xdr:spPr>
        <a:xfrm>
          <a:off x="104775" y="630118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2595</xdr:row>
      <xdr:rowOff>87630</xdr:rowOff>
    </xdr:from>
    <xdr:to>
      <xdr:col>9</xdr:col>
      <xdr:colOff>0</xdr:colOff>
      <xdr:row>2595</xdr:row>
      <xdr:rowOff>87630</xdr:rowOff>
    </xdr:to>
    <xdr:cxnSp macro="">
      <xdr:nvCxnSpPr>
        <xdr:cNvPr id="283" name="Conector reto 282">
          <a:extLst>
            <a:ext uri="{FF2B5EF4-FFF2-40B4-BE49-F238E27FC236}">
              <a16:creationId xmlns:a16="http://schemas.microsoft.com/office/drawing/2014/main" id="{8538A74C-F0E4-4979-8677-62FDA47100F1}"/>
            </a:ext>
          </a:extLst>
        </xdr:cNvPr>
        <xdr:cNvCxnSpPr/>
      </xdr:nvCxnSpPr>
      <xdr:spPr>
        <a:xfrm>
          <a:off x="104775" y="632328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2601</xdr:row>
      <xdr:rowOff>87630</xdr:rowOff>
    </xdr:from>
    <xdr:to>
      <xdr:col>9</xdr:col>
      <xdr:colOff>0</xdr:colOff>
      <xdr:row>2601</xdr:row>
      <xdr:rowOff>87630</xdr:rowOff>
    </xdr:to>
    <xdr:cxnSp macro="">
      <xdr:nvCxnSpPr>
        <xdr:cNvPr id="284" name="Conector reto 283">
          <a:extLst>
            <a:ext uri="{FF2B5EF4-FFF2-40B4-BE49-F238E27FC236}">
              <a16:creationId xmlns:a16="http://schemas.microsoft.com/office/drawing/2014/main" id="{9E55161F-7E44-4ADE-9FFE-D681DB34D844}"/>
            </a:ext>
          </a:extLst>
        </xdr:cNvPr>
        <xdr:cNvCxnSpPr/>
      </xdr:nvCxnSpPr>
      <xdr:spPr>
        <a:xfrm>
          <a:off x="104775" y="634538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2608</xdr:row>
      <xdr:rowOff>87630</xdr:rowOff>
    </xdr:from>
    <xdr:to>
      <xdr:col>9</xdr:col>
      <xdr:colOff>0</xdr:colOff>
      <xdr:row>2608</xdr:row>
      <xdr:rowOff>87630</xdr:rowOff>
    </xdr:to>
    <xdr:cxnSp macro="">
      <xdr:nvCxnSpPr>
        <xdr:cNvPr id="285" name="Conector reto 284">
          <a:extLst>
            <a:ext uri="{FF2B5EF4-FFF2-40B4-BE49-F238E27FC236}">
              <a16:creationId xmlns:a16="http://schemas.microsoft.com/office/drawing/2014/main" id="{E3489072-3D76-498B-8384-467DA413CB00}"/>
            </a:ext>
          </a:extLst>
        </xdr:cNvPr>
        <xdr:cNvCxnSpPr/>
      </xdr:nvCxnSpPr>
      <xdr:spPr>
        <a:xfrm>
          <a:off x="104775" y="636748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2615</xdr:row>
      <xdr:rowOff>87630</xdr:rowOff>
    </xdr:from>
    <xdr:to>
      <xdr:col>9</xdr:col>
      <xdr:colOff>0</xdr:colOff>
      <xdr:row>2615</xdr:row>
      <xdr:rowOff>87630</xdr:rowOff>
    </xdr:to>
    <xdr:cxnSp macro="">
      <xdr:nvCxnSpPr>
        <xdr:cNvPr id="286" name="Conector reto 285">
          <a:extLst>
            <a:ext uri="{FF2B5EF4-FFF2-40B4-BE49-F238E27FC236}">
              <a16:creationId xmlns:a16="http://schemas.microsoft.com/office/drawing/2014/main" id="{15E23B1C-FE88-49C9-B725-B50512A166B9}"/>
            </a:ext>
          </a:extLst>
        </xdr:cNvPr>
        <xdr:cNvCxnSpPr/>
      </xdr:nvCxnSpPr>
      <xdr:spPr>
        <a:xfrm>
          <a:off x="104775" y="616859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2622</xdr:row>
      <xdr:rowOff>87630</xdr:rowOff>
    </xdr:from>
    <xdr:to>
      <xdr:col>9</xdr:col>
      <xdr:colOff>0</xdr:colOff>
      <xdr:row>2622</xdr:row>
      <xdr:rowOff>87630</xdr:rowOff>
    </xdr:to>
    <xdr:cxnSp macro="">
      <xdr:nvCxnSpPr>
        <xdr:cNvPr id="287" name="Conector reto 286">
          <a:extLst>
            <a:ext uri="{FF2B5EF4-FFF2-40B4-BE49-F238E27FC236}">
              <a16:creationId xmlns:a16="http://schemas.microsoft.com/office/drawing/2014/main" id="{8698F18E-6A5F-4059-AC0B-E580454F3433}"/>
            </a:ext>
          </a:extLst>
        </xdr:cNvPr>
        <xdr:cNvCxnSpPr/>
      </xdr:nvCxnSpPr>
      <xdr:spPr>
        <a:xfrm>
          <a:off x="104775" y="619069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2631</xdr:row>
      <xdr:rowOff>87630</xdr:rowOff>
    </xdr:from>
    <xdr:to>
      <xdr:col>9</xdr:col>
      <xdr:colOff>0</xdr:colOff>
      <xdr:row>2631</xdr:row>
      <xdr:rowOff>87630</xdr:rowOff>
    </xdr:to>
    <xdr:cxnSp macro="">
      <xdr:nvCxnSpPr>
        <xdr:cNvPr id="288" name="Conector reto 287">
          <a:extLst>
            <a:ext uri="{FF2B5EF4-FFF2-40B4-BE49-F238E27FC236}">
              <a16:creationId xmlns:a16="http://schemas.microsoft.com/office/drawing/2014/main" id="{001041A5-0F9B-4D0D-86D4-FCAA9D47622D}"/>
            </a:ext>
          </a:extLst>
        </xdr:cNvPr>
        <xdr:cNvCxnSpPr/>
      </xdr:nvCxnSpPr>
      <xdr:spPr>
        <a:xfrm>
          <a:off x="104775" y="621279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2639</xdr:row>
      <xdr:rowOff>87630</xdr:rowOff>
    </xdr:from>
    <xdr:to>
      <xdr:col>9</xdr:col>
      <xdr:colOff>0</xdr:colOff>
      <xdr:row>2639</xdr:row>
      <xdr:rowOff>87630</xdr:rowOff>
    </xdr:to>
    <xdr:cxnSp macro="">
      <xdr:nvCxnSpPr>
        <xdr:cNvPr id="289" name="Conector reto 288">
          <a:extLst>
            <a:ext uri="{FF2B5EF4-FFF2-40B4-BE49-F238E27FC236}">
              <a16:creationId xmlns:a16="http://schemas.microsoft.com/office/drawing/2014/main" id="{F61775F6-5140-49FE-8D24-D77445A615C4}"/>
            </a:ext>
          </a:extLst>
        </xdr:cNvPr>
        <xdr:cNvCxnSpPr/>
      </xdr:nvCxnSpPr>
      <xdr:spPr>
        <a:xfrm>
          <a:off x="104775" y="623489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2647</xdr:row>
      <xdr:rowOff>87630</xdr:rowOff>
    </xdr:from>
    <xdr:to>
      <xdr:col>9</xdr:col>
      <xdr:colOff>0</xdr:colOff>
      <xdr:row>2647</xdr:row>
      <xdr:rowOff>87630</xdr:rowOff>
    </xdr:to>
    <xdr:cxnSp macro="">
      <xdr:nvCxnSpPr>
        <xdr:cNvPr id="290" name="Conector reto 289">
          <a:extLst>
            <a:ext uri="{FF2B5EF4-FFF2-40B4-BE49-F238E27FC236}">
              <a16:creationId xmlns:a16="http://schemas.microsoft.com/office/drawing/2014/main" id="{239C16AE-4DED-485D-8EB8-C9FC6C304BE2}"/>
            </a:ext>
          </a:extLst>
        </xdr:cNvPr>
        <xdr:cNvCxnSpPr/>
      </xdr:nvCxnSpPr>
      <xdr:spPr>
        <a:xfrm>
          <a:off x="104775" y="6256991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2654</xdr:row>
      <xdr:rowOff>87630</xdr:rowOff>
    </xdr:from>
    <xdr:to>
      <xdr:col>9</xdr:col>
      <xdr:colOff>0</xdr:colOff>
      <xdr:row>2654</xdr:row>
      <xdr:rowOff>87630</xdr:rowOff>
    </xdr:to>
    <xdr:cxnSp macro="">
      <xdr:nvCxnSpPr>
        <xdr:cNvPr id="291" name="Conector reto 290">
          <a:extLst>
            <a:ext uri="{FF2B5EF4-FFF2-40B4-BE49-F238E27FC236}">
              <a16:creationId xmlns:a16="http://schemas.microsoft.com/office/drawing/2014/main" id="{574AA46B-66E3-4AE1-83A0-ED3294737710}"/>
            </a:ext>
          </a:extLst>
        </xdr:cNvPr>
        <xdr:cNvCxnSpPr/>
      </xdr:nvCxnSpPr>
      <xdr:spPr>
        <a:xfrm>
          <a:off x="104775" y="6279089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2659</xdr:row>
      <xdr:rowOff>87630</xdr:rowOff>
    </xdr:from>
    <xdr:to>
      <xdr:col>9</xdr:col>
      <xdr:colOff>0</xdr:colOff>
      <xdr:row>2659</xdr:row>
      <xdr:rowOff>87630</xdr:rowOff>
    </xdr:to>
    <xdr:cxnSp macro="">
      <xdr:nvCxnSpPr>
        <xdr:cNvPr id="292" name="Conector reto 291">
          <a:extLst>
            <a:ext uri="{FF2B5EF4-FFF2-40B4-BE49-F238E27FC236}">
              <a16:creationId xmlns:a16="http://schemas.microsoft.com/office/drawing/2014/main" id="{BE8A19D3-7494-412B-B8A3-91A1CE3CB727}"/>
            </a:ext>
          </a:extLst>
        </xdr:cNvPr>
        <xdr:cNvCxnSpPr/>
      </xdr:nvCxnSpPr>
      <xdr:spPr>
        <a:xfrm>
          <a:off x="104775" y="6301187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2664</xdr:row>
      <xdr:rowOff>87630</xdr:rowOff>
    </xdr:from>
    <xdr:to>
      <xdr:col>9</xdr:col>
      <xdr:colOff>0</xdr:colOff>
      <xdr:row>2664</xdr:row>
      <xdr:rowOff>87630</xdr:rowOff>
    </xdr:to>
    <xdr:cxnSp macro="">
      <xdr:nvCxnSpPr>
        <xdr:cNvPr id="293" name="Conector reto 292">
          <a:extLst>
            <a:ext uri="{FF2B5EF4-FFF2-40B4-BE49-F238E27FC236}">
              <a16:creationId xmlns:a16="http://schemas.microsoft.com/office/drawing/2014/main" id="{776B6DB1-92C5-418F-9E21-AEC84A44D370}"/>
            </a:ext>
          </a:extLst>
        </xdr:cNvPr>
        <xdr:cNvCxnSpPr/>
      </xdr:nvCxnSpPr>
      <xdr:spPr>
        <a:xfrm>
          <a:off x="104775" y="6323285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2670</xdr:row>
      <xdr:rowOff>87630</xdr:rowOff>
    </xdr:from>
    <xdr:to>
      <xdr:col>9</xdr:col>
      <xdr:colOff>0</xdr:colOff>
      <xdr:row>2670</xdr:row>
      <xdr:rowOff>87630</xdr:rowOff>
    </xdr:to>
    <xdr:cxnSp macro="">
      <xdr:nvCxnSpPr>
        <xdr:cNvPr id="294" name="Conector reto 293">
          <a:extLst>
            <a:ext uri="{FF2B5EF4-FFF2-40B4-BE49-F238E27FC236}">
              <a16:creationId xmlns:a16="http://schemas.microsoft.com/office/drawing/2014/main" id="{0DB7B75F-3F9A-43F0-9BD1-8D449A4E103F}"/>
            </a:ext>
          </a:extLst>
        </xdr:cNvPr>
        <xdr:cNvCxnSpPr/>
      </xdr:nvCxnSpPr>
      <xdr:spPr>
        <a:xfrm>
          <a:off x="104775" y="634538355"/>
          <a:ext cx="8067675" cy="0"/>
        </a:xfrm>
        <a:prstGeom prst="line">
          <a:avLst/>
        </a:prstGeom>
        <a:ln w="9525">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638175</xdr:colOff>
      <xdr:row>0</xdr:row>
      <xdr:rowOff>85725</xdr:rowOff>
    </xdr:from>
    <xdr:to>
      <xdr:col>8</xdr:col>
      <xdr:colOff>95249</xdr:colOff>
      <xdr:row>0</xdr:row>
      <xdr:rowOff>1350511</xdr:rowOff>
    </xdr:to>
    <xdr:pic>
      <xdr:nvPicPr>
        <xdr:cNvPr id="16" name="Imagem 15">
          <a:extLst>
            <a:ext uri="{FF2B5EF4-FFF2-40B4-BE49-F238E27FC236}">
              <a16:creationId xmlns:a16="http://schemas.microsoft.com/office/drawing/2014/main" id="{3ABDB358-A73C-4E3B-A3F3-D849B0BDE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85725"/>
          <a:ext cx="6162674" cy="1264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2133600</xdr:colOff>
      <xdr:row>1</xdr:row>
      <xdr:rowOff>19050</xdr:rowOff>
    </xdr:from>
    <xdr:to>
      <xdr:col>8</xdr:col>
      <xdr:colOff>190500</xdr:colOff>
      <xdr:row>5</xdr:row>
      <xdr:rowOff>211842</xdr:rowOff>
    </xdr:to>
    <xdr:pic>
      <xdr:nvPicPr>
        <xdr:cNvPr id="2" name="Imagem 1">
          <a:extLst>
            <a:ext uri="{FF2B5EF4-FFF2-40B4-BE49-F238E27FC236}">
              <a16:creationId xmlns:a16="http://schemas.microsoft.com/office/drawing/2014/main" id="{141AE497-6540-4F8B-AC3C-B8DDDB105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1850" y="257175"/>
          <a:ext cx="5534025" cy="11357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1200150</xdr:colOff>
      <xdr:row>24</xdr:row>
      <xdr:rowOff>38100</xdr:rowOff>
    </xdr:from>
    <xdr:to>
      <xdr:col>1</xdr:col>
      <xdr:colOff>1409700</xdr:colOff>
      <xdr:row>25</xdr:row>
      <xdr:rowOff>209550</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5324475"/>
          <a:ext cx="2886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57979</xdr:colOff>
      <xdr:row>3</xdr:row>
      <xdr:rowOff>33130</xdr:rowOff>
    </xdr:from>
    <xdr:to>
      <xdr:col>2</xdr:col>
      <xdr:colOff>861392</xdr:colOff>
      <xdr:row>3</xdr:row>
      <xdr:rowOff>1047951</xdr:rowOff>
    </xdr:to>
    <xdr:pic>
      <xdr:nvPicPr>
        <xdr:cNvPr id="2" name="Imagem 1">
          <a:extLst>
            <a:ext uri="{FF2B5EF4-FFF2-40B4-BE49-F238E27FC236}">
              <a16:creationId xmlns:a16="http://schemas.microsoft.com/office/drawing/2014/main" id="{79835CE4-ADB2-46BC-B71C-59473F17E6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79" y="612913"/>
          <a:ext cx="4944717" cy="10148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742950</xdr:colOff>
      <xdr:row>0</xdr:row>
      <xdr:rowOff>76201</xdr:rowOff>
    </xdr:from>
    <xdr:to>
      <xdr:col>3</xdr:col>
      <xdr:colOff>381000</xdr:colOff>
      <xdr:row>0</xdr:row>
      <xdr:rowOff>1047750</xdr:rowOff>
    </xdr:to>
    <xdr:pic>
      <xdr:nvPicPr>
        <xdr:cNvPr id="2" name="Imagem 1">
          <a:extLst>
            <a:ext uri="{FF2B5EF4-FFF2-40B4-BE49-F238E27FC236}">
              <a16:creationId xmlns:a16="http://schemas.microsoft.com/office/drawing/2014/main" id="{F47A0D85-AD8B-4E42-B86F-BF5E83451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76201"/>
          <a:ext cx="4314825" cy="9715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58</xdr:row>
      <xdr:rowOff>9525</xdr:rowOff>
    </xdr:from>
    <xdr:to>
      <xdr:col>1</xdr:col>
      <xdr:colOff>952500</xdr:colOff>
      <xdr:row>67</xdr:row>
      <xdr:rowOff>114300</xdr:rowOff>
    </xdr:to>
    <xdr:pic>
      <xdr:nvPicPr>
        <xdr:cNvPr id="2" name="Imagem 1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441" t="8772" r="7149" b="9473"/>
        <a:stretch>
          <a:fillRect/>
        </a:stretch>
      </xdr:blipFill>
      <xdr:spPr bwMode="auto">
        <a:xfrm>
          <a:off x="1409700" y="12677775"/>
          <a:ext cx="8667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1000125</xdr:colOff>
      <xdr:row>82</xdr:row>
      <xdr:rowOff>66675</xdr:rowOff>
    </xdr:from>
    <xdr:to>
      <xdr:col>1</xdr:col>
      <xdr:colOff>838200</xdr:colOff>
      <xdr:row>94</xdr:row>
      <xdr:rowOff>0</xdr:rowOff>
    </xdr:to>
    <xdr:pic>
      <xdr:nvPicPr>
        <xdr:cNvPr id="3" name="Imagem 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441" t="8772" r="7149" b="9473"/>
        <a:stretch>
          <a:fillRect/>
        </a:stretch>
      </xdr:blipFill>
      <xdr:spPr bwMode="auto">
        <a:xfrm>
          <a:off x="1000125" y="17811750"/>
          <a:ext cx="1162050"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198</xdr:row>
      <xdr:rowOff>58597</xdr:rowOff>
    </xdr:from>
    <xdr:to>
      <xdr:col>4</xdr:col>
      <xdr:colOff>238125</xdr:colOff>
      <xdr:row>213</xdr:row>
      <xdr:rowOff>38100</xdr:rowOff>
    </xdr:to>
    <xdr:pic>
      <xdr:nvPicPr>
        <xdr:cNvPr id="4" name="Imagem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 t="13303" r="487" b="12845"/>
        <a:stretch>
          <a:fillRect/>
        </a:stretch>
      </xdr:blipFill>
      <xdr:spPr bwMode="auto">
        <a:xfrm>
          <a:off x="514350" y="47064472"/>
          <a:ext cx="4400550" cy="372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1190625</xdr:colOff>
      <xdr:row>341</xdr:row>
      <xdr:rowOff>19050</xdr:rowOff>
    </xdr:from>
    <xdr:to>
      <xdr:col>1</xdr:col>
      <xdr:colOff>933450</xdr:colOff>
      <xdr:row>352</xdr:row>
      <xdr:rowOff>142875</xdr:rowOff>
    </xdr:to>
    <xdr:pic>
      <xdr:nvPicPr>
        <xdr:cNvPr id="5" name="Imagem 3">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441" t="8772" r="7149" b="9473"/>
        <a:stretch>
          <a:fillRect/>
        </a:stretch>
      </xdr:blipFill>
      <xdr:spPr bwMode="auto">
        <a:xfrm>
          <a:off x="1190625" y="76895325"/>
          <a:ext cx="1066800"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138</xdr:row>
      <xdr:rowOff>0</xdr:rowOff>
    </xdr:from>
    <xdr:to>
      <xdr:col>5</xdr:col>
      <xdr:colOff>762000</xdr:colOff>
      <xdr:row>140</xdr:row>
      <xdr:rowOff>342900</xdr:rowOff>
    </xdr:to>
    <xdr:pic>
      <xdr:nvPicPr>
        <xdr:cNvPr id="7" name="Imagem 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58000" y="30299025"/>
          <a:ext cx="72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1176</xdr:row>
      <xdr:rowOff>152400</xdr:rowOff>
    </xdr:from>
    <xdr:to>
      <xdr:col>3</xdr:col>
      <xdr:colOff>847725</xdr:colOff>
      <xdr:row>1182</xdr:row>
      <xdr:rowOff>180975</xdr:rowOff>
    </xdr:to>
    <xdr:pic>
      <xdr:nvPicPr>
        <xdr:cNvPr id="9" name="Imagem 10" descr="Y:\SUPO\PROJETOS\SUPO-SAOP - SETOR DE PROJETOS\PROJETOS 2019\PROJETOS SEDUC-SECID PROJETO ESCOLA PADRÃO\saboneteira inox.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7675" y="255222375"/>
          <a:ext cx="828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1176</xdr:row>
      <xdr:rowOff>152400</xdr:rowOff>
    </xdr:from>
    <xdr:to>
      <xdr:col>4</xdr:col>
      <xdr:colOff>238125</xdr:colOff>
      <xdr:row>1183</xdr:row>
      <xdr:rowOff>76200</xdr:rowOff>
    </xdr:to>
    <xdr:pic>
      <xdr:nvPicPr>
        <xdr:cNvPr id="10" name="Imagem 4">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472" t="2499" r="4839" b="4333"/>
        <a:stretch>
          <a:fillRect/>
        </a:stretch>
      </xdr:blipFill>
      <xdr:spPr bwMode="auto">
        <a:xfrm>
          <a:off x="4257675" y="255222375"/>
          <a:ext cx="11334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1163</xdr:row>
      <xdr:rowOff>57150</xdr:rowOff>
    </xdr:from>
    <xdr:to>
      <xdr:col>3</xdr:col>
      <xdr:colOff>828675</xdr:colOff>
      <xdr:row>1169</xdr:row>
      <xdr:rowOff>85725</xdr:rowOff>
    </xdr:to>
    <xdr:pic>
      <xdr:nvPicPr>
        <xdr:cNvPr id="12" name="Imagem 10" descr="Y:\SUPO\PROJETOS\SUPO-SAOP - SETOR DE PROJETOS\PROJETOS 2019\PROJETOS SEDUC-SECID PROJETO ESCOLA PADRÃO\saboneteira inox.jpg">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743325" y="252622050"/>
          <a:ext cx="828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xdr:colOff>
      <xdr:row>1190</xdr:row>
      <xdr:rowOff>161925</xdr:rowOff>
    </xdr:from>
    <xdr:to>
      <xdr:col>4</xdr:col>
      <xdr:colOff>142875</xdr:colOff>
      <xdr:row>1196</xdr:row>
      <xdr:rowOff>76200</xdr:rowOff>
    </xdr:to>
    <xdr:pic>
      <xdr:nvPicPr>
        <xdr:cNvPr id="14" name="Imagem 8" descr="Y:\SUPO\PROJETOS\SUPO-SAOP - SETOR DE PROJETOS\PROJETOS 2019\PROJETOS SEDUC-SECID PROJETO ESCOLA PADRÃO\papeleira ferro.jpg">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771900" y="257927475"/>
          <a:ext cx="10572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ia\Desktop\SINFRA%202020\PLANILHA%20%20ARIPUAN&#195;%20-%20ELIANA%20-%20SET%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SUPO\COQO\OR&#199;AMENTOS%202022\K&#193;TIA%20-%202022\PLANILHAS%20OR&#199;AMENT&#193;RIAS\SEMA%20-%20ATUALIZA&#199;&#195;O\CONFRESA\CONFRESA%202022\CONFRESA-MT(364778-2019)%20CONSTRU&#199;&#195;O%20DUDS%20-%20FEV-2023-SEM%20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UOCM\BRUNO\DUD'S\MEM&#211;RIA%20DE%20QUANTIFICA&#199;&#195;O%20-%20E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ORÇAMENTÁRIA"/>
      <sheetName val="COMP_NÃODESONERADO"/>
      <sheetName val="INSNÃODES"/>
      <sheetName val="BDI"/>
      <sheetName val="CRONOGRAMA FÍSICO-FINANCEIRO"/>
      <sheetName val="COMPOSIÇÃO DE CUSTO UNITÁRIO"/>
      <sheetName val="COTAÇÃO DE PREÇOS"/>
      <sheetName val="L SOCIAIS"/>
    </sheetNames>
    <sheetDataSet>
      <sheetData sheetId="0" refreshError="1"/>
      <sheetData sheetId="1" refreshError="1"/>
      <sheetData sheetId="2">
        <row r="1">
          <cell r="A1">
            <v>97141</v>
          </cell>
          <cell r="B1" t="str">
            <v>ASSENTAMENTO DE TUBO DE FERRO FUNDIDO PARA REDE DE ÁGUA, DN 80 MM, JUNTA ELÁSTICA, INSTALADO EM LOCAL COM NÍVEL ALTO DE INTERFERÊNCIAS (NÃO INCLUI FORNECIMENTO). AF_11/2017</v>
          </cell>
          <cell r="C1" t="str">
            <v>M</v>
          </cell>
          <cell r="D1">
            <v>5.54</v>
          </cell>
        </row>
        <row r="2">
          <cell r="A2">
            <v>97142</v>
          </cell>
          <cell r="B2" t="str">
            <v>ASSENTAMENTO DE TUBO DE FERRO FUNDIDO PARA REDE DE ÁGUA, DN 100 MM, JUNTA ELÁSTICA, INSTALADO EM LOCAL COM NÍVEL ALTO DE INTERFERÊNCIAS (NÃO INCLUI FORNECIMENTO). AF_11/2017</v>
          </cell>
          <cell r="C2" t="str">
            <v>M</v>
          </cell>
          <cell r="D2">
            <v>6.21</v>
          </cell>
        </row>
        <row r="3">
          <cell r="A3">
            <v>97143</v>
          </cell>
          <cell r="B3" t="str">
            <v>ASSENTAMENTO DE TUBO DE FERRO FUNDIDO PARA REDE DE ÁGUA, DN 150 MM, JUNTA ELÁSTICA, INSTALADO EM LOCAL COM NÍVEL ALTO DE INTERFERÊNCIAS (NÃO INCLUI FORNECIMENTO). AF_11/2017</v>
          </cell>
          <cell r="C3" t="str">
            <v>M</v>
          </cell>
          <cell r="D3">
            <v>7.84</v>
          </cell>
        </row>
        <row r="4">
          <cell r="A4">
            <v>97144</v>
          </cell>
          <cell r="B4" t="str">
            <v>ASSENTAMENTO DE TUBO DE FERRO FUNDIDO PARA REDE DE ÁGUA, DN 200 MM, JUNTA ELÁSTICA, INSTALADO EM LOCAL COM NÍVEL ALTO DE INTERFERÊNCIAS (NÃO INCLUI FORNECIMENTO). AF_11/2017</v>
          </cell>
          <cell r="C4" t="str">
            <v>M</v>
          </cell>
          <cell r="D4">
            <v>9.4499999999999993</v>
          </cell>
        </row>
        <row r="5">
          <cell r="A5">
            <v>97145</v>
          </cell>
          <cell r="B5" t="str">
            <v>ASSENTAMENTO DE TUBO DE FERRO FUNDIDO PARA REDE DE ÁGUA, DN 250 MM, JUNTA ELÁSTICA, INSTALADO EM LOCAL COM NÍVEL ALTO DE INTERFERÊNCIAS (NÃO INCLUI FORNECIMENTO). AF_11/2017</v>
          </cell>
          <cell r="C5" t="str">
            <v>M</v>
          </cell>
          <cell r="D5">
            <v>11.12</v>
          </cell>
        </row>
        <row r="6">
          <cell r="A6">
            <v>97146</v>
          </cell>
          <cell r="B6" t="str">
            <v>ASSENTAMENTO DE TUBO DE FERRO FUNDIDO PARA REDE DE ÁGUA, DN 300 MM, JUNTA ELÁSTICA, INSTALADO EM LOCAL COM NÍVEL ALTO DE INTERFERÊNCIAS (NÃO INCLUI FORNECIMENTO). AF_11/2017</v>
          </cell>
          <cell r="C6" t="str">
            <v>M</v>
          </cell>
          <cell r="D6">
            <v>12.76</v>
          </cell>
        </row>
        <row r="7">
          <cell r="A7">
            <v>97147</v>
          </cell>
          <cell r="B7" t="str">
            <v>ASSENTAMENTO DE TUBO DE FERRO FUNDIDO PARA REDE DE ÁGUA, DN 350 MM, JUNTA ELÁSTICA, INSTALADO EM LOCAL COM NÍVEL ALTO DE INTERFERÊNCIAS (NÃO INCLUI FORNECIMENTO). AF_11/2017</v>
          </cell>
          <cell r="C7" t="str">
            <v>M</v>
          </cell>
          <cell r="D7">
            <v>14.42</v>
          </cell>
        </row>
        <row r="8">
          <cell r="A8">
            <v>97148</v>
          </cell>
          <cell r="B8" t="str">
            <v>ASSENTAMENTO DE TUBO DE FERRO FUNDIDO PARA REDE DE ÁGUA, DN 400 MM, JUNTA ELÁSTICA, INSTALADO EM LOCAL COM NÍVEL ALTO DE INTERFERÊNCIAS (NÃO INCLUI FORNECIMENTO). AF_11/2017</v>
          </cell>
          <cell r="C8" t="str">
            <v>M</v>
          </cell>
          <cell r="D8">
            <v>16.09</v>
          </cell>
        </row>
        <row r="9">
          <cell r="A9">
            <v>97149</v>
          </cell>
          <cell r="B9" t="str">
            <v>ASSENTAMENTO DE TUBO DE FERRO FUNDIDO PARA REDE DE ÁGUA, DN 450 MM, JUNTA ELÁSTICA, INSTALADO EM LOCAL COM NÍVEL ALTO DE INTERFERÊNCIAS (NÃO INCLUI FORNECIMENTO). AF_11/2017</v>
          </cell>
          <cell r="C9" t="str">
            <v>M</v>
          </cell>
          <cell r="D9">
            <v>17.77</v>
          </cell>
        </row>
        <row r="10">
          <cell r="A10">
            <v>97150</v>
          </cell>
          <cell r="B10" t="str">
            <v>ASSENTAMENTO DE TUBO DE FERRO FUNDIDO PARA REDE DE ÁGUA, DN 500 MM, JUNTA ELÁSTICA, INSTALADO EM LOCAL COM NÍVEL ALTO DE INTERFERÊNCIAS (NÃO INCLUI FORNECIMENTO). AF_11/2017</v>
          </cell>
          <cell r="C10" t="str">
            <v>M</v>
          </cell>
          <cell r="D10">
            <v>21.62</v>
          </cell>
        </row>
        <row r="11">
          <cell r="A11">
            <v>97151</v>
          </cell>
          <cell r="B11" t="str">
            <v>ASSENTAMENTO DE TUBO DE FERRO FUNDIDO PARA REDE DE ÁGUA, DN 600 MM, JUNTA ELÁSTICA, INSTALADO EM LOCAL COM NÍVEL ALTO DE INTERFERÊNCIAS (NÃO INCLUI FORNECIMENTO). AF_11/2017</v>
          </cell>
          <cell r="C11" t="str">
            <v>M</v>
          </cell>
          <cell r="D11">
            <v>25.31</v>
          </cell>
        </row>
        <row r="12">
          <cell r="A12">
            <v>97152</v>
          </cell>
          <cell r="B12" t="str">
            <v>ASSENTAMENTO DE TUBO DE FERRO FUNDIDO PARA REDE DE ÁGUA, DN 700 MM, JUNTA ELÁSTICA, INSTALADO EM LOCAL COM NÍVEL ALTO DE INTERFERÊNCIAS (NÃO INCLUI FORNECIMENTO). AF_11/2017</v>
          </cell>
          <cell r="C12" t="str">
            <v>M</v>
          </cell>
          <cell r="D12">
            <v>28.69</v>
          </cell>
        </row>
        <row r="13">
          <cell r="A13">
            <v>97153</v>
          </cell>
          <cell r="B13" t="str">
            <v>ASSENTAMENTO DE TUBO DE FERRO FUNDIDO PARA REDE DE ÁGUA, DN 800 MM, JUNTA ELÁSTICA, INSTALADO EM LOCAL COM NÍVEL ALTO DE INTERFERÊNCIAS (NÃO INCLUI FORNECIMENTO). AF_11/2017</v>
          </cell>
          <cell r="C13" t="str">
            <v>M</v>
          </cell>
          <cell r="D13">
            <v>32.25</v>
          </cell>
        </row>
        <row r="14">
          <cell r="A14">
            <v>97154</v>
          </cell>
          <cell r="B14" t="str">
            <v>ASSENTAMENTO DE TUBO DE FERRO FUNDIDO PARA REDE DE ÁGUA, DN 900 MM, JUNTA ELÁSTICA, INSTALADO EM LOCAL COM NÍVEL ALTO DE INTERFERÊNCIAS (NÃO INCLUI FORNECIMENTO). AF_11/2017</v>
          </cell>
          <cell r="C14" t="str">
            <v>M</v>
          </cell>
          <cell r="D14">
            <v>35.86</v>
          </cell>
        </row>
        <row r="15">
          <cell r="A15">
            <v>97155</v>
          </cell>
          <cell r="B15" t="str">
            <v>ASSENTAMENTO DE TUBO DE FERRO FUNDIDO PARA REDE DE ÁGUA, DN 1000 MM, JUNTA ELÁSTICA, INSTALADO EM LOCAL COM NÍVEL ALTO DE INTERFERÊNCIAS (NÃO INCLUI FORNECIMENTO). AF_11/2017</v>
          </cell>
          <cell r="C15" t="str">
            <v>M</v>
          </cell>
          <cell r="D15">
            <v>39.450000000000003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47.14</v>
          </cell>
        </row>
        <row r="17">
          <cell r="A17">
            <v>97157</v>
          </cell>
          <cell r="B17" t="str">
            <v>ASSENTAMENTO DE TUBO DE FERRO FUNDIDO PARA REDE DE ÁGUA, DN 80 MM, JUNTA ELÁSTICA, INSTALADO EM LOCAL COM NÍVEL BAIXO DE INTERFERÊNCIAS (NÃO INCLUI FORNECIMENTO). AF_11/2017</v>
          </cell>
          <cell r="C17" t="str">
            <v>M</v>
          </cell>
          <cell r="D17">
            <v>3.39</v>
          </cell>
        </row>
        <row r="18">
          <cell r="A18">
            <v>97158</v>
          </cell>
          <cell r="B18" t="str">
            <v>ASSENTAMENTO DE TUBO DE FERRO FUNDIDO PARA REDE DE ÁGUA, DN 100 MM, JUNTA ELÁSTICA, INSTALADO EM LOCAL COM NÍVEL BAIXO DE INTERFERÊNCIAS (NÃO INCLUI FORNECIMENTO). AF_11/2017</v>
          </cell>
          <cell r="C18" t="str">
            <v>M</v>
          </cell>
          <cell r="D18">
            <v>3.8</v>
          </cell>
        </row>
        <row r="19">
          <cell r="A19">
            <v>97159</v>
          </cell>
          <cell r="B19" t="str">
            <v>ASSENTAMENTO DE TUBO DE FERRO FUNDIDO PARA REDE DE ÁGUA, DN 150 MM, JUNTA ELÁSTICA, INSTALADO EM LOCAL COM NÍVEL BAIXO DE INTERFERÊNCIAS (NÃO INCLUI FORNECIMENTO). AF_11/2017</v>
          </cell>
          <cell r="C19" t="str">
            <v>M</v>
          </cell>
          <cell r="D19">
            <v>4.8</v>
          </cell>
        </row>
        <row r="20">
          <cell r="A20">
            <v>97160</v>
          </cell>
          <cell r="B20" t="str">
            <v>ASSENTAMENTO DE TUBO DE FERRO FUNDIDO PARA REDE DE ÁGUA, DN 200 MM, JUNTA ELÁSTICA, INSTALADO EM LOCAL COM NÍVEL BAIXO DE INTERFERÊNCIAS (NÃO INCLUI FORNECIMENTO). AF_11/2017</v>
          </cell>
          <cell r="C20" t="str">
            <v>M</v>
          </cell>
          <cell r="D20">
            <v>5.8</v>
          </cell>
        </row>
        <row r="21">
          <cell r="A21">
            <v>97161</v>
          </cell>
          <cell r="B21" t="str">
            <v>ASSENTAMENTO DE TUBO DE FERRO FUNDIDO PARA REDE DE ÁGUA, DN 250 MM, JUNTA ELÁSTICA, INSTALADO EM LOCAL COM NÍVEL BAIXO DE INTERFERÊNCIAS (NÃO INCLUI FORNECIMENTO). AF_11/2017</v>
          </cell>
          <cell r="C21" t="str">
            <v>M</v>
          </cell>
          <cell r="D21">
            <v>6.85</v>
          </cell>
        </row>
        <row r="22">
          <cell r="A22">
            <v>97162</v>
          </cell>
          <cell r="B22" t="str">
            <v>ASSENTAMENTO DE TUBO DE FERRO FUNDIDO PARA REDE DE ÁGUA, DN 300 MM, JUNTA ELÁSTICA, INSTALADO EM LOCAL COM NÍVEL BAIXO DE INTERFERÊNCIAS (NÃO INCLUI FORNECIMENTO). AF_11/2017</v>
          </cell>
          <cell r="C22" t="str">
            <v>M</v>
          </cell>
          <cell r="D22">
            <v>7.85</v>
          </cell>
        </row>
        <row r="23">
          <cell r="A23">
            <v>97163</v>
          </cell>
          <cell r="B23" t="str">
            <v>ASSENTAMENTO DE TUBO DE FERRO FUNDIDO PARA REDE DE ÁGUA, DN 350 MM, JUNTA ELÁSTICA, INSTALADO EM LOCAL COM NÍVEL BAIXO DE INTERFERÊNCIAS (NÃO INCLUI FORNECIMENTO). AF_11/2017</v>
          </cell>
          <cell r="C23" t="str">
            <v>M</v>
          </cell>
          <cell r="D23">
            <v>8.89</v>
          </cell>
        </row>
        <row r="24">
          <cell r="A24">
            <v>97164</v>
          </cell>
          <cell r="B24" t="str">
            <v>ASSENTAMENTO DE TUBO DE FERRO FUNDIDO PARA REDE DE ÁGUA, DN 400 MM, JUNTA ELÁSTICA, INSTALADO EM LOCAL COM NÍVEL BAIXO DE INTERFERÊNCIAS (NÃO INCLUI FORNECIMENTO). AF_11/2017</v>
          </cell>
          <cell r="C24" t="str">
            <v>M</v>
          </cell>
          <cell r="D24">
            <v>9.92</v>
          </cell>
        </row>
        <row r="25">
          <cell r="A25">
            <v>97165</v>
          </cell>
          <cell r="B25" t="str">
            <v>ASSENTAMENTO DE TUBO DE FERRO FUNDIDO PARA REDE DE ÁGUA, DN 450 MM, JUNTA ELÁSTICA, INSTALADO EM LOCAL COM NÍVEL BAIXO DE INTERFERÊNCIAS (NÃO INCLUI FORNECIMENTO). AF_11/2017</v>
          </cell>
          <cell r="C25" t="str">
            <v>M</v>
          </cell>
          <cell r="D25">
            <v>10.98</v>
          </cell>
        </row>
        <row r="26">
          <cell r="A26">
            <v>97166</v>
          </cell>
          <cell r="B26" t="str">
            <v>ASSENTAMENTO DE TUBO DE FERRO FUNDIDO PARA REDE DE ÁGUA, DN 500 MM, JUNTA ELÁSTICA, INSTALADO EM LOCAL COM NÍVEL BAIXO DE INTERFERÊNCIAS (NÃO INCLUI FORNECIMENTO). AF_11/2017</v>
          </cell>
          <cell r="C26" t="str">
            <v>M</v>
          </cell>
          <cell r="D26">
            <v>13.34</v>
          </cell>
        </row>
        <row r="27">
          <cell r="A27">
            <v>97167</v>
          </cell>
          <cell r="B27" t="str">
            <v>ASSENTAMENTO DE TUBO DE FERRO FUNDIDO PARA REDE DE ÁGUA, DN 600 MM, JUNTA ELÁSTICA, INSTALADO EM LOCAL COM NÍVEL BAIXO DE INTERFERÊNCIAS (NÃO INCLUI FORNECIMENTO). AF_11/2017</v>
          </cell>
          <cell r="C27" t="str">
            <v>M</v>
          </cell>
          <cell r="D27">
            <v>15.65</v>
          </cell>
        </row>
        <row r="28">
          <cell r="A28">
            <v>97168</v>
          </cell>
          <cell r="B28" t="str">
            <v>ASSENTAMENTO DE TUBO DE FERRO FUNDIDO PARA REDE DE ÁGUA, DN 700 MM, JUNTA ELÁSTICA, INSTALADO EM LOCAL COM NÍVEL BAIXO DE INTERFERÊNCIAS (NÃO INCLUI FORNECIMENTO). AF_11/2017</v>
          </cell>
          <cell r="C28" t="str">
            <v>M</v>
          </cell>
          <cell r="D28">
            <v>17.66</v>
          </cell>
        </row>
        <row r="29">
          <cell r="A29">
            <v>97169</v>
          </cell>
          <cell r="B29" t="str">
            <v>ASSENTAMENTO DE TUBO DE FERRO FUNDIDO PARA REDE DE ÁGUA, DN 800 MM, JUNTA ELÁSTICA, INSTALADO EM LOCAL COM NÍVEL BAIXO DE INTERFERÊNCIAS (NÃO INCLUI FORNECIMENTO). AF_11/2017</v>
          </cell>
          <cell r="C29" t="str">
            <v>M</v>
          </cell>
          <cell r="D29">
            <v>19.850000000000001</v>
          </cell>
        </row>
        <row r="30">
          <cell r="A30">
            <v>97170</v>
          </cell>
          <cell r="B30" t="str">
            <v>ASSENTAMENTO DE TUBO DE FERRO FUNDIDO PARA REDE DE ÁGUA, DN 900 MM, JUNTA ELÁSTICA, INSTALADO EM LOCAL COM NÍVEL BAIXO DE INTERFERÊNCIAS (NÃO INCLUI FORNECIMENTO). AF_11/2017</v>
          </cell>
          <cell r="C30" t="str">
            <v>M</v>
          </cell>
          <cell r="D30">
            <v>22.08</v>
          </cell>
        </row>
        <row r="31">
          <cell r="A31">
            <v>97171</v>
          </cell>
          <cell r="B31" t="str">
            <v>ASSENTAMENTO DE TUBO DE FERRO FUNDIDO PARA REDE DE ÁGUA, DN 1000 MM, JUNTA ELÁSTICA, INSTALADO EM LOCAL COM NÍVEL BAIXO DE INTERFERÊNCIAS (NÃO INCLUI FORNECIMENTO). AF_11/2017</v>
          </cell>
          <cell r="C31" t="str">
            <v>M</v>
          </cell>
          <cell r="D31">
            <v>24.31</v>
          </cell>
        </row>
        <row r="32">
          <cell r="A32">
            <v>97172</v>
          </cell>
          <cell r="B32" t="str">
            <v>ASSENTAMENTO DE TUBO DE FERRO FUNDIDO PARA REDE DE ÁGUA, DN 1200 MM, JUNTA ELÁSTICA, INSTALADO EM LOCAL COM NÍVEL BAIXO DE INTERFERÊNCIAS (NÃO INCLUI FORNECIMENTO). AF_11/2017</v>
          </cell>
          <cell r="C32" t="str">
            <v>M</v>
          </cell>
          <cell r="D32">
            <v>29.25</v>
          </cell>
        </row>
        <row r="33">
          <cell r="A33">
            <v>97173</v>
          </cell>
          <cell r="B33" t="str">
            <v>ASSENTAMENTO DE TUBO DE AÇO CARBONO PARA REDE DE ÁGUA, DN 600 MM (24), JUNTA SOLDADA, INSTALADO EM LOCAL COM NÍVEL ALTO DE INTERFERÊNCIAS (NÃO INCLUI FORNECIMENTO). AF_11/2017</v>
          </cell>
          <cell r="C33" t="str">
            <v>M</v>
          </cell>
          <cell r="D33">
            <v>22.73</v>
          </cell>
        </row>
        <row r="34">
          <cell r="A34">
            <v>97174</v>
          </cell>
          <cell r="B34" t="str">
            <v>ASSENTAMENTO DE TUBO DE AÇO CARBONO PARA REDE DE ÁGUA, DN 700 MM (28), JUNTA SOLDADA, INSTALADO EM LOCAL COM NÍVEL ALTO DE INTERFERÊNCIAS (NÃO INCLUI FORNECIMENTO). AF_11/2017</v>
          </cell>
          <cell r="C34" t="str">
            <v>M</v>
          </cell>
          <cell r="D34">
            <v>26.26</v>
          </cell>
        </row>
        <row r="35">
          <cell r="A35">
            <v>97175</v>
          </cell>
          <cell r="B35" t="str">
            <v>ASSENTAMENTO DE TUBO DE AÇO CARBONO PARA REDE DE ÁGUA, DN 800 MM (32), JUNTA SOLDADA, INSTALADO EM LOCAL COM NÍVEL ALTO DE INTERFERÊNCIAS (NÃO INCLUI FORNECIMENTO). AF_11/2017</v>
          </cell>
          <cell r="C35" t="str">
            <v>M</v>
          </cell>
          <cell r="D35">
            <v>29.82</v>
          </cell>
        </row>
        <row r="36">
          <cell r="A36">
            <v>97176</v>
          </cell>
          <cell r="B36" t="str">
            <v>ASSENTAMENTO DE TUBO DE AÇO CARBONO PARA REDE DE ÁGUA, DN 900 MM (36), JUNTA SOLDADA, INSTALADO EM LOCAL COM NÍVEL ALTO DE INTERFERÊNCIAS (NÃO INCLUI FORNECIMENTO). AF_11/2017</v>
          </cell>
          <cell r="C36" t="str">
            <v>M</v>
          </cell>
          <cell r="D36">
            <v>33.35</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40.450000000000003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47.55</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54.63</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61.72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71.260000000000005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78.62</v>
          </cell>
        </row>
        <row r="43">
          <cell r="A43">
            <v>97183</v>
          </cell>
          <cell r="B43" t="str">
            <v>ASSENTAMENTO DE TUBO DE AÇO CARBONO PARA REDE DE ÁGUA, DN 600 MM (24), JUNTA SOLDADA, INSTALADO EM LOCAL COM NÍVEL BAIXO DE INTERFERÊNCIAS (NÃO INCLUI FORNECIMENTO). AF_11/2017</v>
          </cell>
          <cell r="C43" t="str">
            <v>M</v>
          </cell>
          <cell r="D43">
            <v>18.48</v>
          </cell>
        </row>
        <row r="44">
          <cell r="A44">
            <v>97184</v>
          </cell>
          <cell r="B44" t="str">
            <v>ASSENTAMENTO DE TUBO DE AÇO CARBONO PARA REDE DE ÁGUA, DN 700 MM (28), JUNTA SOLDADA, INSTALADO EM LOCAL COM NÍVEL BAIXO DE INTERFERÊNCIAS (NÃO INCLUI FORNECIMENTO). AF_11/2017</v>
          </cell>
          <cell r="C44" t="str">
            <v>M</v>
          </cell>
          <cell r="D44">
            <v>21.41</v>
          </cell>
        </row>
        <row r="45">
          <cell r="A45">
            <v>97185</v>
          </cell>
          <cell r="B45" t="str">
            <v>ASSENTAMENTO DE TUBO DE AÇO CARBONO PARA REDE DE ÁGUA, DN 800 MM (32), JUNTA SOLDADA, INSTALADO EM LOCAL COM NÍVEL BAIXO DE INTERFERÊNCIAS (NÃO INCLUI FORNECIMENTO). AF_11/2017</v>
          </cell>
          <cell r="C45" t="str">
            <v>M</v>
          </cell>
          <cell r="D45">
            <v>24.34</v>
          </cell>
        </row>
        <row r="46">
          <cell r="A46">
            <v>97186</v>
          </cell>
          <cell r="B46" t="str">
            <v>ASSENTAMENTO DE TUBO DE AÇO CARBONO PARA REDE DE ÁGUA, DN 900 MM (36), JUNTA SOLDADA, INSTALADO EM LOCAL COM NÍVEL BAIXO DE INTERFERÊNCIAS (NÃO INCLUI FORNECIMENTO). AF_11/2017</v>
          </cell>
          <cell r="C46" t="str">
            <v>M</v>
          </cell>
          <cell r="D46">
            <v>27.28</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33.159999999999997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39.03</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44.89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50.76</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58.46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64.540000000000006</v>
          </cell>
        </row>
        <row r="53">
          <cell r="A53">
            <v>90694</v>
          </cell>
          <cell r="B53" t="str">
            <v>TUBO DE PVC PARA REDE COLETORA DE ESGOTO DE PAREDE MACIÇA, DN 100 MM, JUNTA ELÁSTICA, INSTALADO EM LOCAL COM NÍVEL BAIXO DE INTERFERÊNCIAS - FORNECIMENTO E ASSENTAMENTO. AF_06/2015</v>
          </cell>
          <cell r="C53" t="str">
            <v>M</v>
          </cell>
          <cell r="D53">
            <v>19.3</v>
          </cell>
        </row>
        <row r="54">
          <cell r="A54">
            <v>90695</v>
          </cell>
          <cell r="B54" t="str">
            <v>TUBO DE PVC PARA REDE COLETORA DE ESGOTO DE PAREDE MACIÇA, DN 150 MM, JUNTA ELÁSTICA, INSTALADO EM LOCAL COM NÍVEL BAIXO DE INTERFERÊNCIAS - FORNECIMENTO E ASSENTAMENTO. AF_06/2015</v>
          </cell>
          <cell r="C54" t="str">
            <v>M</v>
          </cell>
          <cell r="D54">
            <v>39.57</v>
          </cell>
        </row>
        <row r="55">
          <cell r="A55">
            <v>90696</v>
          </cell>
          <cell r="B55" t="str">
            <v>TUBO DE PVC PARA REDE COLETORA DE ESGOTO DE PAREDE MACIÇA, DN 200 MM, JUNTA ELÁSTICA, INSTALADO EM LOCAL COM NÍVEL BAIXO DE INTERFERÊNCIAS - FORNECIMENTO E ASSENTAMENTO. AF_06/2015</v>
          </cell>
          <cell r="C55" t="str">
            <v>M</v>
          </cell>
          <cell r="D55">
            <v>58.49</v>
          </cell>
        </row>
        <row r="56">
          <cell r="A56">
            <v>90697</v>
          </cell>
          <cell r="B56" t="str">
            <v>TUBO DE PVC PARA REDE COLETORA DE ESGOTO DE PAREDE MACIÇA, DN 250 MM, JUNTA ELÁSTICA, INSTALADO EM LOCAL COM NÍVEL BAIXO DE INTERFERÊNCIAS - FORNECIMENTO E ASSENTAMENTO. AF_06/2015</v>
          </cell>
          <cell r="C56" t="str">
            <v>M</v>
          </cell>
          <cell r="D56">
            <v>97.98</v>
          </cell>
        </row>
        <row r="57">
          <cell r="A57">
            <v>90698</v>
          </cell>
          <cell r="B57" t="str">
            <v>TUBO DE PVC PARA REDE COLETORA DE ESGOTO DE PAREDE MACIÇA, DN 300 MM, JUNTA ELÁSTICA, INSTALADO EM LOCAL COM NÍVEL BAIXO DE INTERFERÊNCIAS - FORNECIMENTO E ASSENTAMENTO. AF_06/2015</v>
          </cell>
          <cell r="C57" t="str">
            <v>M</v>
          </cell>
          <cell r="D57">
            <v>156.44</v>
          </cell>
        </row>
        <row r="58">
          <cell r="A58">
            <v>90699</v>
          </cell>
          <cell r="B58" t="str">
            <v>TUBO DE PVC PARA REDE COLETORA DE ESGOTO DE PAREDE MACIÇA, DN 350 MM, JUNTA ELÁSTICA, INSTALADO EM LOCAL COM NÍVEL BAIXO DE INTERFERÊNCIAS - FORNECIMENTO E ASSENTAMENTO. AF_06/2015</v>
          </cell>
          <cell r="C58" t="str">
            <v>M</v>
          </cell>
          <cell r="D58">
            <v>193.26</v>
          </cell>
        </row>
        <row r="59">
          <cell r="A59">
            <v>90700</v>
          </cell>
          <cell r="B59" t="str">
            <v>TUBO DE PVC PARA REDE COLETORA DE ESGOTO DE PAREDE MACIÇA, DN 400 MM, JUNTA ELÁSTICA, INSTALADO EM LOCAL COM NÍVEL BAIXO DE INTERFERÊNCIAS - FORNECIMENTO E ASSENTAMENTO. AF_06/2015</v>
          </cell>
          <cell r="C59" t="str">
            <v>M</v>
          </cell>
          <cell r="D59">
            <v>254.2</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35.21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54.24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87.54</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119.97</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167.99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202.09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530.72</v>
          </cell>
        </row>
        <row r="67">
          <cell r="A67">
            <v>90709</v>
          </cell>
          <cell r="B67" t="str">
            <v>TUBO DE PVC PARA REDE COLETORA DE ESGOTO DE PAREDE MACIÇA, DN 100 MM, JUNTA ELÁSTICA, INSTALADO EM LOCAL COM NÍVEL ALTO DE INTERFERÊNCIAS - FORNECIMENTO E ASSENTAMENTO. AF_06/2015</v>
          </cell>
          <cell r="C67" t="str">
            <v>M</v>
          </cell>
          <cell r="D67">
            <v>20.83</v>
          </cell>
        </row>
        <row r="68">
          <cell r="A68">
            <v>90710</v>
          </cell>
          <cell r="B68" t="str">
            <v>TUBO DE PVC PARA REDE COLETORA DE ESGOTO DE PAREDE MACIÇA, DN 150 MM, JUNTA ELÁSTICA, INSTALADO EM LOCAL COM NÍVEL ALTO DE INTERFERÊNCIAS - FORNECIMENTO E ASSENTAMENTO. AF_06/2015</v>
          </cell>
          <cell r="C68" t="str">
            <v>M</v>
          </cell>
          <cell r="D68">
            <v>41.12</v>
          </cell>
        </row>
        <row r="69">
          <cell r="A69">
            <v>90711</v>
          </cell>
          <cell r="B69" t="str">
            <v>TUBO DE PVC PARA REDE COLETORA DE ESGOTO DE PAREDE MACIÇA, DN 200 MM, JUNTA ELÁSTICA, INSTALADO EM LOCAL COM NÍVEL ALTO DE INTERFERÊNCIAS - FORNECIMENTO E ASSENTAMENTO. AF_06/2015</v>
          </cell>
          <cell r="C69" t="str">
            <v>M</v>
          </cell>
          <cell r="D69">
            <v>60.03</v>
          </cell>
        </row>
        <row r="70">
          <cell r="A70">
            <v>90712</v>
          </cell>
          <cell r="B70" t="str">
            <v>TUBO DE PVC PARA REDE COLETORA DE ESGOTO DE PAREDE MACIÇA, DN 250 MM, JUNTA ELÁSTICA, INSTALADO EM LOCAL COM NÍVEL ALTO DE INTERFERÊNCIAS - FORNECIMENTO E ASSENTAMENTO. AF_06/2015</v>
          </cell>
          <cell r="C70" t="str">
            <v>M</v>
          </cell>
          <cell r="D70">
            <v>99.51</v>
          </cell>
        </row>
        <row r="71">
          <cell r="A71">
            <v>90713</v>
          </cell>
          <cell r="B71" t="str">
            <v>TUBO DE PVC PARA REDE COLETORA DE ESGOTO DE PAREDE MACIÇA, DN 300 MM, JUNTA ELÁSTICA, INSTALADO EM LOCAL COM NÍVEL ALTO DE INTERFERÊNCIAS - FORNECIMENTO E ASSENTAMENTO. AF_06/2015</v>
          </cell>
          <cell r="C71" t="str">
            <v>M</v>
          </cell>
          <cell r="D71">
            <v>157.97</v>
          </cell>
        </row>
        <row r="72">
          <cell r="A72">
            <v>90714</v>
          </cell>
          <cell r="B72" t="str">
            <v>TUBO DE PVC PARA REDE COLETORA DE ESGOTO DE PAREDE MACIÇA, DN 350 MM, JUNTA ELÁSTICA, INSTALADO EM LOCAL COM NÍVEL ALTO DE INTERFERÊNCIAS - FORNECIMENTO E ASSENTAMENTO. AF_06/2015</v>
          </cell>
          <cell r="C72" t="str">
            <v>M</v>
          </cell>
          <cell r="D72">
            <v>194.79</v>
          </cell>
        </row>
        <row r="73">
          <cell r="A73">
            <v>90715</v>
          </cell>
          <cell r="B73" t="str">
            <v>TUBO DE PVC PARA REDE COLETORA DE ESGOTO DE PAREDE MACIÇA, DN 400 MM, JUNTA ELÁSTICA, INSTALADO EM LOCAL COM NÍVEL ALTO DE INTERFERÊNCIAS - FORNECIMENTO E ASSENTAMENTO. AF_06/2015</v>
          </cell>
          <cell r="C73" t="str">
            <v>M</v>
          </cell>
          <cell r="D73">
            <v>257.37</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36.75</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55.78</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89.09</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121.51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169.52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205.25</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532.69000000000005</v>
          </cell>
        </row>
        <row r="81">
          <cell r="A81">
            <v>90724</v>
          </cell>
          <cell r="B81" t="str">
            <v>JUNTA ARGAMASSADA ENTRE TUBO DN 100 MM E O POÇO DE VISITA/ CAIXA DE CONCRETO OU ALVENARIA EM REDES DE ESGOTO. AF_06/2015</v>
          </cell>
          <cell r="C81" t="str">
            <v>UN</v>
          </cell>
          <cell r="D81">
            <v>18.12</v>
          </cell>
        </row>
        <row r="82">
          <cell r="A82">
            <v>90725</v>
          </cell>
          <cell r="B82" t="str">
            <v>JUNTA ARGAMASSADA ENTRE TUBO DN 150 MM E O POÇO DE VISITA/ CAIXA DE CONCRETO OU ALVENARIA EM REDES DE ESGOTO. AF_06/2015</v>
          </cell>
          <cell r="C82" t="str">
            <v>UN</v>
          </cell>
          <cell r="D82">
            <v>22.41</v>
          </cell>
        </row>
        <row r="83">
          <cell r="A83">
            <v>90726</v>
          </cell>
          <cell r="B83" t="str">
            <v>JUNTA ARGAMASSADA ENTRE TUBO DN 200 MM E O POÇO/ CAIXA DE CONCRETO OU ALVENARIA EM REDES DE ESGOTO. AF_06/2015</v>
          </cell>
          <cell r="C83" t="str">
            <v>UN</v>
          </cell>
          <cell r="D83">
            <v>26.69</v>
          </cell>
        </row>
        <row r="84">
          <cell r="A84">
            <v>90727</v>
          </cell>
          <cell r="B84" t="str">
            <v>JUNTA ARGAMASSADA ENTRE TUBO DN 250 MM E O POÇO DE VISITA/ CAIXA DE CONCRETO OU ALVENARIA EM REDES DE ESGOTO. AF_06/2015</v>
          </cell>
          <cell r="C84" t="str">
            <v>UN</v>
          </cell>
          <cell r="D84">
            <v>30.98</v>
          </cell>
        </row>
        <row r="85">
          <cell r="A85">
            <v>90728</v>
          </cell>
          <cell r="B85" t="str">
            <v>JUNTA ARGAMASSADA ENTRE TUBO DN 300 MM E O POÇO DE VISITA/ CAIXA DE CONCRETO OU ALVENARIA EM REDES DE ESGOTO. AF_06/2015</v>
          </cell>
          <cell r="C85" t="str">
            <v>UN</v>
          </cell>
          <cell r="D85">
            <v>35.26</v>
          </cell>
        </row>
        <row r="86">
          <cell r="A86">
            <v>90729</v>
          </cell>
          <cell r="B86" t="str">
            <v>JUNTA ARGAMASSADA ENTRE TUBO DN 350 MM E O POÇO DE VISITA/ CAIXA DE CONCRETO OU ALVENARIA EM REDES DE ESGOTO. AF_06/2015</v>
          </cell>
          <cell r="C86" t="str">
            <v>UN</v>
          </cell>
          <cell r="D86">
            <v>39.54</v>
          </cell>
        </row>
        <row r="87">
          <cell r="A87">
            <v>90730</v>
          </cell>
          <cell r="B87" t="str">
            <v>JUNTA ARGAMASSADA ENTRE TUBO DN 400 MM E O POÇO DE VISITA/ CAIXA DE CONCRETO OU ALVENARIA EM REDES DE ESGOTO. AF_06/2015</v>
          </cell>
          <cell r="C87" t="str">
            <v>UN</v>
          </cell>
          <cell r="D87">
            <v>43.87</v>
          </cell>
        </row>
        <row r="88">
          <cell r="A88">
            <v>90731</v>
          </cell>
          <cell r="B88" t="str">
            <v>JUNTA ARGAMASSADA ENTRE TUBO DN 450 MM E O POÇO DE VISITA/ CAIXA DE CONCRETO OU ALVENARIA EM REDES DE ESGOTO. AF_06/2015</v>
          </cell>
          <cell r="C88" t="str">
            <v>UN</v>
          </cell>
          <cell r="D88">
            <v>48.16</v>
          </cell>
        </row>
        <row r="89">
          <cell r="A89">
            <v>90732</v>
          </cell>
          <cell r="B89" t="str">
            <v>JUNTA ARGAMASSADA ENTRE TUBO DN 600 MM E O POÇO DE VISITA/ CAIXA DE CONCRETO OU ALVENARIA EM REDES DE ESGOTO. AF_06/2015</v>
          </cell>
          <cell r="C89" t="str">
            <v>UN</v>
          </cell>
          <cell r="D89">
            <v>61.01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2.36</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3.24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3.67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4.0999999999999996</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9.32</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4.32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5.18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5.62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6.06</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13.34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2.63</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10.32</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3.91</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4.34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4.7699999999999996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5.2</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5.63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12.49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5.86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6.29</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6.73</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7.16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7.59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16.5</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12.29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108.08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128.09</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1.1200000000000001</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750.2</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15.62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18.350000000000001</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1000.95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22.47</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1558.8</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26.65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35.130000000000003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108.27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128.4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752.73</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18.149999999999999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21.09</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1003.95</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25.47</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1562.02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29.87</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38.67</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1.49</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2.1</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1.26</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152.65</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164.92</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7.37</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270.27999999999997</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331.27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10.48</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410.99</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11.98</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v>440.89</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13.61</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v>601.80999999999995</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v>15.09</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v>633.72</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v>16.739999999999998</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v>157.72</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v>10.91</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v>171.27</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v>13.81</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v>278.12</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v>16.809999999999999</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v>340.45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v>19.8</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v>421.52</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v>22.68</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v>453.01</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v>25.73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v>615.44000000000005</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28.72</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648.48</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31.72</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98.58</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118.59</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174.64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228.13</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275.20999999999998</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316.06</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332.03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105.03</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126.55</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183.96</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238.96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287.33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329.53</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347.06</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26.06</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33.44</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40.729999999999997</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48.57</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56.3</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65.459999999999994</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75.06</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86.26</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475.01</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107.93</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677.13</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145.30000000000001</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31.08</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39.89</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48.69</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57.89</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67.13</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77.58</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88.53</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101.29</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492.75</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125.67</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698.88</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167.05</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83.4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88.35</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56.57</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69.45</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94.47</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61.52</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75.81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102.31</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v>3.84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v>7.14</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v>8.7899999999999991</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v>10.43</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v>12.06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v>13.7</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v>16.989999999999998</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v>1.84</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v>3.68</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v>4.54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v>5.39</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v>6.24</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v>7.08</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v>8.7899999999999991</v>
          </cell>
        </row>
        <row r="242">
          <cell r="A242">
            <v>93206</v>
          </cell>
          <cell r="B242" t="str">
            <v>EXECUÇÃO DE ESCRITÓRIO EM CANTEIRO DE OBRA EM ALVENARIA, NÃO INCLUSO MOBILIÁRIO E EQUIPAMENTOS. AF_02/2016</v>
          </cell>
          <cell r="C242" t="str">
            <v>M2</v>
          </cell>
          <cell r="D242">
            <v>830.82</v>
          </cell>
        </row>
        <row r="243">
          <cell r="A243">
            <v>93207</v>
          </cell>
          <cell r="B243" t="str">
            <v>EXECUÇÃO DE ESCRITÓRIO EM CANTEIRO DE OBRA EM CHAPA DE MADEIRA COMPENSADA, NÃO INCLUSO MOBILIÁRIO E EQUIPAMENTOS. AF_02/2016</v>
          </cell>
          <cell r="C243" t="str">
            <v>M2</v>
          </cell>
          <cell r="D243">
            <v>713.99</v>
          </cell>
        </row>
        <row r="244">
          <cell r="A244">
            <v>93208</v>
          </cell>
          <cell r="B244" t="str">
            <v>EXECUÇÃO DE ALMOXARIFADO EM CANTEIRO DE OBRA EM CHAPA DE MADEIRA COMPENSADA, INCLUSO PRATELEIRAS. AF_02/2016</v>
          </cell>
          <cell r="C244" t="str">
            <v>M2</v>
          </cell>
          <cell r="D244">
            <v>540.71</v>
          </cell>
        </row>
        <row r="245">
          <cell r="A245">
            <v>93209</v>
          </cell>
          <cell r="B245" t="str">
            <v>EXECUÇÃO DE ALMOXARIFADO EM CANTEIRO DE OBRA EM ALVENARIA, INCLUSO PRATELEIRAS. AF_02/2016</v>
          </cell>
          <cell r="C245" t="str">
            <v>M2</v>
          </cell>
          <cell r="D245">
            <v>651.1</v>
          </cell>
        </row>
        <row r="246">
          <cell r="A246">
            <v>93210</v>
          </cell>
          <cell r="B246" t="str">
            <v>EXECUÇÃO DE REFEITÓRIO EM CANTEIRO DE OBRA EM CHAPA DE MADEIRA COMPENSADA, NÃO INCLUSO MOBILIÁRIO E EQUIPAMENTOS. AF_02/2016</v>
          </cell>
          <cell r="C246" t="str">
            <v>M2</v>
          </cell>
          <cell r="D246">
            <v>377.99</v>
          </cell>
        </row>
        <row r="247">
          <cell r="A247">
            <v>93211</v>
          </cell>
          <cell r="B247" t="str">
            <v>EXECUÇÃO DE REFEITÓRIO EM CANTEIRO DE OBRA EM ALVENARIA, NÃO INCLUSO MOBILIÁRIO E EQUIPAMENTOS. AF_02/2016</v>
          </cell>
          <cell r="C247" t="str">
            <v>M2</v>
          </cell>
          <cell r="D247">
            <v>395.13</v>
          </cell>
        </row>
        <row r="248">
          <cell r="A248">
            <v>93212</v>
          </cell>
          <cell r="B248" t="str">
            <v>EXECUÇÃO DE SANITÁRIO E VESTIÁRIO EM CANTEIRO DE OBRA EM CHAPA DE MADEIRA COMPENSADA, NÃO INCLUSO MOBILIÁRIO. AF_02/2016</v>
          </cell>
          <cell r="C248" t="str">
            <v>M2</v>
          </cell>
          <cell r="D248">
            <v>638.58000000000004</v>
          </cell>
        </row>
        <row r="249">
          <cell r="A249">
            <v>93213</v>
          </cell>
          <cell r="B249" t="str">
            <v>EXECUÇÃO DE SANITÁRIO E VESTIÁRIO EM CANTEIRO DE OBRA EM ALVENARIA, NÃO INCLUSO MOBILIÁRIO. AF_02/2016</v>
          </cell>
          <cell r="C249" t="str">
            <v>M2</v>
          </cell>
          <cell r="D249">
            <v>725.44</v>
          </cell>
        </row>
        <row r="250">
          <cell r="A250">
            <v>93214</v>
          </cell>
          <cell r="B250" t="str">
            <v>EXECUÇÃO DE RESERVATÓRIO ELEVADO DE ÁGUA (1000 LITROS) EM CANTEIRO DE OBRA, APOIADO EM ESTRUTURA DE MADEIRA. AF_02/2016</v>
          </cell>
          <cell r="C250" t="str">
            <v>UN</v>
          </cell>
          <cell r="D250">
            <v>3299.17</v>
          </cell>
        </row>
        <row r="251">
          <cell r="A251">
            <v>93243</v>
          </cell>
          <cell r="B251" t="str">
            <v>EXECUÇÃO DE RESERVATÓRIO ELEVADO DE ÁGUA (2000 LITROS) EM CANTEIRO DE OBRA, APOIADO EM ESTRUTURA DE MADEIRA. AF_02/2016</v>
          </cell>
          <cell r="C251" t="str">
            <v>UN</v>
          </cell>
          <cell r="D251">
            <v>4989.26</v>
          </cell>
        </row>
        <row r="252">
          <cell r="A252">
            <v>93582</v>
          </cell>
          <cell r="B252" t="str">
            <v>EXECUÇÃO DE CENTRAL DE ARMADURA EM CANTEIRO DE OBRA, NÃO INCLUSO MOBILIÁRIO E EQUIPAMENTOS. AF_04/2016</v>
          </cell>
          <cell r="C252" t="str">
            <v>M2</v>
          </cell>
          <cell r="D252">
            <v>169.78</v>
          </cell>
        </row>
        <row r="253">
          <cell r="A253">
            <v>93583</v>
          </cell>
          <cell r="B253" t="str">
            <v>EXECUÇÃO DE CENTRAL DE FÔRMAS, PRODUÇÃO DE ARGAMASSA OU CONCRETO EM CANTEIRO DE OBRA, NÃO INCLUSO MOBILIÁRIO E EQUIPAMENTOS. AF_04/2016</v>
          </cell>
          <cell r="C253" t="str">
            <v>M2</v>
          </cell>
          <cell r="D253">
            <v>288.64</v>
          </cell>
        </row>
        <row r="254">
          <cell r="A254">
            <v>93584</v>
          </cell>
          <cell r="B254" t="str">
            <v>EXECUÇÃO DE DEPÓSITO EM CANTEIRO DE OBRA EM CHAPA DE MADEIRA COMPENSADA, NÃO INCLUSO MOBILIÁRIO. AF_04/2016</v>
          </cell>
          <cell r="C254" t="str">
            <v>M2</v>
          </cell>
          <cell r="D254">
            <v>562.84</v>
          </cell>
        </row>
        <row r="255">
          <cell r="A255">
            <v>93585</v>
          </cell>
          <cell r="B255" t="str">
            <v>EXECUÇÃO DE GUARITA EM CANTEIRO DE OBRA EM CHAPA DE MADEIRA COMPENSADA, NÃO INCLUSO MOBILIÁRIO. AF_04/2016</v>
          </cell>
          <cell r="C255" t="str">
            <v>M2</v>
          </cell>
          <cell r="D255">
            <v>724.38</v>
          </cell>
        </row>
        <row r="256">
          <cell r="A256">
            <v>98441</v>
          </cell>
          <cell r="B256" t="str">
            <v>PAREDE DE MADEIRA COMPENSADA PARA CONSTRUÇÃO TEMPORÁRIA EM CHAPA SIMPLES, EXTERNA, COM ÁREA LÍQUIDA MAIOR OU IGUAL A 6 M², SEM VÃO. AF_05/2018</v>
          </cell>
          <cell r="C256" t="str">
            <v>M2</v>
          </cell>
          <cell r="D256">
            <v>72.349999999999994</v>
          </cell>
        </row>
        <row r="257">
          <cell r="A257">
            <v>98442</v>
          </cell>
          <cell r="B257" t="str">
            <v>PAREDE DE MADEIRA COMPENSADA PARA CONSTRUÇÃO TEMPORÁRIA EM CHAPA SIMPLES, EXTERNA, COM ÁREA LÍQUIDA MENOR QUE 6 M², SEM VÃO. AF_05/2018</v>
          </cell>
          <cell r="C257" t="str">
            <v>M2</v>
          </cell>
          <cell r="D257">
            <v>74.81</v>
          </cell>
        </row>
        <row r="258">
          <cell r="A258">
            <v>98443</v>
          </cell>
          <cell r="B258" t="str">
            <v>PAREDE DE MADEIRA COMPENSADA PARA CONSTRUÇÃO TEMPORÁRIA EM CHAPA SIMPLES, INTERNA, COM ÁREA LÍQUIDA MAIOR OU IGUAL A 6 M², SEM VÃO. AF_05/2018</v>
          </cell>
          <cell r="C258" t="str">
            <v>M2</v>
          </cell>
          <cell r="D258">
            <v>61.12</v>
          </cell>
        </row>
        <row r="259">
          <cell r="A259">
            <v>98444</v>
          </cell>
          <cell r="B259" t="str">
            <v>PAREDE DE MADEIRA COMPENSADA PARA CONSTRUÇÃO TEMPORÁRIA EM CHAPA SIMPLES, INTERNA, COM ÁREA LÍQUIDA MENOR QUE 6 M², SEM VÃO. AF_05/2018</v>
          </cell>
          <cell r="C259" t="str">
            <v>M2</v>
          </cell>
          <cell r="D259">
            <v>62.87</v>
          </cell>
        </row>
        <row r="260">
          <cell r="A260">
            <v>98445</v>
          </cell>
          <cell r="B260" t="str">
            <v>PAREDE DE MADEIRA COMPENSADA PARA CONSTRUÇÃO TEMPORÁRIA EM CHAPA SIMPLES, EXTERNA, COM ÁREA LÍQUIDA MAIOR OU IGUAL A 6 M², COM VÃO. AF_05/2018</v>
          </cell>
          <cell r="C260" t="str">
            <v>M2</v>
          </cell>
          <cell r="D260">
            <v>87.27</v>
          </cell>
        </row>
        <row r="261">
          <cell r="A261">
            <v>98446</v>
          </cell>
          <cell r="B261" t="str">
            <v>PAREDE DE MADEIRA COMPENSADA PARA CONSTRUÇÃO TEMPORÁRIA EM CHAPA SIMPLES, EXTERNA, COM ÁREA LÍQUIDA MENOR QUE 6 M², COM VÃO. AF_05/2018</v>
          </cell>
          <cell r="C261" t="str">
            <v>M2</v>
          </cell>
          <cell r="D261">
            <v>114.19</v>
          </cell>
        </row>
        <row r="262">
          <cell r="A262">
            <v>98447</v>
          </cell>
          <cell r="B262" t="str">
            <v>PAREDE DE MADEIRA COMPENSADA PARA CONSTRUÇÃO TEMPORÁRIA EM CHAPA SIMPLES, INTERNA, COM ÁREA LÍQUIDA MAIOR OU IGUAL A 6 M², COM VÃO. AF_05/2018</v>
          </cell>
          <cell r="C262" t="str">
            <v>M2</v>
          </cell>
          <cell r="D262">
            <v>71.81</v>
          </cell>
        </row>
        <row r="263">
          <cell r="A263">
            <v>98448</v>
          </cell>
          <cell r="B263" t="str">
            <v>PAREDE DE MADEIRA COMPENSADA PARA CONSTRUÇÃO TEMPORÁRIA EM CHAPA SIMPLES, INTERNA, COM ÁREA LÍQUIDA MENOR QUE 6 M², COM VÃO. AF_05/2018</v>
          </cell>
          <cell r="C263" t="str">
            <v>M2</v>
          </cell>
          <cell r="D263">
            <v>92.01</v>
          </cell>
        </row>
        <row r="264">
          <cell r="A264">
            <v>98449</v>
          </cell>
          <cell r="B264" t="str">
            <v>PAREDE DE MADEIRA COMPENSADA PARA CONSTRUÇÃO TEMPORÁRIA EM CHAPA DUPLA, EXTERNA, COM ÁREA LÍQUIDA MAIOR OU IGUAL A 6 M², SEM VÃO. AF_05/2018</v>
          </cell>
          <cell r="C264" t="str">
            <v>M2</v>
          </cell>
          <cell r="D264">
            <v>93.46</v>
          </cell>
        </row>
        <row r="265">
          <cell r="A265">
            <v>98450</v>
          </cell>
          <cell r="B265" t="str">
            <v>PAREDE DE MADEIRA COMPENSADA PARA CONSTRUÇÃO TEMPORÁRIA EM CHAPA DUPLA, EXTERNA, COM ÁREA LÍQUIDA MENOR QUE 6 M², SEM VÃO. AF_05/2018</v>
          </cell>
          <cell r="C265" t="str">
            <v>M2</v>
          </cell>
          <cell r="D265">
            <v>97.04</v>
          </cell>
        </row>
        <row r="266">
          <cell r="A266">
            <v>98451</v>
          </cell>
          <cell r="B266" t="str">
            <v>PAREDE DE MADEIRA COMPENSADA PARA CONSTRUÇÃO TEMPORÁRIA EM CHAPA DUPLA, INTERNA, COM ÁREA LÍQUIDA MAIOR OU IGUAL A 6 M², SEM VÃO. AF_05/2018</v>
          </cell>
          <cell r="C266" t="str">
            <v>M2</v>
          </cell>
          <cell r="D266">
            <v>80.12</v>
          </cell>
        </row>
        <row r="267">
          <cell r="A267">
            <v>98452</v>
          </cell>
          <cell r="B267" t="str">
            <v>PAREDE DE MADEIRA COMPENSADA PARA CONSTRUÇÃO TEMPORÁRIA EM CHAPA DUPLA, INTERNA, COM ÁREA LÍQUIDA MENOR QUE 6 M², SEM VÃO. AF_05/2018</v>
          </cell>
          <cell r="C267" t="str">
            <v>M2</v>
          </cell>
          <cell r="D267">
            <v>82.3</v>
          </cell>
        </row>
        <row r="268">
          <cell r="A268">
            <v>98453</v>
          </cell>
          <cell r="B268" t="str">
            <v>PAREDE DE MADEIRA COMPENSADA PARA CONSTRUÇÃO TEMPORÁRIA EM CHAPA DUPLA, EXTERNA, COM ÁREA LÍQUIDA MAIOR OU IGUAL A QUE 6 M², COM VÃO. AF_05/2018</v>
          </cell>
          <cell r="C268" t="str">
            <v>M2</v>
          </cell>
          <cell r="D268">
            <v>112.5</v>
          </cell>
        </row>
        <row r="269">
          <cell r="A269">
            <v>98454</v>
          </cell>
          <cell r="B269" t="str">
            <v>PAREDE DE MADEIRA COMPENSADA PARA CONSTRUÇÃO TEMPORÁRIA EM CHAPA DUPLA, EXTERNA, COM ÁREA LÍQUIDA MENOR QUE 6 M², COM VÃO. AF_05/2018</v>
          </cell>
          <cell r="C269" t="str">
            <v>M2</v>
          </cell>
          <cell r="D269">
            <v>149.54</v>
          </cell>
        </row>
        <row r="270">
          <cell r="A270">
            <v>98455</v>
          </cell>
          <cell r="B270" t="str">
            <v>PAREDE DE MADEIRA COMPENSADA PARA CONSTRUÇÃO TEMPORÁRIA EM CHAPA DUPLA, INTERNA, COM ÁREA LÍQUIDA MAIOR OU IGUAL A 6 M², COM VÃO. AF_05/2018</v>
          </cell>
          <cell r="C270" t="str">
            <v>M2</v>
          </cell>
          <cell r="D270">
            <v>94.94</v>
          </cell>
        </row>
        <row r="271">
          <cell r="A271">
            <v>98456</v>
          </cell>
          <cell r="B271" t="str">
            <v>PAREDE DE MADEIRA COMPENSADA PARA CONSTRUÇÃO TEMPORÁRIA EM CHAPA DUPLA, INTERNA, COM ÁREA LÍQUIDA MENOR QUE 6 M², COM VÃO. AF_05/2018</v>
          </cell>
          <cell r="C271" t="str">
            <v>M2</v>
          </cell>
          <cell r="D271">
            <v>124.56</v>
          </cell>
        </row>
        <row r="272">
          <cell r="A272">
            <v>98458</v>
          </cell>
          <cell r="B272" t="str">
            <v>TAPUME COM COMPENSADO DE MADEIRA. AF_05/2018</v>
          </cell>
          <cell r="C272" t="str">
            <v>M2</v>
          </cell>
          <cell r="D272">
            <v>68.36</v>
          </cell>
        </row>
        <row r="273">
          <cell r="A273">
            <v>98459</v>
          </cell>
          <cell r="B273" t="str">
            <v>TAPUME COM TELHA METÁLICA. AF_05/2018</v>
          </cell>
          <cell r="C273" t="str">
            <v>M2</v>
          </cell>
          <cell r="D273">
            <v>57.52</v>
          </cell>
        </row>
        <row r="274">
          <cell r="A274">
            <v>98460</v>
          </cell>
          <cell r="B274" t="str">
            <v>PISO PARA CONSTRUÇÃO TEMPORÁRIA EM MADEIRA, SEM REAPROVEITAMENTO. AF_05/2018</v>
          </cell>
          <cell r="C274" t="str">
            <v>M2</v>
          </cell>
          <cell r="D274">
            <v>65.33</v>
          </cell>
        </row>
        <row r="275">
          <cell r="A275">
            <v>98461</v>
          </cell>
          <cell r="B275" t="str">
            <v>ESTRUTURA DE MADEIRA PROVISÓRIA PARA SUPORTE DE CAIXA D ÁGUA ELEVADA DE 1000 LITROS. AF_05/2018_P</v>
          </cell>
          <cell r="C275" t="str">
            <v>UN</v>
          </cell>
          <cell r="D275">
            <v>2746.32</v>
          </cell>
        </row>
        <row r="276">
          <cell r="A276">
            <v>98462</v>
          </cell>
          <cell r="B276" t="str">
            <v>ESTRUTURA DE MADEIRA PROVISÓRIA PARA SUPORTE DE CAIXA D ÁGUA ELEVADA DE 3000 LITROS. AF_05/2018_P</v>
          </cell>
          <cell r="C276" t="str">
            <v>UN</v>
          </cell>
          <cell r="D276">
            <v>4050.8</v>
          </cell>
        </row>
        <row r="277">
          <cell r="A277">
            <v>5631</v>
          </cell>
          <cell r="B277" t="str">
            <v>ESCAVADEIRA HIDRÁULICA SOBRE ESTEIRAS, CAÇAMBA 0,80 M3, PESO OPERACIONAL 17 T, POTENCIA BRUTA 111 HP - CHP DIURNO. AF_06/2014</v>
          </cell>
          <cell r="C277" t="str">
            <v>CHP</v>
          </cell>
          <cell r="D277">
            <v>115.81</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v>83.98</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v>77.8</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v>86.05</v>
          </cell>
        </row>
        <row r="281">
          <cell r="A281">
            <v>5689</v>
          </cell>
          <cell r="B281" t="str">
            <v>GRADE DE DISCO CONTROLE REMOTO REBOCÁVEL, COM 24 DISCOS 24 X 6 MM COM PNEUS PARA TRANSPORTE - CHP DIURNO. AF_06/2014</v>
          </cell>
          <cell r="C281" t="str">
            <v>CHP</v>
          </cell>
          <cell r="D281">
            <v>3.19</v>
          </cell>
        </row>
        <row r="282">
          <cell r="A282">
            <v>5795</v>
          </cell>
          <cell r="B282" t="str">
            <v>MARTELETE OU ROMPEDOR PNEUMÁTICO MANUAL, 28 KG, COM SILENCIADOR - CHP DIURNO. AF_07/2016</v>
          </cell>
          <cell r="C282" t="str">
            <v>CHP</v>
          </cell>
          <cell r="D282">
            <v>16.34</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v>111.16</v>
          </cell>
        </row>
        <row r="284">
          <cell r="A284">
            <v>5823</v>
          </cell>
          <cell r="B284" t="str">
            <v>USINA DE CONCRETO FIXA, CAPACIDADE NOMINAL DE 90 A 120 M3/H, SEM SILO - CHP DIURNO. AF_07/2016</v>
          </cell>
          <cell r="C284" t="str">
            <v>CHP</v>
          </cell>
          <cell r="D284">
            <v>170.78</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v>106.64</v>
          </cell>
        </row>
        <row r="286">
          <cell r="A286">
            <v>5835</v>
          </cell>
          <cell r="B286" t="str">
            <v>VIBROACABADORA DE ASFALTO SOBRE ESTEIRAS, LARGURA DE PAVIMENTAÇÃO 1,90 M A 5,30 M, POTÊNCIA 105 HP CAPACIDADE 450 T/H - CHP DIURNO. AF_11/2014</v>
          </cell>
          <cell r="C286" t="str">
            <v>CHP</v>
          </cell>
          <cell r="D286">
            <v>248.81</v>
          </cell>
        </row>
        <row r="287">
          <cell r="A287">
            <v>5839</v>
          </cell>
          <cell r="B287" t="str">
            <v>VASSOURA MECÂNICA REBOCÁVEL COM ESCOVA CILÍNDRICA, LARGURA ÚTIL DE VARRIMENTO DE 2,44 M - CHP DIURNO. AF_06/2014</v>
          </cell>
          <cell r="C287" t="str">
            <v>CHP</v>
          </cell>
          <cell r="D287">
            <v>4.79</v>
          </cell>
        </row>
        <row r="288">
          <cell r="A288">
            <v>5843</v>
          </cell>
          <cell r="B288" t="str">
            <v>TRATOR DE PNEUS, POTÊNCIA 122 CV, TRAÇÃO 4X4, PESO COM LASTRO DE 4.510 KG - CHP DIURNO. AF_06/2014</v>
          </cell>
          <cell r="C288" t="str">
            <v>CHP</v>
          </cell>
          <cell r="D288">
            <v>136.38</v>
          </cell>
        </row>
        <row r="289">
          <cell r="A289">
            <v>5847</v>
          </cell>
          <cell r="B289" t="str">
            <v>TRATOR DE ESTEIRAS, POTÊNCIA 170 HP, PESO OPERACIONAL 19 T, CAÇAMBA 5,2 M3 - CHP DIURNO. AF_06/2014</v>
          </cell>
          <cell r="C289" t="str">
            <v>CHP</v>
          </cell>
          <cell r="D289">
            <v>150.36000000000001</v>
          </cell>
        </row>
        <row r="290">
          <cell r="A290">
            <v>5851</v>
          </cell>
          <cell r="B290" t="str">
            <v>TRATOR DE ESTEIRAS, POTÊNCIA 150 HP, PESO OPERACIONAL 16,7 T, COM RODA MOTRIZ ELEVADA E LÂMINA 3,18 M3 - CHP DIURNO. AF_06/2014</v>
          </cell>
          <cell r="C290" t="str">
            <v>CHP</v>
          </cell>
          <cell r="D290">
            <v>143.59</v>
          </cell>
        </row>
        <row r="291">
          <cell r="A291">
            <v>5855</v>
          </cell>
          <cell r="B291" t="str">
            <v>TRATOR DE ESTEIRAS, POTÊNCIA 347 HP, PESO OPERACIONAL 38,5 T, COM LÂMINA 8,70 M3 - CHP DIURNO. AF_06/2014</v>
          </cell>
          <cell r="C291" t="str">
            <v>CHP</v>
          </cell>
          <cell r="D291">
            <v>383.85</v>
          </cell>
        </row>
        <row r="292">
          <cell r="A292">
            <v>5863</v>
          </cell>
          <cell r="B292" t="str">
            <v>ROLO COMPACTADOR VIBRATÓRIO REBOCÁVEL, CILINDRO DE AÇO LISO, POTÊNCIA DE TRAÇÃO DE 65 CV, PESO 4,7 T, IMPACTO DINÂMICO 18,3 T, LARGURA DE TRABALHO 1,67 M - CHP DIURNO. AF_02/2016</v>
          </cell>
          <cell r="C292" t="str">
            <v>CHP</v>
          </cell>
          <cell r="D292">
            <v>11.47</v>
          </cell>
        </row>
        <row r="293">
          <cell r="A293">
            <v>5867</v>
          </cell>
          <cell r="B293" t="str">
            <v>ROLO COMPACTADOR VIBRATÓRIO TANDEM AÇO LISO, POTÊNCIA 58 HP, PESO SEM/COM LASTRO 6,5 / 9,4 T, LARGURA DE TRABALHO 1,2 M - CHP DIURNO. AF_06/2014</v>
          </cell>
          <cell r="C293" t="str">
            <v>CHP</v>
          </cell>
          <cell r="D293">
            <v>85.62</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v>78.05</v>
          </cell>
        </row>
        <row r="295">
          <cell r="A295">
            <v>5879</v>
          </cell>
          <cell r="B295" t="str">
            <v>ROLO COMPACTADOR VIBRATÓRIO PÉ DE CARNEIRO, OPERADO POR CONTROLE REMOTO, POTÊNCIA 12,5 KW, PESO OPERACIONAL 1,675 T, LARGURA DE TRABALHO 0,85 M - CHP DIURNO. AF_02/2016</v>
          </cell>
          <cell r="C295" t="str">
            <v>CHP</v>
          </cell>
          <cell r="D295">
            <v>73.86</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v>76.75</v>
          </cell>
        </row>
        <row r="297">
          <cell r="A297">
            <v>5890</v>
          </cell>
          <cell r="B297" t="str">
            <v>CAMINHÃO TOCO, PESO BRUTO TOTAL 14.300 KG, CARGA ÚTIL MÁXIMA 9590 KG, DISTÂNCIA ENTRE EIXOS 4,76 M, POTÊNCIA 185 CV (NÃO INCLUI CARROCERIA) - CHP DIURNO. AF_06/2014</v>
          </cell>
          <cell r="C297" t="str">
            <v>CHP</v>
          </cell>
          <cell r="D297">
            <v>107.35</v>
          </cell>
        </row>
        <row r="298">
          <cell r="A298">
            <v>5894</v>
          </cell>
          <cell r="B298" t="str">
            <v>CAMINHÃO TOCO, PESO BRUTO TOTAL 16.000 KG, CARGA ÚTIL MÁXIMA DE 10.685 KG, DISTÂNCIA ENTRE EIXOS 4,80 M, POTÊNCIA 189 CV EXCLUSIVE CARROCERIA - CHP DIURNO. AF_06/2014</v>
          </cell>
          <cell r="C298" t="str">
            <v>CHP</v>
          </cell>
          <cell r="D298">
            <v>104.73</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v>164.87</v>
          </cell>
        </row>
        <row r="300">
          <cell r="A300">
            <v>5909</v>
          </cell>
          <cell r="B300" t="str">
            <v>ESPARGIDOR DE ASFALTO PRESSURIZADO COM TANQUE DE 2500 L, REBOCÁVEL COM MOTOR A GASOLINA POTÊNCIA 3,4 HP - CHP DIURNO. AF_07/2014</v>
          </cell>
          <cell r="C300" t="str">
            <v>CHP</v>
          </cell>
          <cell r="D300">
            <v>23.76</v>
          </cell>
        </row>
        <row r="301">
          <cell r="A301">
            <v>5921</v>
          </cell>
          <cell r="B301" t="str">
            <v>GRADE DE DISCO REBOCÁVEL COM 20 DISCOS 24" X 6 MM COM PNEUS PARA TRANSPORTE - CHP DIURNO. AF_06/2014</v>
          </cell>
          <cell r="C301" t="str">
            <v>CHP</v>
          </cell>
          <cell r="D301">
            <v>2.4900000000000002</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v>139.16999999999999</v>
          </cell>
        </row>
        <row r="303">
          <cell r="A303">
            <v>5932</v>
          </cell>
          <cell r="B303" t="str">
            <v>MOTONIVELADORA POTÊNCIA BÁSICA LÍQUIDA (PRIMEIRA MARCHA) 125 HP, PESO BRUTO 13032 KG, LARGURA DA LÂMINA DE 3,7 M - CHP DIURNO. AF_06/2014</v>
          </cell>
          <cell r="C303" t="str">
            <v>CHP</v>
          </cell>
          <cell r="D303">
            <v>134.68</v>
          </cell>
        </row>
        <row r="304">
          <cell r="A304">
            <v>5940</v>
          </cell>
          <cell r="B304" t="str">
            <v>PÁ CARREGADEIRA SOBRE RODAS, POTÊNCIA LÍQUIDA 128 HP, CAPACIDADE DA CAÇAMBA 1,7 A 2,8 M3, PESO OPERACIONAL 11632 KG - CHP DIURNO. AF_06/2014</v>
          </cell>
          <cell r="C304" t="str">
            <v>CHP</v>
          </cell>
          <cell r="D304">
            <v>113.62</v>
          </cell>
        </row>
        <row r="305">
          <cell r="A305">
            <v>5944</v>
          </cell>
          <cell r="B305" t="str">
            <v>PÁ CARREGADEIRA SOBRE RODAS, POTÊNCIA 197 HP, CAPACIDADE DA CAÇAMBA 2,5 A 3,5 M3, PESO OPERACIONAL 18338 KG - CHP DIURNO. AF_06/2014</v>
          </cell>
          <cell r="C305" t="str">
            <v>CHP</v>
          </cell>
          <cell r="D305">
            <v>127.93</v>
          </cell>
        </row>
        <row r="306">
          <cell r="A306">
            <v>5953</v>
          </cell>
          <cell r="B306" t="str">
            <v>COMPRESSOR DE AR REBOCÁVEL, VAZÃO 189 PCM, PRESSÃO EFETIVA DE TRABALHO 102 PSI, MOTOR DIESEL, POTÊNCIA 63 CV - CHP DIURNO. AF_06/2015</v>
          </cell>
          <cell r="C306" t="str">
            <v>CHP</v>
          </cell>
          <cell r="D306">
            <v>33.85</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v>136.74</v>
          </cell>
        </row>
        <row r="308">
          <cell r="A308">
            <v>6879</v>
          </cell>
          <cell r="B308" t="str">
            <v>ROLO COMPACTADOR DE PNEUS ESTÁTICO, PRESSÃO VARIÁVEL, POTÊNCIA 111 HP, PESO SEM/COM LASTRO 9,5 / 26 T, LARGURA DE TRABALHO 1,90 M - CHP DIURNO. AF_07/2014</v>
          </cell>
          <cell r="C308" t="str">
            <v>CHP</v>
          </cell>
          <cell r="D308">
            <v>111.68</v>
          </cell>
        </row>
        <row r="309">
          <cell r="A309">
            <v>7030</v>
          </cell>
          <cell r="B309" t="str">
            <v>TANQUE DE ASFALTO ESTACIONÁRIO COM SERPENTINA, CAPACIDADE 30.000 L - CHP DIURNO. AF_06/2014</v>
          </cell>
          <cell r="C309" t="str">
            <v>CHP</v>
          </cell>
          <cell r="D309">
            <v>133.36000000000001</v>
          </cell>
        </row>
        <row r="310">
          <cell r="A310">
            <v>7042</v>
          </cell>
          <cell r="B310" t="str">
            <v>MOTOBOMBA TRASH (PARA ÁGUA SUJA) AUTO ESCORVANTE, MOTOR GASOLINA DE 6,41 HP, DIÂMETROS DE SUCÇÃO X RECALQUE: 3" X 3", HM/Q = 10 MCA / 60 M3/H A 23 MCA / 0 M3/H - CHP DIURNO. AF_10/2014</v>
          </cell>
          <cell r="C310" t="str">
            <v>CHP</v>
          </cell>
          <cell r="D310">
            <v>7.35</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v>119.32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v>98.03</v>
          </cell>
        </row>
        <row r="313">
          <cell r="A313">
            <v>73417</v>
          </cell>
          <cell r="B313" t="str">
            <v>GRUPO GERADOR ESTACIONÁRIO, MOTOR DIESEL POTÊNCIA 170 KVA - CHP DIURNO. AF_02/2016</v>
          </cell>
          <cell r="C313" t="str">
            <v>CHP</v>
          </cell>
          <cell r="D313">
            <v>111.3</v>
          </cell>
        </row>
        <row r="314">
          <cell r="A314">
            <v>73436</v>
          </cell>
          <cell r="B314" t="str">
            <v>ROLO COMPACTADOR VIBRATÓRIO PÉ DE CARNEIRO PARA SOLOS, POTÊNCIA 80 HP, PESO OPERACIONAL SEM/COM LASTRO 7,4 / 8,8 T, LARGURA DE TRABALHO 1,68 M - CHP DIURNO. AF_02/2016</v>
          </cell>
          <cell r="C314" t="str">
            <v>CHP</v>
          </cell>
          <cell r="D314">
            <v>117.5</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v>90.79</v>
          </cell>
        </row>
        <row r="316">
          <cell r="A316">
            <v>73536</v>
          </cell>
          <cell r="B316" t="str">
            <v>MOTOBOMBA CENTRÍFUGA, MOTOR A GASOLINA, POTÊNCIA 5,42 HP, BOCAIS 1 1/2" X 1", DIÂMETRO ROTOR 143 MM HM/Q = 6 MCA / 16,8 M3/H A 38 MCA / 6,6 M3/H - CHP DIURNO. AF_06/2014</v>
          </cell>
          <cell r="C316" t="str">
            <v>CHP</v>
          </cell>
          <cell r="D316">
            <v>6.22</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v>166.92</v>
          </cell>
        </row>
        <row r="318">
          <cell r="A318">
            <v>83765</v>
          </cell>
          <cell r="B318" t="str">
            <v>GRUPO DE SOLDAGEM COM GERADOR A DIESEL 60 CV PARA SOLDA ELÉTRICA, SOBRE 04 RODAS, COM MOTOR 4 CILINDROS 600 A - CHP DIURNO. AF_02/2016</v>
          </cell>
          <cell r="C318" t="str">
            <v>CHP</v>
          </cell>
          <cell r="D318">
            <v>71.09</v>
          </cell>
        </row>
        <row r="319">
          <cell r="A319">
            <v>87445</v>
          </cell>
          <cell r="B319" t="str">
            <v>BETONEIRA CAPACIDADE NOMINAL 400 L, CAPACIDADE DE MISTURA 310 L, MOTOR A DIESEL POTÊNCIA 5,0 HP, SEM CARREGADOR - CHP DIURNO. AF_06/2014</v>
          </cell>
          <cell r="C319" t="str">
            <v>CHP</v>
          </cell>
          <cell r="D319">
            <v>3.08</v>
          </cell>
        </row>
        <row r="320">
          <cell r="A320">
            <v>88386</v>
          </cell>
          <cell r="B320" t="str">
            <v>MISTURADOR DE ARGAMASSA, EIXO HORIZONTAL, CAPACIDADE DE MISTURA 300 KG, MOTOR ELÉTRICO POTÊNCIA 5 CV - CHP DIURNO. AF_06/2014</v>
          </cell>
          <cell r="C320" t="str">
            <v>CHP</v>
          </cell>
          <cell r="D320">
            <v>3.97</v>
          </cell>
        </row>
        <row r="321">
          <cell r="A321">
            <v>88393</v>
          </cell>
          <cell r="B321" t="str">
            <v>MISTURADOR DE ARGAMASSA, EIXO HORIZONTAL, CAPACIDADE DE MISTURA 600 KG, MOTOR ELÉTRICO POTÊNCIA 7,5 CV - CHP DIURNO. AF_06/2014</v>
          </cell>
          <cell r="C321" t="str">
            <v>CHP</v>
          </cell>
          <cell r="D321">
            <v>5.51</v>
          </cell>
        </row>
        <row r="322">
          <cell r="A322">
            <v>88399</v>
          </cell>
          <cell r="B322" t="str">
            <v>MISTURADOR DE ARGAMASSA, EIXO HORIZONTAL, CAPACIDADE DE MISTURA 160 KG, MOTOR ELÉTRICO POTÊNCIA 3 CV - CHP DIURNO. AF_06/2014</v>
          </cell>
          <cell r="C322" t="str">
            <v>CHP</v>
          </cell>
          <cell r="D322">
            <v>2.88</v>
          </cell>
        </row>
        <row r="323">
          <cell r="A323">
            <v>88418</v>
          </cell>
          <cell r="B323" t="str">
            <v>PROJETOR DE ARGAMASSA, CAPACIDADE DE PROJEÇÃO 1,5 M3/H, ALCANCE DE 30 ATÉ 60 M, MOTOR ELÉTRICO POTÊNCIA 7,5 HP - CHP DIURNO. AF_06/2014</v>
          </cell>
          <cell r="C323" t="str">
            <v>CHP</v>
          </cell>
          <cell r="D323">
            <v>12.19</v>
          </cell>
        </row>
        <row r="324">
          <cell r="A324">
            <v>88433</v>
          </cell>
          <cell r="B324" t="str">
            <v>PROJETOR DE ARGAMASSA, CAPACIDADE DE PROJEÇÃO 2 M3/H, ALCANCE ATÉ 50 M, MOTOR ELÉTRICO POTÊNCIA 7,5 HP - CHP DIURNO. AF_06/2014</v>
          </cell>
          <cell r="C324" t="str">
            <v>CHP</v>
          </cell>
          <cell r="D324">
            <v>14.91</v>
          </cell>
        </row>
        <row r="325">
          <cell r="A325">
            <v>88830</v>
          </cell>
          <cell r="B325" t="str">
            <v>BETONEIRA CAPACIDADE NOMINAL DE 400 L, CAPACIDADE DE MISTURA 280 L, MOTOR ELÉTRICO TRIFÁSICO POTÊNCIA DE 2 CV, SEM CARREGADOR - CHP DIURNO. AF_10/2014</v>
          </cell>
          <cell r="C325" t="str">
            <v>CHP</v>
          </cell>
          <cell r="D325">
            <v>1.47</v>
          </cell>
        </row>
        <row r="326">
          <cell r="A326">
            <v>88843</v>
          </cell>
          <cell r="B326" t="str">
            <v>TRATOR DE ESTEIRAS, POTÊNCIA 125 HP, PESO OPERACIONAL 12,9 T, COM LÂMINA 2,7 M3 - CHP DIURNO. AF_10/2014</v>
          </cell>
          <cell r="C326" t="str">
            <v>CHP</v>
          </cell>
          <cell r="D326">
            <v>120.24</v>
          </cell>
        </row>
        <row r="327">
          <cell r="A327">
            <v>88907</v>
          </cell>
          <cell r="B327" t="str">
            <v>ESCAVADEIRA HIDRÁULICA SOBRE ESTEIRAS, CAÇAMBA 1,20 M3, PESO OPERACIONAL 21 T, POTÊNCIA BRUTA 155 HP - CHP DIURNO. AF_06/2014</v>
          </cell>
          <cell r="C327" t="str">
            <v>CHP</v>
          </cell>
          <cell r="D327">
            <v>137.30000000000001</v>
          </cell>
        </row>
        <row r="328">
          <cell r="A328">
            <v>89021</v>
          </cell>
          <cell r="B328" t="str">
            <v>BOMBA SUBMERSÍVEL ELÉTRICA TRIFÁSICA, POTÊNCIA 2,96 HP, Ø ROTOR 144 MM SEMI-ABERTO, BOCAL DE SAÍDA Ø 2, HM/Q = 2 MCA / 38,8 M3/H A 28 MCA / 5 M3/H - CHP DIURNO. AF_06/2014</v>
          </cell>
          <cell r="C328" t="str">
            <v>CHP</v>
          </cell>
          <cell r="D328">
            <v>2.15</v>
          </cell>
        </row>
        <row r="329">
          <cell r="A329">
            <v>89028</v>
          </cell>
          <cell r="B329" t="str">
            <v>TANQUE DE ASFALTO ESTACIONÁRIO COM MAÇARICO, CAPACIDADE 20.000 L - CHP DIURNO. AF_06/2014</v>
          </cell>
          <cell r="C329" t="str">
            <v>CHP</v>
          </cell>
          <cell r="D329">
            <v>123.1</v>
          </cell>
        </row>
        <row r="330">
          <cell r="A330">
            <v>89032</v>
          </cell>
          <cell r="B330" t="str">
            <v>TRATOR DE ESTEIRAS, POTÊNCIA 100 HP, PESO OPERACIONAL 9,4 T, COM LÂMINA 2,19 M3 - CHP DIURNO. AF_06/2014</v>
          </cell>
          <cell r="C330" t="str">
            <v>CHP</v>
          </cell>
          <cell r="D330">
            <v>108.51</v>
          </cell>
        </row>
        <row r="331">
          <cell r="A331">
            <v>89035</v>
          </cell>
          <cell r="B331" t="str">
            <v>TRATOR DE PNEUS, POTÊNCIA 85 CV, TRAÇÃO 4X4, PESO COM LASTRO DE 4.675 KG - CHP DIURNO. AF_06/2014</v>
          </cell>
          <cell r="C331" t="str">
            <v>CHP</v>
          </cell>
          <cell r="D331">
            <v>100.39</v>
          </cell>
        </row>
        <row r="332">
          <cell r="A332">
            <v>89225</v>
          </cell>
          <cell r="B332" t="str">
            <v>BETONEIRA CAPACIDADE NOMINAL DE 600 L, CAPACIDADE DE MISTURA 360 L, MOTOR ELÉTRICO TRIFÁSICO POTÊNCIA DE 4 CV, SEM CARREGADOR - CHP DIURNO. AF_11/2014</v>
          </cell>
          <cell r="C332" t="str">
            <v>CHP</v>
          </cell>
          <cell r="D332">
            <v>3.95</v>
          </cell>
        </row>
        <row r="333">
          <cell r="A333">
            <v>89234</v>
          </cell>
          <cell r="B333" t="str">
            <v>FRESADORA DE ASFALTO A FRIO SOBRE RODAS, LARGURA FRESAGEM DE 1,0 M, POTÊNCIA 208 HP - CHP DIURNO. AF_11/2014</v>
          </cell>
          <cell r="C333" t="str">
            <v>CHP</v>
          </cell>
          <cell r="D333">
            <v>378.75</v>
          </cell>
        </row>
        <row r="334">
          <cell r="A334">
            <v>89242</v>
          </cell>
          <cell r="B334" t="str">
            <v>FRESADORA DE ASFALTO A FRIO SOBRE RODAS, LARGURA FRESAGEM DE 2,0 M, POTÊNCIA 550 HP - CHP DIURNO. AF_11/2014</v>
          </cell>
          <cell r="C334" t="str">
            <v>CHP</v>
          </cell>
          <cell r="D334">
            <v>890.84</v>
          </cell>
        </row>
        <row r="335">
          <cell r="A335">
            <v>89250</v>
          </cell>
          <cell r="B335" t="str">
            <v>RECICLADORA DE ASFALTO A FRIO SOBRE RODAS, LARGURA FRESAGEM DE 2,0 M, POTÊNCIA 422 HP - CHP DIURNO. AF_11/2014</v>
          </cell>
          <cell r="C335" t="str">
            <v>CHP</v>
          </cell>
          <cell r="D335">
            <v>772.19</v>
          </cell>
        </row>
        <row r="336">
          <cell r="A336">
            <v>89257</v>
          </cell>
          <cell r="B336" t="str">
            <v>VIBROACABADORA DE ASFALTO SOBRE ESTEIRAS, LARGURA DE PAVIMENTAÇÃO 2,13 M A 4,55 M, POTÊNCIA 100 HP CAPACIDADE 400 T/H - CHP DIURNO. AF_11/2014</v>
          </cell>
          <cell r="C336" t="str">
            <v>CHP</v>
          </cell>
          <cell r="D336">
            <v>213.94</v>
          </cell>
        </row>
        <row r="337">
          <cell r="A337">
            <v>89272</v>
          </cell>
          <cell r="B337" t="str">
            <v>GUINDASTE HIDRÁULICO AUTOPROPELIDO, COM LANÇA TELESCÓPICA 28,80 M, CAPACIDADE MÁXIMA 30 T, POTÊNCIA 97 KW, TRAÇÃO 4 X 4 - CHP DIURNO. AF_11/2014</v>
          </cell>
          <cell r="C337" t="str">
            <v>CHP</v>
          </cell>
          <cell r="D337">
            <v>109.31</v>
          </cell>
        </row>
        <row r="338">
          <cell r="A338">
            <v>89278</v>
          </cell>
          <cell r="B338" t="str">
            <v>BETONEIRA CAPACIDADE NOMINAL DE 600 L, CAPACIDADE DE MISTURA 440 L, MOTOR A DIESEL POTÊNCIA 10 HP, COM CARREGADOR - CHP DIURNO. AF_11/2014</v>
          </cell>
          <cell r="C338" t="str">
            <v>CHP</v>
          </cell>
          <cell r="D338">
            <v>7.25</v>
          </cell>
        </row>
        <row r="339">
          <cell r="A339">
            <v>89843</v>
          </cell>
          <cell r="B339" t="str">
            <v>BATE-ESTACAS POR GRAVIDADE, POTÊNCIA DE 160 HP, PESO DO MARTELO ATÉ 3 TONELADAS - CHP DIURNO. AF_11/2014</v>
          </cell>
          <cell r="C339" t="str">
            <v>CHP</v>
          </cell>
          <cell r="D339">
            <v>119.48</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v>182.91</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v>202.07</v>
          </cell>
        </row>
        <row r="342">
          <cell r="A342">
            <v>90586</v>
          </cell>
          <cell r="B342" t="str">
            <v>VIBRADOR DE IMERSÃO, DIÂMETRO DE PONTEIRA 45MM, MOTOR ELÉTRICO TRIFÁSICO POTÊNCIA DE 2 CV - CHP DIURNO. AF_06/2015</v>
          </cell>
          <cell r="C342" t="str">
            <v>CHP</v>
          </cell>
          <cell r="D342">
            <v>1.52</v>
          </cell>
        </row>
        <row r="343">
          <cell r="A343">
            <v>90625</v>
          </cell>
          <cell r="B343" t="str">
            <v>PERFURATRIZ MANUAL, TORQUE MÁXIMO 83 N.M, POTÊNCIA 5 CV, COM DIÂMETRO MÁXIMO 4" - CHP DIURNO. AF_06/2015</v>
          </cell>
          <cell r="C343" t="str">
            <v>CHP</v>
          </cell>
          <cell r="D343">
            <v>7.47</v>
          </cell>
        </row>
        <row r="344">
          <cell r="A344">
            <v>90631</v>
          </cell>
          <cell r="B344" t="str">
            <v>PERFURATRIZ SOBRE ESTEIRA, TORQUE MÁXIMO 600 KGF, PESO MÉDIO 1000 KG, POTÊNCIA 20 HP, DIÂMETRO MÁXIMO 10" - CHP DIURNO. AF_06/2015</v>
          </cell>
          <cell r="C344" t="str">
            <v>CHP</v>
          </cell>
          <cell r="D344">
            <v>86.65</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v>11.48</v>
          </cell>
        </row>
        <row r="346">
          <cell r="A346">
            <v>90643</v>
          </cell>
          <cell r="B346" t="str">
            <v>BOMBA TRIPLEX, PARA INJEÇÃO DE NATA DE CIMENTO, VAZÃO MÁXIMA DE 100 LITROS/MINUTO, PRESSÃO MÁXIMA DE 70 BAR - CHP DIURNO. AF_06/2015</v>
          </cell>
          <cell r="C346" t="str">
            <v>CHP</v>
          </cell>
          <cell r="D346">
            <v>14.91</v>
          </cell>
        </row>
        <row r="347">
          <cell r="A347">
            <v>90650</v>
          </cell>
          <cell r="B347" t="str">
            <v>BOMBA CENTRÍFUGA MONOESTÁGIO COM MOTOR ELÉTRICO MONOFÁSICO, POTÊNCIA 15 HP, DIÂMETRO DO ROTOR 173 MM, HM/Q = 30 MCA / 90 M3/H A 45 MCA / 55 M3/H - CHP DIURNO. AF_06/2015</v>
          </cell>
          <cell r="C347" t="str">
            <v>CHP</v>
          </cell>
          <cell r="D347">
            <v>9.1</v>
          </cell>
        </row>
        <row r="348">
          <cell r="A348">
            <v>90656</v>
          </cell>
          <cell r="B348" t="str">
            <v>BOMBA DE PROJEÇÃO DE CONCRETO SECO, POTÊNCIA 10 CV, VAZÃO 3 M3/H - CHP DIURNO. AF_06/2015</v>
          </cell>
          <cell r="C348" t="str">
            <v>CHP</v>
          </cell>
          <cell r="D348">
            <v>11.43</v>
          </cell>
        </row>
        <row r="349">
          <cell r="A349">
            <v>90662</v>
          </cell>
          <cell r="B349" t="str">
            <v>BOMBA DE PROJEÇÃO DE CONCRETO SECO, POTÊNCIA 10 CV, VAZÃO 6 M3/H - CHP DIURNO. AF_06/2015</v>
          </cell>
          <cell r="C349" t="str">
            <v>CHP</v>
          </cell>
          <cell r="D349">
            <v>11.87</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v>18.48</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v>365.55</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v>215.2</v>
          </cell>
        </row>
        <row r="353">
          <cell r="A353">
            <v>90686</v>
          </cell>
          <cell r="B353" t="str">
            <v>MANIPULADOR TELESCÓPICO, POTÊNCIA DE 85 HP, CAPACIDADE DE CARGA DE 3.500 KG, ALTURA MÁXIMA DE ELEVAÇÃO DE 12,3 M - CHP DIURNO. AF_06/2015</v>
          </cell>
          <cell r="C353" t="str">
            <v>CHP</v>
          </cell>
          <cell r="D353">
            <v>101.55</v>
          </cell>
        </row>
        <row r="354">
          <cell r="A354">
            <v>90692</v>
          </cell>
          <cell r="B354" t="str">
            <v>MINICARREGADEIRA SOBRE RODAS, POTÊNCIA LÍQUIDA DE 47 HP, CAPACIDADE NOMINAL DE OPERAÇÃO DE 646 KG - CHP DIURNO. AF_06/2015</v>
          </cell>
          <cell r="C354" t="str">
            <v>CHP</v>
          </cell>
          <cell r="D354">
            <v>78.37</v>
          </cell>
        </row>
        <row r="355">
          <cell r="A355">
            <v>90964</v>
          </cell>
          <cell r="B355" t="str">
            <v>COMPRESSOR DE AR REBOCÁVEL, VAZÃO 89 PCM, PRESSÃO EFETIVA DE TRABALHO 102 PSI, MOTOR DIESEL, POTÊNCIA 20 CV - CHP DIURNO. AF_06/2015</v>
          </cell>
          <cell r="C355" t="str">
            <v>CHP</v>
          </cell>
          <cell r="D355">
            <v>17.45</v>
          </cell>
        </row>
        <row r="356">
          <cell r="A356">
            <v>90972</v>
          </cell>
          <cell r="B356" t="str">
            <v>COMPRESSOR DE AR REBOCAVEL, VAZÃO 250 PCM, PRESSAO DE TRABALHO 102 PSI, MOTOR A DIESEL POTÊNCIA 81 CV - CHP DIURNO. AF_06/2015</v>
          </cell>
          <cell r="C356" t="str">
            <v>CHP</v>
          </cell>
          <cell r="D356">
            <v>43.86</v>
          </cell>
        </row>
        <row r="357">
          <cell r="A357">
            <v>90979</v>
          </cell>
          <cell r="B357" t="str">
            <v>COMPRESSOR DE AR REBOCÁVEL, VAZÃO 748 PCM, PRESSÃO EFETIVA DE TRABALHO 102 PSI, MOTOR DIESEL, POTÊNCIA 210 CV - CHP DIURNO. AF_06/2015</v>
          </cell>
          <cell r="C357" t="str">
            <v>CHP</v>
          </cell>
          <cell r="D357">
            <v>113.36</v>
          </cell>
        </row>
        <row r="358">
          <cell r="A358">
            <v>90991</v>
          </cell>
          <cell r="B358" t="str">
            <v>ESCAVADEIRA HIDRÁULICA SOBRE ESTEIRAS, CAÇAMBA 0,80 M3, PESO OPERACIONAL 17,8 T, POTÊNCIA LÍQUIDA 110 HP - CHP DIURNO. AF_10/2014</v>
          </cell>
          <cell r="C358" t="str">
            <v>CHP</v>
          </cell>
          <cell r="D358">
            <v>112.69</v>
          </cell>
        </row>
        <row r="359">
          <cell r="A359">
            <v>90999</v>
          </cell>
          <cell r="B359" t="str">
            <v>COMPRESSOR DE AR REBOCAVEL, VAZÃO 400 PCM, PRESSAO DE TRABALHO 102 PSI, MOTOR A DIESEL POTÊNCIA 110 CV - CHP DIURNO. AF_06/2015</v>
          </cell>
          <cell r="C359" t="str">
            <v>CHP</v>
          </cell>
          <cell r="D359">
            <v>58.06</v>
          </cell>
        </row>
        <row r="360">
          <cell r="A360">
            <v>91031</v>
          </cell>
          <cell r="B360" t="str">
            <v>CAMINHÃO TRUCADO (C/ TERCEIRO EIXO) ELETRÔNICO - POTÊNCIA 231CV - PBT = 22000KG - DIST. ENTRE EIXOS 5170 MM - INCLUI CARROCERIA FIXA ABERTA DE MADEIRA - CHP DIURNO. AF_06/2015</v>
          </cell>
          <cell r="C360" t="str">
            <v>CHP</v>
          </cell>
          <cell r="D360">
            <v>131.30000000000001</v>
          </cell>
        </row>
        <row r="361">
          <cell r="A361">
            <v>91277</v>
          </cell>
          <cell r="B361" t="str">
            <v>PLACA VIBRATÓRIA REVERSÍVEL COM MOTOR 4 TEMPOS A GASOLINA, FORÇA CENTRÍFUGA DE 25 KN (2500 KGF), POTÊNCIA 5,5 CV - CHP DIURNO. AF_08/2015</v>
          </cell>
          <cell r="C361" t="str">
            <v>CHP</v>
          </cell>
          <cell r="D361">
            <v>6.7</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v>15.89</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v>139.54</v>
          </cell>
        </row>
        <row r="364">
          <cell r="A364">
            <v>91533</v>
          </cell>
          <cell r="B364" t="str">
            <v>COMPACTADOR DE SOLOS DE PERCUSSÃO (SOQUETE) COM MOTOR A GASOLINA 4 TEMPOS, POTÊNCIA 4 CV - CHP DIURNO. AF_08/2015</v>
          </cell>
          <cell r="C364" t="str">
            <v>CHP</v>
          </cell>
          <cell r="D364">
            <v>20.48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v>122.74</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v>264.48</v>
          </cell>
        </row>
        <row r="367">
          <cell r="A367">
            <v>91692</v>
          </cell>
          <cell r="B367" t="str">
            <v>SERRA CIRCULAR DE BANCADA COM MOTOR ELÉTRICO POTÊNCIA DE 5HP, COM COIFA PARA DISCO 10" - CHP DIURNO. AF_08/2015</v>
          </cell>
          <cell r="C367" t="str">
            <v>CHP</v>
          </cell>
          <cell r="D367">
            <v>17.7</v>
          </cell>
        </row>
        <row r="368">
          <cell r="A368">
            <v>92043</v>
          </cell>
          <cell r="B368" t="str">
            <v>DISTRIBUIDOR DE AGREGADOS REBOCAVEL, CAPACIDADE 1,9 M³, LARGURA DE TRABALHO 3,66 M - CHP DIURNO. AF_11/2015</v>
          </cell>
          <cell r="C368" t="str">
            <v>CHP</v>
          </cell>
          <cell r="D368">
            <v>8</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v>169.59</v>
          </cell>
        </row>
        <row r="370">
          <cell r="A370">
            <v>92112</v>
          </cell>
          <cell r="B370" t="str">
            <v>PENEIRA ROTATIVA COM MOTOR ELÉTRICO TRIFÁSICO DE 2 CV, CILINDRO DE 1 M X 0,60 M, COM FUROS DE 3,17 MM - CHP DIURNO. AF_11/2015</v>
          </cell>
          <cell r="C370" t="str">
            <v>CHP</v>
          </cell>
          <cell r="D370">
            <v>2.2999999999999998</v>
          </cell>
        </row>
        <row r="371">
          <cell r="A371">
            <v>92118</v>
          </cell>
          <cell r="B371" t="str">
            <v>DOSADOR DE AREIA, CAPACIDADE DE 26 LITROS - CHP DIURNO. AF_11/2015</v>
          </cell>
          <cell r="C371" t="str">
            <v>CHP</v>
          </cell>
          <cell r="D371">
            <v>0.16</v>
          </cell>
        </row>
        <row r="372">
          <cell r="A372">
            <v>92138</v>
          </cell>
          <cell r="B372" t="str">
            <v>CAMINHONETE COM MOTOR A DIESEL, POTÊNCIA 180 CV, CABINE DUPLA, 4X4 - CHP DIURNO. AF_11/2015</v>
          </cell>
          <cell r="C372" t="str">
            <v>CHP</v>
          </cell>
          <cell r="D372">
            <v>57.38</v>
          </cell>
        </row>
        <row r="373">
          <cell r="A373">
            <v>92145</v>
          </cell>
          <cell r="B373" t="str">
            <v>CAMINHONETE CABINE SIMPLES COM MOTOR 1.6 FLEX, CÂMBIO MANUAL, POTÊNCIA 101/104 CV, 2 PORTAS - CHP DIURNO. AF_11/2015</v>
          </cell>
          <cell r="C373" t="str">
            <v>CHP</v>
          </cell>
          <cell r="D373">
            <v>48.65</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v>231.02</v>
          </cell>
        </row>
        <row r="375">
          <cell r="A375">
            <v>92716</v>
          </cell>
          <cell r="B375" t="str">
            <v>APARELHO PARA CORTE E SOLDA OXI-ACETILENO SOBRE RODAS, INCLUSIVE CILINDROS E MAÇARICOS - CHP DIURNO. AF_12/2015</v>
          </cell>
          <cell r="C375" t="str">
            <v>CHP</v>
          </cell>
          <cell r="D375">
            <v>26.78</v>
          </cell>
        </row>
        <row r="376">
          <cell r="A376">
            <v>92960</v>
          </cell>
          <cell r="B376" t="str">
            <v>MÁQUINA EXTRUSORA DE CONCRETO PARA GUIAS E SARJETAS, MOTOR A DIESEL, POTÊNCIA 14 CV - CHP DIURNO. AF_12/2015</v>
          </cell>
          <cell r="C376" t="str">
            <v>CHP</v>
          </cell>
          <cell r="D376">
            <v>13.66</v>
          </cell>
        </row>
        <row r="377">
          <cell r="A377">
            <v>92966</v>
          </cell>
          <cell r="B377" t="str">
            <v>MARTELO PERFURADOR PNEUMÁTICO MANUAL, HASTE 25 X 75 MM, 21 KG - CHP DIURNO. AF_12/2015</v>
          </cell>
          <cell r="C377" t="str">
            <v>CHP</v>
          </cell>
          <cell r="D377">
            <v>16.45</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v>542.87</v>
          </cell>
        </row>
        <row r="379">
          <cell r="A379">
            <v>93233</v>
          </cell>
          <cell r="B379" t="str">
            <v>BETONEIRA CAPACIDADE NOMINAL 400 L, CAPACIDADE DE MISTURA 310 L, MOTOR A GASOLINA POTÊNCIA 5,5 HP, SEM CARREGADOR - CHP DIURNO. AF_02/2016</v>
          </cell>
          <cell r="C379" t="str">
            <v>CHP</v>
          </cell>
          <cell r="D379">
            <v>6.55</v>
          </cell>
        </row>
        <row r="380">
          <cell r="A380">
            <v>93272</v>
          </cell>
          <cell r="B380" t="str">
            <v>GRUA ASCENSIONAL, LANCA DE 30 M, CAPACIDADE DE 1,0 T A 30 M, ALTURA ATE 39 M - CHP DIURNO. AF_03/2016</v>
          </cell>
          <cell r="C380" t="str">
            <v>CHP</v>
          </cell>
          <cell r="D380">
            <v>77.34</v>
          </cell>
        </row>
        <row r="381">
          <cell r="A381">
            <v>93281</v>
          </cell>
          <cell r="B381" t="str">
            <v>GUINCHO ELÉTRICO DE COLUNA, CAPACIDADE 400 KG, COM MOTO FREIO, MOTOR TRIFÁSICO DE 1,25 CV - CHP DIURNO. AF_03/2016</v>
          </cell>
          <cell r="C381" t="str">
            <v>CHP</v>
          </cell>
          <cell r="D381">
            <v>15.62</v>
          </cell>
        </row>
        <row r="382">
          <cell r="A382">
            <v>93287</v>
          </cell>
          <cell r="B382" t="str">
            <v>GUINDASTE HIDRÁULICO AUTOPROPELIDO, COM LANÇA TELESCÓPICA 40 M, CAPACIDADE MÁXIMA 60 T, POTÊNCIA 260 KW - CHP DIURNO. AF_03/2016</v>
          </cell>
          <cell r="C382" t="str">
            <v>CHP</v>
          </cell>
          <cell r="D382">
            <v>344.15</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v>136.78</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v>56.4</v>
          </cell>
        </row>
        <row r="385">
          <cell r="A385">
            <v>93415</v>
          </cell>
          <cell r="B385" t="str">
            <v>GERADOR PORTÁTIL MONOFÁSICO, POTÊNCIA 5500 VA, MOTOR A GASOLINA, POTÊNCIA DO MOTOR 13 CV - CHP DIURNO. AF_03/2016</v>
          </cell>
          <cell r="C385" t="str">
            <v>CHP</v>
          </cell>
          <cell r="D385">
            <v>10.72</v>
          </cell>
        </row>
        <row r="386">
          <cell r="A386">
            <v>93421</v>
          </cell>
          <cell r="B386" t="str">
            <v>GRUPO GERADOR REBOCÁVEL, POTÊNCIA 66 KVA, MOTOR A DIESEL - CHP DIURNO. AF_03/2016</v>
          </cell>
          <cell r="C386" t="str">
            <v>CHP</v>
          </cell>
          <cell r="D386">
            <v>44.49</v>
          </cell>
        </row>
        <row r="387">
          <cell r="A387">
            <v>93427</v>
          </cell>
          <cell r="B387" t="str">
            <v>GRUPO GERADOR ESTACIONÁRIO, POTÊNCIA 150 KVA, MOTOR A DIESEL- CHP DIURNO. AF_03/2016</v>
          </cell>
          <cell r="C387" t="str">
            <v>CHP</v>
          </cell>
          <cell r="D387">
            <v>100.78</v>
          </cell>
        </row>
        <row r="388">
          <cell r="A388">
            <v>93433</v>
          </cell>
          <cell r="B388" t="str">
            <v>USINA DE MISTURA ASFÁLTICA À QUENTE, TIPO CONTRA FLUXO, PROD 40 A 80 TON/HORA - CHP DIURNO. AF_03/2016</v>
          </cell>
          <cell r="C388" t="str">
            <v>CHP</v>
          </cell>
          <cell r="D388">
            <v>1924.25</v>
          </cell>
        </row>
        <row r="389">
          <cell r="A389">
            <v>93439</v>
          </cell>
          <cell r="B389" t="str">
            <v>USINA DE ASFALTO À FRIO, CAPACIDADE DE 40 A 60 TON/HORA, ELÉTRICA POTÊNCIA 30 CV - CHP DIURNO. AF_03/2016</v>
          </cell>
          <cell r="C389" t="str">
            <v>CHP</v>
          </cell>
          <cell r="D389">
            <v>107.65</v>
          </cell>
        </row>
        <row r="390">
          <cell r="A390">
            <v>95121</v>
          </cell>
          <cell r="B390" t="str">
            <v>USINA MISTURADORA DE SOLOS, CAPACIDADE DE 200 A 500 TON/H, POTENCIA 75KW - CHP DIURNO. AF_07/2016</v>
          </cell>
          <cell r="C390" t="str">
            <v>CHP</v>
          </cell>
          <cell r="D390">
            <v>213.82</v>
          </cell>
        </row>
        <row r="391">
          <cell r="A391">
            <v>95127</v>
          </cell>
          <cell r="B391" t="str">
            <v>DISTRIBUIDOR DE AGREGADOS AUTOPROPELIDO, CAP 3 M3, A DIESEL, POTÊNCIA 176CV - CHP DIURNO. AF_07/2016</v>
          </cell>
          <cell r="C391" t="str">
            <v>CHP</v>
          </cell>
          <cell r="D391">
            <v>125.8</v>
          </cell>
        </row>
        <row r="392">
          <cell r="A392">
            <v>95133</v>
          </cell>
          <cell r="B392" t="str">
            <v>MÁQUINA DEMARCADORA DE FAIXA DE TRÁFEGO À FRIO, AUTOPROPELIDA, POTÊNCIA 38 HP - CHP DIURNO. AF_07/2016</v>
          </cell>
          <cell r="C392" t="str">
            <v>CHP</v>
          </cell>
          <cell r="D392">
            <v>97.58</v>
          </cell>
        </row>
        <row r="393">
          <cell r="A393">
            <v>95139</v>
          </cell>
          <cell r="B393" t="str">
            <v>TALHA MANUAL DE CORRENTE, CAPACIDADE DE 2 TON. COM ELEVAÇÃO DE 3 M - CHP DIURNO. AF_07/2016</v>
          </cell>
          <cell r="C393" t="str">
            <v>CHP</v>
          </cell>
          <cell r="D393">
            <v>0.06</v>
          </cell>
        </row>
        <row r="394">
          <cell r="A394">
            <v>95212</v>
          </cell>
          <cell r="B394" t="str">
            <v>GRUA ASCENCIONAL, LANCA DE 42 M, CAPACIDADE DE 1,5 T A 30 M, ALTURA ATE 39 M - CHP DIURNO. AF_08/2016</v>
          </cell>
          <cell r="C394" t="str">
            <v>CHP</v>
          </cell>
          <cell r="D394">
            <v>84.7</v>
          </cell>
        </row>
        <row r="395">
          <cell r="A395">
            <v>95218</v>
          </cell>
          <cell r="B395" t="str">
            <v>PULVERIZADOR DE TINTA ELÉTRICO/MÁQUINA DE PINTURA AIRLESS, VAZÃO 2 L/MIN - CHP DIURNO. AF_08/2016</v>
          </cell>
          <cell r="C395" t="str">
            <v>CHP</v>
          </cell>
          <cell r="D395">
            <v>22.23</v>
          </cell>
        </row>
        <row r="396">
          <cell r="A396">
            <v>95258</v>
          </cell>
          <cell r="B396" t="str">
            <v>MARTELO DEMOLIDOR PNEUMÁTICO MANUAL, 32 KG - CHP DIURNO. AF_09/2016</v>
          </cell>
          <cell r="C396" t="str">
            <v>CHP</v>
          </cell>
          <cell r="D396">
            <v>15.92</v>
          </cell>
        </row>
        <row r="397">
          <cell r="A397">
            <v>95264</v>
          </cell>
          <cell r="B397" t="str">
            <v>COMPACTADOR DE SOLOS DE PERCUSÃO (SOQUETE) COM MOTOR A GASOLINA, POTÊNCIA 3 CV - CHP DIURNO. AF_09/2016</v>
          </cell>
          <cell r="C397" t="str">
            <v>CHP</v>
          </cell>
          <cell r="D397">
            <v>5.21</v>
          </cell>
        </row>
        <row r="398">
          <cell r="A398">
            <v>95270</v>
          </cell>
          <cell r="B398" t="str">
            <v>RÉGUA VIBRATÓRIA DUPLA PARA CONCRETO, PESO DE 60KG, COMPRIMENTO 4 M, COM MOTOR A GASOLINA, POTÊNCIA 5,5 HP - CHP DIURNO. AF_09/2016</v>
          </cell>
          <cell r="C398" t="str">
            <v>CHP</v>
          </cell>
          <cell r="D398">
            <v>6.82</v>
          </cell>
        </row>
        <row r="399">
          <cell r="A399">
            <v>95276</v>
          </cell>
          <cell r="B399" t="str">
            <v>POLIDORA DE PISO (POLITRIZ), PESO DE 100KG, DIÂMETRO 450 MM, MOTOR ELÉTRICO, POTÊNCIA 4 HP - CHP DIURNO. AF_09/2016</v>
          </cell>
          <cell r="C399" t="str">
            <v>CHP</v>
          </cell>
          <cell r="D399">
            <v>2.8</v>
          </cell>
        </row>
        <row r="400">
          <cell r="A400">
            <v>95282</v>
          </cell>
          <cell r="B400" t="str">
            <v>DESEMPENADEIRA DE CONCRETO, PESO DE 75KG, 4 PÁS, MOTOR A GASOLINA, POTÊNCIA 5,5 HP - CHP DIURNO. AF_09/2016</v>
          </cell>
          <cell r="C400" t="str">
            <v>CHP</v>
          </cell>
          <cell r="D400">
            <v>6.8</v>
          </cell>
        </row>
        <row r="401">
          <cell r="A401">
            <v>95620</v>
          </cell>
          <cell r="B401" t="str">
            <v>PERFURATRIZ PNEUMATICA MANUAL DE PESO MEDIO, MARTELETE, 18KG, COMPRIMENTO MÁXIMO DE CURSO DE 6 M, DIAMETRO DO PISTAO DE 5,5 CM - CHP DIURNO. AF_11/2016</v>
          </cell>
          <cell r="C401" t="str">
            <v>CHP</v>
          </cell>
          <cell r="D401">
            <v>15.33</v>
          </cell>
        </row>
        <row r="402">
          <cell r="A402">
            <v>95631</v>
          </cell>
          <cell r="B402" t="str">
            <v>ROLO COMPACTADOR VIBRATORIO TANDEM, ACO LISO, POTENCIA 125 HP, PESO SEM/COM LASTRO 10,20/11,65 T, LARGURA DE TRABALHO 1,73 M - CHP DIURNO. AF_11/2016</v>
          </cell>
          <cell r="C402" t="str">
            <v>CHP</v>
          </cell>
          <cell r="D402">
            <v>123.49</v>
          </cell>
        </row>
        <row r="403">
          <cell r="A403">
            <v>95702</v>
          </cell>
          <cell r="B403" t="str">
            <v>PERFURATRIZ MANUAL, TORQUE MAXIMO 55 KGF.M, POTENCIA 5 CV, COM DIAMETRO MAXIMO 8 1/2" - CHP DIURNO. AF_11/2016</v>
          </cell>
          <cell r="C403" t="str">
            <v>CHP</v>
          </cell>
          <cell r="D403">
            <v>28.51</v>
          </cell>
        </row>
        <row r="404">
          <cell r="A404">
            <v>95708</v>
          </cell>
          <cell r="B404" t="str">
            <v>PERFURATRIZ SOBRE ESTEIRA, TORQUE MÁXIMO 600 KGF, POTÊNCIA ENTRE 50 E 60 HP, DIÂMETRO MÁXIMO 10 - CHP DIURNO. AF_11/2016</v>
          </cell>
          <cell r="C404" t="str">
            <v>CHP</v>
          </cell>
          <cell r="D404">
            <v>102.08</v>
          </cell>
        </row>
        <row r="405">
          <cell r="A405">
            <v>95714</v>
          </cell>
          <cell r="B405" t="str">
            <v>ESCAVADEIRA HIDRAULICA SOBRE ESTEIRA, COM GARRA GIRATORIA DE MANDIBULAS, PESO OPERACIONAL ENTRE 22,00 E 25,50 TON, POTENCIA LIQUIDA ENTRE 150 E 160 HP - CHP DIURNO. AF_11/2016</v>
          </cell>
          <cell r="C405" t="str">
            <v>CHP</v>
          </cell>
          <cell r="D405">
            <v>140.91</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v>138.28</v>
          </cell>
        </row>
        <row r="407">
          <cell r="A407">
            <v>95872</v>
          </cell>
          <cell r="B407" t="str">
            <v>GRUPO GERADOR COM CARENAGEM, MOTOR DIESEL POTÊNCIA STANDART ENTRE 250 E 260 KVA - CHP DIURNO. AF_12/2016</v>
          </cell>
          <cell r="C407" t="str">
            <v>CHP</v>
          </cell>
          <cell r="D407">
            <v>170.84</v>
          </cell>
        </row>
        <row r="408">
          <cell r="A408">
            <v>96013</v>
          </cell>
          <cell r="B408" t="str">
            <v>TRATOR DE PNEUS COM POTÊNCIA DE 122 CV, TRAÇÃO 4X4, COM VASSOURA MECÂNICA ACOPLADA - CHP DIURNO. AF_02/2017</v>
          </cell>
          <cell r="C408" t="str">
            <v>CHP</v>
          </cell>
          <cell r="D408">
            <v>140.63999999999999</v>
          </cell>
        </row>
        <row r="409">
          <cell r="A409">
            <v>96020</v>
          </cell>
          <cell r="B409" t="str">
            <v>TRATOR DE PNEUS COM POTÊNCIA DE 122 CV, TRAÇÃO 4X4, COM GRADE DE DISCOS ACOPLADA - CHP DIURNO. AF_02/2017</v>
          </cell>
          <cell r="C409" t="str">
            <v>CHP</v>
          </cell>
          <cell r="D409">
            <v>140.4</v>
          </cell>
        </row>
        <row r="410">
          <cell r="A410">
            <v>96028</v>
          </cell>
          <cell r="B410" t="str">
            <v>TRATOR DE PNEUS COM POTÊNCIA DE 85 CV, TRAÇÃO 4X4, COM GRADE DE DISCOS ACOPLADA - CHP DIURNO. AF_02/2017</v>
          </cell>
          <cell r="C410" t="str">
            <v>CHP</v>
          </cell>
          <cell r="D410">
            <v>104.41</v>
          </cell>
        </row>
        <row r="411">
          <cell r="A411">
            <v>96035</v>
          </cell>
          <cell r="B411" t="str">
            <v>CAMINHÃO BASCULANTE 10 M3, TRUCADO, POTÊNCIA 230 CV, INCLUSIVE CAÇAMBA METÁLICA, COM DISTRIBUIDOR DE AGREGADOS ACOPLADO - CHP DIURNO. AF_02/2017</v>
          </cell>
          <cell r="C411" t="str">
            <v>CHP</v>
          </cell>
          <cell r="D411">
            <v>146.71</v>
          </cell>
        </row>
        <row r="412">
          <cell r="A412">
            <v>96157</v>
          </cell>
          <cell r="B412" t="str">
            <v>TRATOR DE PNEUS COM POTÊNCIA DE 85 CV, TRAÇÃO 4X4, COM VASSOURA MECÂNICA ACOPLADA - CHP DIURNO. AF_03/2017</v>
          </cell>
          <cell r="C412" t="str">
            <v>CHP</v>
          </cell>
          <cell r="D412">
            <v>104.65</v>
          </cell>
        </row>
        <row r="413">
          <cell r="A413">
            <v>96158</v>
          </cell>
          <cell r="B413" t="str">
            <v>MINICARREGADEIRA SOBRE RODAS POTENCIA 47HP CAPACIDADE OPERACAO 646 KG, COM VASSOURA MECÂNICA ACOPLADA - CHP DIURNO. AF_03/2017</v>
          </cell>
          <cell r="C413" t="str">
            <v>CHP</v>
          </cell>
          <cell r="D413">
            <v>85.12</v>
          </cell>
        </row>
        <row r="414">
          <cell r="A414">
            <v>96245</v>
          </cell>
          <cell r="B414" t="str">
            <v>MINIESCAVADEIRA SOBRE ESTEIRAS, POTENCIA LIQUIDA DE *30* HP, PESO OPERACIONAL DE *3.500* KG - CHP DIURNO. AF_04/2017</v>
          </cell>
          <cell r="C414" t="str">
            <v>CHP</v>
          </cell>
          <cell r="D414">
            <v>63.13</v>
          </cell>
        </row>
        <row r="415">
          <cell r="A415">
            <v>96303</v>
          </cell>
          <cell r="B415" t="str">
            <v>PERFURATRIZ ROTATIVA SOBRE ESTEIRA, TORQUE MAXIMO 2500 KGM, POTENCIA 110 HP, MOTOR DIESEL- CHP DIURNO. AF_05/2017</v>
          </cell>
          <cell r="C415" t="str">
            <v>CHP</v>
          </cell>
          <cell r="D415">
            <v>135.12</v>
          </cell>
        </row>
        <row r="416">
          <cell r="A416">
            <v>96309</v>
          </cell>
          <cell r="B416" t="str">
            <v>COMPRESSOR DE AR, VAZAO DE 10 PCM, RESERVATORIO 100 L, PRESSAO DE TRABALHO ENTRE 6,9 E 9,7 BAR, POTENCIA 2 HP, TENSAO 110/220 V - CHP DIURNO. AF_05/2017</v>
          </cell>
          <cell r="C416" t="str">
            <v>CHP</v>
          </cell>
          <cell r="D416">
            <v>1.33</v>
          </cell>
        </row>
        <row r="417">
          <cell r="A417">
            <v>96463</v>
          </cell>
          <cell r="B417" t="str">
            <v>ROLO COMPACTADOR DE PNEUS, ESTATICO, PRESSAO VARIAVEL, POTENCIA 110 HP, PESO SEM/COM LASTRO 10,8/27 T, LARGURA DE ROLAGEM 2,30 M - CHP DIURNO. AF_06/2017</v>
          </cell>
          <cell r="C417" t="str">
            <v>CHP</v>
          </cell>
          <cell r="D417">
            <v>114.98</v>
          </cell>
        </row>
        <row r="418">
          <cell r="A418">
            <v>98764</v>
          </cell>
          <cell r="B418" t="str">
            <v>INVERSOR DE SOLDA MONOFÁSICO DE 160 A, POTÊNCIA DE 5400 W, TENSÃO DE 220 V, PARA SOLDA COM ELETRODOS DE 2,0 A 4,0 MM E PROCESSO TIG - CHP DIURNO. AF_06/2018</v>
          </cell>
          <cell r="C418" t="str">
            <v>CHP</v>
          </cell>
          <cell r="D418">
            <v>3.97</v>
          </cell>
        </row>
        <row r="419">
          <cell r="A419">
            <v>99833</v>
          </cell>
          <cell r="B419" t="str">
            <v>LAVADORA DE ALTA PRESSAO (LAVA-JATO) PARA AGUA FRIA, PRESSAO DE OPERACAO ENTRE 1400 E 1900 LIB/POL2, VAZAO MAXIMA ENTRE 400 E 700 L/H - CHP DIURNO. AF_04/2019</v>
          </cell>
          <cell r="C419" t="str">
            <v>CHP</v>
          </cell>
          <cell r="D419">
            <v>1.56</v>
          </cell>
        </row>
        <row r="420">
          <cell r="A420">
            <v>100641</v>
          </cell>
          <cell r="B420" t="str">
            <v>USINA DE MISTURA ASFÁLTICA À QUENTE, TIPO CONTRA FLUXO, PROD 100 A 140 TON/HORA - CHP DIURNO. AF_12/2019</v>
          </cell>
          <cell r="C420" t="str">
            <v>CHP</v>
          </cell>
          <cell r="D420">
            <v>434.58</v>
          </cell>
        </row>
        <row r="421">
          <cell r="A421">
            <v>100647</v>
          </cell>
          <cell r="B421" t="str">
            <v>USINA DE ASFALTO, TIPO GRAVIMÉTRICA, PROD 150 TON/HORA - CHP DIURNO. AF_12/2019</v>
          </cell>
          <cell r="C421" t="str">
            <v>CHP</v>
          </cell>
          <cell r="D421">
            <v>886.23</v>
          </cell>
        </row>
        <row r="422">
          <cell r="A422">
            <v>5632</v>
          </cell>
          <cell r="B422" t="str">
            <v>ESCAVADEIRA HIDRÁULICA SOBRE ESTEIRAS, CAÇAMBA 0,80 M3, PESO OPERACIONAL 17 T, POTENCIA BRUTA 111 HP - CHI DIURNO. AF_06/2014</v>
          </cell>
          <cell r="C422" t="str">
            <v>CHI</v>
          </cell>
          <cell r="D422">
            <v>47.05</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v>34.94</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v>33.119999999999997</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v>33.090000000000003</v>
          </cell>
        </row>
        <row r="426">
          <cell r="A426">
            <v>5690</v>
          </cell>
          <cell r="B426" t="str">
            <v>GRADE DE DISCO CONTROLE REMOTO REBOCÁVEL, COM 24 DISCOS 24 X 6 MM COM PNEUS PARA TRANSPORTE - CHI DIURNO. AF_06/2014</v>
          </cell>
          <cell r="C426" t="str">
            <v>CHI</v>
          </cell>
          <cell r="D426">
            <v>1.98</v>
          </cell>
        </row>
        <row r="427">
          <cell r="A427">
            <v>5806</v>
          </cell>
          <cell r="B427" t="str">
            <v>MOTOBOMBA CENTRÍFUGA, MOTOR A GASOLINA, POTÊNCIA 5,42 HP, BOCAIS 1 1/2" X 1", DIÂMETRO ROTOR 143 MM HM/Q = 6 MCA / 16,8 M3/H A 38 MCA / 6,6 M3/H - CHI DIURNO. AF_06/2014</v>
          </cell>
          <cell r="C427" t="str">
            <v>CHI</v>
          </cell>
          <cell r="D427">
            <v>0.16</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v>25.36</v>
          </cell>
        </row>
        <row r="429">
          <cell r="A429">
            <v>5829</v>
          </cell>
          <cell r="B429" t="str">
            <v>USINA DE CONCRETO FIXA, CAPACIDADE NOMINAL DE 90 A 120 M3/H, SEM SILO - CHI DIURNO. AF_07/2016</v>
          </cell>
          <cell r="C429" t="str">
            <v>CHI</v>
          </cell>
          <cell r="D429">
            <v>116.51</v>
          </cell>
        </row>
        <row r="430">
          <cell r="A430">
            <v>5837</v>
          </cell>
          <cell r="B430" t="str">
            <v>VIBROACABADORA DE ASFALTO SOBRE ESTEIRAS, LARGURA DE PAVIMENTAÇÃO 1,90 M A 5,30 M, POTÊNCIA 105 HP CAPACIDADE 450 T/H - CHI DIURNO. AF_11/2014</v>
          </cell>
          <cell r="C430" t="str">
            <v>CHI</v>
          </cell>
          <cell r="D430">
            <v>93.79</v>
          </cell>
        </row>
        <row r="431">
          <cell r="A431">
            <v>5841</v>
          </cell>
          <cell r="B431" t="str">
            <v>VASSOURA MECÂNICA REBOCÁVEL COM ESCOVA CILÍNDRICA, LARGURA ÚTIL DE VARRIMENTO DE 2,44 M - CHI DIURNO. AF_06/2014</v>
          </cell>
          <cell r="C431" t="str">
            <v>CHI</v>
          </cell>
          <cell r="D431">
            <v>2.2799999999999998</v>
          </cell>
        </row>
        <row r="432">
          <cell r="A432">
            <v>5845</v>
          </cell>
          <cell r="B432" t="str">
            <v>TRATOR DE PNEUS, POTÊNCIA 122 CV, TRAÇÃO 4X4, PESO COM LASTRO DE 4.510 KG - CHI DIURNO. AF_06/2014</v>
          </cell>
          <cell r="C432" t="str">
            <v>CHI</v>
          </cell>
          <cell r="D432">
            <v>26.25</v>
          </cell>
        </row>
        <row r="433">
          <cell r="A433">
            <v>5849</v>
          </cell>
          <cell r="B433" t="str">
            <v>TRATOR DE ESTEIRAS, POTÊNCIA 170 HP, PESO OPERACIONAL 19 T, CAÇAMBA 5,2 M3 - CHI DIURNO. AF_06/2014</v>
          </cell>
          <cell r="C433" t="str">
            <v>CHI</v>
          </cell>
          <cell r="D433">
            <v>45.1</v>
          </cell>
        </row>
        <row r="434">
          <cell r="A434">
            <v>5853</v>
          </cell>
          <cell r="B434" t="str">
            <v>TRATOR DE ESTEIRAS, POTÊNCIA 150 HP, PESO OPERACIONAL 16,7 T, COM RODA MOTRIZ ELEVADA E LÂMINA 3,18 M3 - CHI DIURNO. AF_06/2014</v>
          </cell>
          <cell r="C434" t="str">
            <v>CHI</v>
          </cell>
          <cell r="D434">
            <v>45.29</v>
          </cell>
        </row>
        <row r="435">
          <cell r="A435">
            <v>5857</v>
          </cell>
          <cell r="B435" t="str">
            <v>TRATOR DE ESTEIRAS, POTÊNCIA 347 HP, PESO OPERACIONAL 38,5 T, COM LÂMINA 8,70 M3 - CHI DIURNO. AF_06/2014</v>
          </cell>
          <cell r="C435" t="str">
            <v>CHI</v>
          </cell>
          <cell r="D435">
            <v>114.04</v>
          </cell>
        </row>
        <row r="436">
          <cell r="A436">
            <v>5865</v>
          </cell>
          <cell r="B436" t="str">
            <v>ROLO COMPACTADOR VIBRATÓRIO REBOCÁVEL, CILINDRO DE AÇO LISO, POTÊNCIA DE TRAÇÃO DE 65 CV, PESO 4,7 T, IMPACTO DINÂMICO 18,3 T, LARGURA DE TRABALHO 1,67 M - CHI DIURNO. AF_02/2016</v>
          </cell>
          <cell r="C436" t="str">
            <v>CHI</v>
          </cell>
          <cell r="D436">
            <v>5.46</v>
          </cell>
        </row>
        <row r="437">
          <cell r="A437">
            <v>5869</v>
          </cell>
          <cell r="B437" t="str">
            <v>ROLO COMPACTADOR VIBRATÓRIO TANDEM AÇO LISO, POTÊNCIA 58 HP, PESO SEM/COM LASTRO 6,5 / 9,4 T, LARGURA DE TRABALHO 1,2 M - CHI DIURNO. AF_06/2014</v>
          </cell>
          <cell r="C437" t="str">
            <v>CHI</v>
          </cell>
          <cell r="D437">
            <v>37.22</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v>34.36</v>
          </cell>
        </row>
        <row r="439">
          <cell r="A439">
            <v>5881</v>
          </cell>
          <cell r="B439" t="str">
            <v>ROLO COMPACTADOR VIBRATÓRIO PÉ DE CARNEIRO, OPERADO POR CONTROLE REMOTO, POTÊNCIA 12,5 KW, PESO OPERACIONAL 1,675 T, LARGURA DE TRABALHO 0,85 M - CHI DIURNO. AF_02/2016</v>
          </cell>
          <cell r="C439" t="str">
            <v>CHI</v>
          </cell>
          <cell r="D439">
            <v>39.729999999999997</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v>33.51</v>
          </cell>
        </row>
        <row r="441">
          <cell r="A441">
            <v>5892</v>
          </cell>
          <cell r="B441" t="str">
            <v>CAMINHÃO TOCO, PESO BRUTO TOTAL 14.300 KG, CARGA ÚTIL MÁXIMA 9590 KG, DISTÂNCIA ENTRE EIXOS 4,76 M, POTÊNCIA 185 CV (NÃO INCLUI CARROCERIA) - CHI DIURNO. AF_06/2014</v>
          </cell>
          <cell r="C441" t="str">
            <v>CHI</v>
          </cell>
          <cell r="D441">
            <v>26.24</v>
          </cell>
        </row>
        <row r="442">
          <cell r="A442">
            <v>5896</v>
          </cell>
          <cell r="B442" t="str">
            <v>CAMINHÃO TOCO, PESO BRUTO TOTAL 16.000 KG, CARGA ÚTIL MÁXIMA DE 10.685 KG, DISTÂNCIA ENTRE EIXOS 4,80 M, POTÊNCIA 189 CV EXCLUSIVE CARROCERIA - CHI DIURNO. AF_06/2014</v>
          </cell>
          <cell r="C442" t="str">
            <v>CHI</v>
          </cell>
          <cell r="D442">
            <v>24.59</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v>31.21</v>
          </cell>
        </row>
        <row r="444">
          <cell r="A444">
            <v>5911</v>
          </cell>
          <cell r="B444" t="str">
            <v>ESPARGIDOR DE ASFALTO PRESSURIZADO COM TANQUE DE 2500 L, REBOCÁVEL COM MOTOR A GASOLINA POTÊNCIA 3,4 HP - CHI DIURNO. AF_07/2014</v>
          </cell>
          <cell r="C444" t="str">
            <v>CHI</v>
          </cell>
          <cell r="D444">
            <v>18.899999999999999</v>
          </cell>
        </row>
        <row r="445">
          <cell r="A445">
            <v>5923</v>
          </cell>
          <cell r="B445" t="str">
            <v>GRADE DE DISCO REBOCÁVEL COM 20 DISCOS 24" X 6 MM COM PNEUS PARA TRANSPORTE - CHI DIURNO. AF_06/2014</v>
          </cell>
          <cell r="C445" t="str">
            <v>CHI</v>
          </cell>
          <cell r="D445">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v>30.08</v>
          </cell>
        </row>
        <row r="447">
          <cell r="A447">
            <v>5934</v>
          </cell>
          <cell r="B447" t="str">
            <v>MOTONIVELADORA POTÊNCIA BÁSICA LÍQUIDA (PRIMEIRA MARCHA) 125 HP, PESO BRUTO 13032 KG, LARGURA DA LÂMINA DE 3,7 M - CHI DIURNO. AF_06/2014</v>
          </cell>
          <cell r="C447" t="str">
            <v>CHI</v>
          </cell>
          <cell r="D447">
            <v>48.28</v>
          </cell>
        </row>
        <row r="448">
          <cell r="A448">
            <v>5942</v>
          </cell>
          <cell r="B448" t="str">
            <v>PÁ CARREGADEIRA SOBRE RODAS, POTÊNCIA LÍQUIDA 128 HP, CAPACIDADE DA CAÇAMBA 1,7 A 2,8 M3, PESO OPERACIONAL 11632 KG - CHI DIURNO. AF_06/2014</v>
          </cell>
          <cell r="C448" t="str">
            <v>CHI</v>
          </cell>
          <cell r="D448">
            <v>40.42</v>
          </cell>
        </row>
        <row r="449">
          <cell r="A449">
            <v>5946</v>
          </cell>
          <cell r="B449" t="str">
            <v>PÁ CARREGADEIRA SOBRE RODAS, POTÊNCIA 197 HP, CAPACIDADE DA CAÇAMBA 2,5 A 3,5 M3, PESO OPERACIONAL 18338 KG - CHI DIURNO. AF_06/2014</v>
          </cell>
          <cell r="C449" t="str">
            <v>CHI</v>
          </cell>
          <cell r="D449">
            <v>49.89</v>
          </cell>
        </row>
        <row r="450">
          <cell r="A450">
            <v>5952</v>
          </cell>
          <cell r="B450" t="str">
            <v>MARTELETE OU ROMPEDOR PNEUMÁTICO MANUAL, 28 KG, COM SILENCIADOR - CHI DIURNO. AF_07/2016</v>
          </cell>
          <cell r="C450" t="str">
            <v>CHI</v>
          </cell>
          <cell r="D450">
            <v>14.38</v>
          </cell>
        </row>
        <row r="451">
          <cell r="A451">
            <v>5954</v>
          </cell>
          <cell r="B451" t="str">
            <v>COMPRESSOR DE AR REBOCÁVEL, VAZÃO 189 PCM, PRESSÃO EFETIVA DE TRABALHO 102 PSI, MOTOR DIESEL, POTÊNCIA 63 CV - CHI DIURNO. AF_06/2015</v>
          </cell>
          <cell r="C451" t="str">
            <v>CHI</v>
          </cell>
          <cell r="D451">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v>30.15</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v>27.82</v>
          </cell>
        </row>
        <row r="454">
          <cell r="A454">
            <v>6880</v>
          </cell>
          <cell r="B454" t="str">
            <v>ROLO COMPACTADOR DE PNEUS ESTÁTICO, PRESSÃO VARIÁVEL, POTÊNCIA 111 HP, PESO SEM/COM LASTRO 9,5 / 26 T, LARGURA DE TRABALHO 1,90 M - CHI DIURNO. AF_07/2014</v>
          </cell>
          <cell r="C454" t="str">
            <v>CHI</v>
          </cell>
          <cell r="D454">
            <v>43.29</v>
          </cell>
        </row>
        <row r="455">
          <cell r="A455">
            <v>7031</v>
          </cell>
          <cell r="B455" t="str">
            <v>TANQUE DE ASFALTO ESTACIONÁRIO COM SERPENTINA, CAPACIDADE 30.000 L - CHI DIURNO. AF_06/2014</v>
          </cell>
          <cell r="C455" t="str">
            <v>CHI</v>
          </cell>
          <cell r="D455">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v>0.21</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v>40.090000000000003</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v>29.48</v>
          </cell>
        </row>
        <row r="459">
          <cell r="A459">
            <v>73395</v>
          </cell>
          <cell r="B459" t="str">
            <v>GRUPO GERADOR ESTACIONÁRIO, MOTOR DIESEL POTÊNCIA 170 KVA - CHI DIURNO. AF_02/2016</v>
          </cell>
          <cell r="C459" t="str">
            <v>CHI</v>
          </cell>
          <cell r="D459">
            <v>5.18</v>
          </cell>
        </row>
        <row r="460">
          <cell r="A460">
            <v>83766</v>
          </cell>
          <cell r="B460" t="str">
            <v>GRUPO DE SOLDAGEM COM GERADOR A DIESEL 60 CV PARA SOLDA ELÉTRICA, SOBRE 04 RODAS, COM MOTOR 4 CILINDROS 600 A - CHI DIURNO. AF_02/2016</v>
          </cell>
          <cell r="C460" t="str">
            <v>CHI</v>
          </cell>
          <cell r="D460">
            <v>30.37</v>
          </cell>
        </row>
        <row r="461">
          <cell r="A461">
            <v>84013</v>
          </cell>
          <cell r="B461" t="str">
            <v>ESCAVADEIRA HIDRÁULICA SOBRE ESTEIRAS, CAÇAMBA 0,80 M3, PESO OPERACIONAL 17,8 T, POTÊNCIA LÍQUIDA 110 HP - CHI DIURNO. AF_10/2014</v>
          </cell>
          <cell r="C461" t="str">
            <v>CHI</v>
          </cell>
          <cell r="D461">
            <v>45.73</v>
          </cell>
        </row>
        <row r="462">
          <cell r="A462">
            <v>87446</v>
          </cell>
          <cell r="B462" t="str">
            <v>BETONEIRA CAPACIDADE NOMINAL 400 L, CAPACIDADE DE MISTURA 310 L, MOTOR A DIESEL POTÊNCIA 5,0 HP, SEM CARREGADOR - CHI DIURNO. AF_06/2014</v>
          </cell>
          <cell r="C462" t="str">
            <v>CHI</v>
          </cell>
          <cell r="D462">
            <v>0.34</v>
          </cell>
        </row>
        <row r="463">
          <cell r="A463">
            <v>88392</v>
          </cell>
          <cell r="B463" t="str">
            <v>MISTURADOR DE ARGAMASSA, EIXO HORIZONTAL, CAPACIDADE DE MISTURA 300 KG, MOTOR ELÉTRICO POTÊNCIA 5 CV - CHI DIURNO. AF_06/2014</v>
          </cell>
          <cell r="C463" t="str">
            <v>CHI</v>
          </cell>
          <cell r="D463">
            <v>0.68</v>
          </cell>
        </row>
        <row r="464">
          <cell r="A464">
            <v>88398</v>
          </cell>
          <cell r="B464" t="str">
            <v>MISTURADOR DE ARGAMASSA, EIXO HORIZONTAL, CAPACIDADE DE MISTURA 600 KG, MOTOR ELÉTRICO POTÊNCIA 7,5 CV - CHI DIURNO. AF_06/2014</v>
          </cell>
          <cell r="C464" t="str">
            <v>CHI</v>
          </cell>
          <cell r="D464">
            <v>0.81</v>
          </cell>
        </row>
        <row r="465">
          <cell r="A465">
            <v>88404</v>
          </cell>
          <cell r="B465" t="str">
            <v>MISTURADOR DE ARGAMASSA, EIXO HORIZONTAL, CAPACIDADE DE MISTURA 160 KG, MOTOR ELÉTRICO POTÊNCIA 3 CV - CHI DIURNO. AF_06/2014</v>
          </cell>
          <cell r="C465" t="str">
            <v>CHI</v>
          </cell>
          <cell r="D465">
            <v>0.64</v>
          </cell>
        </row>
        <row r="466">
          <cell r="A466">
            <v>88430</v>
          </cell>
          <cell r="B466" t="str">
            <v>PROJETOR DE ARGAMASSA, CAPACIDADE DE PROJEÇÃO 1,5 M3/H, ALCANCE DE 30 ATÉ 60 M, MOTOR ELÉTRICO POTÊNCIA 7,5 HP - CHI DIURNO. AF_06/2014</v>
          </cell>
          <cell r="C466" t="str">
            <v>CHI</v>
          </cell>
          <cell r="D466">
            <v>4.21</v>
          </cell>
        </row>
        <row r="467">
          <cell r="A467">
            <v>88438</v>
          </cell>
          <cell r="B467" t="str">
            <v>PROJETOR DE ARGAMASSA, CAPACIDADE DE PROJEÇÃO 2 M3/H, ALCANCE ATÉ 50 M, MOTOR ELÉTRICO POTÊNCIA 7,5 HP - CHI DIURNO. AF_06/2014</v>
          </cell>
          <cell r="C467" t="str">
            <v>CHI</v>
          </cell>
          <cell r="D467">
            <v>5.59</v>
          </cell>
        </row>
        <row r="468">
          <cell r="A468">
            <v>88831</v>
          </cell>
          <cell r="B468" t="str">
            <v>BETONEIRA CAPACIDADE NOMINAL DE 400 L, CAPACIDADE DE MISTURA 280 L, MOTOR ELÉTRICO TRIFÁSICO POTÊNCIA DE 2 CV, SEM CARREGADOR - CHI DIURNO. AF_10/2014</v>
          </cell>
          <cell r="C468" t="str">
            <v>CHI</v>
          </cell>
          <cell r="D468">
            <v>0.25</v>
          </cell>
        </row>
        <row r="469">
          <cell r="A469">
            <v>88844</v>
          </cell>
          <cell r="B469" t="str">
            <v>TRATOR DE ESTEIRAS, POTÊNCIA 125 HP, PESO OPERACIONAL 12,9 T, COM LÂMINA 2,7 M3 - CHI DIURNO. AF_10/2014</v>
          </cell>
          <cell r="C469" t="str">
            <v>CHI</v>
          </cell>
          <cell r="D469">
            <v>39.47</v>
          </cell>
        </row>
        <row r="470">
          <cell r="A470">
            <v>88908</v>
          </cell>
          <cell r="B470" t="str">
            <v>ESCAVADEIRA HIDRÁULICA SOBRE ESTEIRAS, CAÇAMBA 1,20 M3, PESO OPERACIONAL 21 T, POTÊNCIA BRUTA 155 HP - CHI DIURNO. AF_06/2014</v>
          </cell>
          <cell r="C470" t="str">
            <v>CHI</v>
          </cell>
          <cell r="D470">
            <v>50.26</v>
          </cell>
        </row>
        <row r="471">
          <cell r="A471">
            <v>89022</v>
          </cell>
          <cell r="B471" t="str">
            <v>BOMBA SUBMERSÍVEL ELÉTRICA TRIFÁSICA, POTÊNCIA 2,96 HP, Ø ROTOR 144 MM SEMI-ABERTO, BOCAL DE SAÍDA Ø 2, HM/Q = 2 MCA / 38,8 M3/H A 28 MCA / 5 M3/H - CHI DIURNO. AF_06/2014</v>
          </cell>
          <cell r="C471" t="str">
            <v>CHI</v>
          </cell>
          <cell r="D471">
            <v>0.3</v>
          </cell>
        </row>
        <row r="472">
          <cell r="A472">
            <v>89027</v>
          </cell>
          <cell r="B472" t="str">
            <v>TANQUE DE ASFALTO ESTACIONÁRIO COM MAÇARICO, CAPACIDADE 20.000 L - CHI DIURNO. AF_06/2014</v>
          </cell>
          <cell r="C472" t="str">
            <v>CHI</v>
          </cell>
          <cell r="D472">
            <v>3.05</v>
          </cell>
        </row>
        <row r="473">
          <cell r="A473">
            <v>89031</v>
          </cell>
          <cell r="B473" t="str">
            <v>TRATOR DE ESTEIRAS, POTÊNCIA 100 HP, PESO OPERACIONAL 9,4 T, COM LÂMINA 2,19 M3 - CHI DIURNO. AF_06/2014</v>
          </cell>
          <cell r="C473" t="str">
            <v>CHI</v>
          </cell>
          <cell r="D473">
            <v>38.380000000000003</v>
          </cell>
        </row>
        <row r="474">
          <cell r="A474">
            <v>89036</v>
          </cell>
          <cell r="B474" t="str">
            <v>TRATOR DE PNEUS, POTÊNCIA 85 CV, TRAÇÃO 4X4, PESO COM LASTRO DE 4.675 KG - CHI DIURNO. AF_06/2014</v>
          </cell>
          <cell r="C474" t="str">
            <v>CHI</v>
          </cell>
          <cell r="D474">
            <v>23.26</v>
          </cell>
        </row>
        <row r="475">
          <cell r="A475">
            <v>89218</v>
          </cell>
          <cell r="B475" t="str">
            <v>BATE-ESTACAS POR GRAVIDADE, POTÊNCIA DE 160 HP, PESO DO MARTELO ATÉ 3 TONELADAS - CHI DIURNO. AF_11/2014</v>
          </cell>
          <cell r="C475" t="str">
            <v>CHI</v>
          </cell>
          <cell r="D475">
            <v>51.06</v>
          </cell>
        </row>
        <row r="476">
          <cell r="A476">
            <v>89226</v>
          </cell>
          <cell r="B476" t="str">
            <v>BETONEIRA CAPACIDADE NOMINAL DE 600 L, CAPACIDADE DE MISTURA 360 L, MOTOR ELÉTRICO TRIFÁSICO POTÊNCIA DE 4 CV, SEM CARREGADOR - CHI DIURNO. AF_11/2014</v>
          </cell>
          <cell r="C476" t="str">
            <v>CHI</v>
          </cell>
          <cell r="D476">
            <v>1.05</v>
          </cell>
        </row>
        <row r="477">
          <cell r="A477">
            <v>89235</v>
          </cell>
          <cell r="B477" t="str">
            <v>FRESADORA DE ASFALTO A FRIO SOBRE RODAS, LARGURA FRESAGEM DE 1,0 M, POTÊNCIA 208 HP - CHI DIURNO. AF_11/2014</v>
          </cell>
          <cell r="C477" t="str">
            <v>CHI</v>
          </cell>
          <cell r="D477">
            <v>121.86</v>
          </cell>
        </row>
        <row r="478">
          <cell r="A478">
            <v>89243</v>
          </cell>
          <cell r="B478" t="str">
            <v>FRESADORA DE ASFALTO A FRIO SOBRE RODAS, LARGURA FRESAGEM DE 2,0 M, POTÊNCIA 550 HP - CHI DIURNO. AF_11/2014</v>
          </cell>
          <cell r="C478" t="str">
            <v>CHI</v>
          </cell>
          <cell r="D478">
            <v>260.92</v>
          </cell>
        </row>
        <row r="479">
          <cell r="A479">
            <v>89251</v>
          </cell>
          <cell r="B479" t="str">
            <v>RECICLADORA DE ASFALTO A FRIO SOBRE RODAS, LARGURA FRESAGEM DE 2,0 M, POTÊNCIA 422 HP - CHI DIURNO. AF_11/2014</v>
          </cell>
          <cell r="C479" t="str">
            <v>CHI</v>
          </cell>
          <cell r="D479">
            <v>229.05</v>
          </cell>
        </row>
        <row r="480">
          <cell r="A480">
            <v>89258</v>
          </cell>
          <cell r="B480" t="str">
            <v>VIBROACABADORA DE ASFALTO SOBRE ESTEIRAS, LARGURA DE PAVIMENTAÇÃO 2,13 M A 4,55 M, POTÊNCIA 100 HP, CAPACIDADE 400 T/H - CHI DIURNO. AF_11/2014</v>
          </cell>
          <cell r="C480" t="str">
            <v>CHI</v>
          </cell>
          <cell r="D480">
            <v>80.069999999999993</v>
          </cell>
        </row>
        <row r="481">
          <cell r="A481">
            <v>89273</v>
          </cell>
          <cell r="B481" t="str">
            <v>GUINDASTE HIDRÁULICO AUTOPROPELIDO, COM LANÇA TELESCÓPICA 28,80 M, CAPACIDADE MÁXIMA 30 T, POTÊNCIA 97 KW, TRAÇÃO 4 X 4 - CHI DIURNO. AF_11/2014</v>
          </cell>
          <cell r="C481" t="str">
            <v>CHI</v>
          </cell>
          <cell r="D481">
            <v>48.61</v>
          </cell>
        </row>
        <row r="482">
          <cell r="A482">
            <v>89279</v>
          </cell>
          <cell r="B482" t="str">
            <v>BETONEIRA CAPACIDADE NOMINAL DE 600 L, CAPACIDADE DE MISTURA 440 L, MOTOR A DIESEL POTÊNCIA 10 HP, COM CARREGADOR - CHI DIURNO. AF_11/2014</v>
          </cell>
          <cell r="C482" t="str">
            <v>CHI</v>
          </cell>
          <cell r="D482">
            <v>1.27</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v>41.54</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v>42.93</v>
          </cell>
        </row>
        <row r="485">
          <cell r="A485">
            <v>90587</v>
          </cell>
          <cell r="B485" t="str">
            <v>VIBRADOR DE IMERSÃO, DIÂMETRO DE PONTEIRA 45MM, MOTOR ELÉTRICO TRIFÁSICO POTÊNCIA DE 2 CV - CHI DIURNO. AF_06/2015</v>
          </cell>
          <cell r="C485" t="str">
            <v>CHI</v>
          </cell>
          <cell r="D485">
            <v>0.3</v>
          </cell>
        </row>
        <row r="486">
          <cell r="A486">
            <v>90626</v>
          </cell>
          <cell r="B486" t="str">
            <v>PERFURATRIZ MANUAL, TORQUE MÁXIMO 83 N.M, POTÊNCIA 5 CV, COM DIÂMETRO MÁXIMO 4" - CHI DIURNO. AF_06/2015</v>
          </cell>
          <cell r="C486" t="str">
            <v>CHI</v>
          </cell>
          <cell r="D486">
            <v>2.33</v>
          </cell>
        </row>
        <row r="487">
          <cell r="A487">
            <v>90632</v>
          </cell>
          <cell r="B487" t="str">
            <v>PERFURATRIZ SOBRE ESTEIRA, TORQUE MÁXIMO 600 KGF, PESO MÉDIO 1000 KG, POTÊNCIA 20 HP, DIÂMETRO MÁXIMO 10" - CHI DIURNO. AF_06/2015</v>
          </cell>
          <cell r="C487" t="str">
            <v>CHI</v>
          </cell>
          <cell r="D487">
            <v>44.29</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v>3.24</v>
          </cell>
        </row>
        <row r="489">
          <cell r="A489">
            <v>90644</v>
          </cell>
          <cell r="B489" t="str">
            <v>BOMBA TRIPLEX, PARA INJEÇÃO DE NATA DE CIMENTO, VAZÃO MÁXIMA DE 100 LITROS/MINUTO, PRESSÃO MÁXIMA DE 70 BAR - CHI DIURNO. AF_06/2015</v>
          </cell>
          <cell r="C489" t="str">
            <v>CHI</v>
          </cell>
          <cell r="D489">
            <v>4.8499999999999996</v>
          </cell>
        </row>
        <row r="490">
          <cell r="A490">
            <v>90651</v>
          </cell>
          <cell r="B490" t="str">
            <v>BOMBA CENTRÍFUGA MONOESTÁGIO COM MOTOR ELÉTRICO MONOFÁSICO, POTÊNCIA 15 HP, DIÂMETRO DO ROTOR 173 MM, HM/Q = 30 MCA / 90 M3/H A 45 MCA / 55 M3/H - CHI DIURNO. AF_06/2015</v>
          </cell>
          <cell r="C490" t="str">
            <v>CHI</v>
          </cell>
          <cell r="D490">
            <v>0.61</v>
          </cell>
        </row>
        <row r="491">
          <cell r="A491">
            <v>90657</v>
          </cell>
          <cell r="B491" t="str">
            <v>BOMBA DE PROJEÇÃO DE CONCRETO SECO, POTÊNCIA 10 CV, VAZÃO 3 M3/H - CHI DIURNO. AF_06/2015</v>
          </cell>
          <cell r="C491" t="str">
            <v>CHI</v>
          </cell>
          <cell r="D491">
            <v>3.15</v>
          </cell>
        </row>
        <row r="492">
          <cell r="A492">
            <v>90663</v>
          </cell>
          <cell r="B492" t="str">
            <v>BOMBA DE PROJEÇÃO DE CONCRETO SECO, POTÊNCIA 10 CV, VAZÃO 6 M3/H - CHI DIURNO. AF_06/2015</v>
          </cell>
          <cell r="C492" t="str">
            <v>CHI</v>
          </cell>
          <cell r="D492">
            <v>3.37</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v>4.96</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v>149.04</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v>86.81</v>
          </cell>
        </row>
        <row r="496">
          <cell r="A496">
            <v>90687</v>
          </cell>
          <cell r="B496" t="str">
            <v>MANIPULADOR TELESCÓPICO, POTÊNCIA DE 85 HP, CAPACIDADE DE CARGA DE 3.500 KG, ALTURA MÁXIMA DE ELEVAÇÃO DE 12,3 M - CHI DIURNO. AF_06/2015</v>
          </cell>
          <cell r="C496" t="str">
            <v>CHI</v>
          </cell>
          <cell r="D496">
            <v>42.59</v>
          </cell>
        </row>
        <row r="497">
          <cell r="A497">
            <v>90693</v>
          </cell>
          <cell r="B497" t="str">
            <v>MINICARREGADEIRA SOBRE RODAS, POTÊNCIA LÍQUIDA DE 47 HP, CAPACIDADE NOMINAL DE OPERAÇÃO DE 646 KG - CHI DIURNO. AF_06/2015</v>
          </cell>
          <cell r="C497" t="str">
            <v>CHI</v>
          </cell>
          <cell r="D497">
            <v>30.99</v>
          </cell>
        </row>
        <row r="498">
          <cell r="A498">
            <v>90965</v>
          </cell>
          <cell r="B498" t="str">
            <v>COMPRESSOR DE AR REBOCÁVEL, VAZÃO 89 PCM, PRESSÃO EFETIVA DE TRABALHO 102 PSI, MOTOR DIESEL, POTÊNCIA 20 CV - CHI DIURNO. AF_06/2015</v>
          </cell>
          <cell r="C498" t="str">
            <v>CHI</v>
          </cell>
          <cell r="D498">
            <v>4.1900000000000004</v>
          </cell>
        </row>
        <row r="499">
          <cell r="A499">
            <v>90973</v>
          </cell>
          <cell r="B499" t="str">
            <v>COMPRESSOR DE AR REBOCAVEL, VAZÃO 250 PCM, PRESSAO DE TRABALHO 102 PSI, MOTOR A DIESEL POTÊNCIA 81 CV - CHI DIURNO. AF_06/2015</v>
          </cell>
          <cell r="C499" t="str">
            <v>CHI</v>
          </cell>
          <cell r="D499">
            <v>4.2</v>
          </cell>
        </row>
        <row r="500">
          <cell r="A500">
            <v>90982</v>
          </cell>
          <cell r="B500" t="str">
            <v>COMPRESSOR DE AR REBOCÁVEL, VAZÃO 748 PCM, PRESSÃO EFETIVA DE TRABALHO 102 PSI, MOTOR DIESEL, POTÊNCIA 210 CV - CHI DIURNO. AF_06/2015</v>
          </cell>
          <cell r="C500" t="str">
            <v>CHI</v>
          </cell>
          <cell r="D500">
            <v>10.69</v>
          </cell>
        </row>
        <row r="501">
          <cell r="A501">
            <v>91001</v>
          </cell>
          <cell r="B501" t="str">
            <v>COMPRESSOR DE AR REBOCAVEL, VAZÃO 400 PCM, PRESSAO DE TRABALHO 102 PSI, MOTOR A DIESEL POTÊNCIA 110 CV - CHI DIURNO. AF_06/2015</v>
          </cell>
          <cell r="C501" t="str">
            <v>CHI</v>
          </cell>
          <cell r="D501">
            <v>4.9800000000000004</v>
          </cell>
        </row>
        <row r="502">
          <cell r="A502">
            <v>91032</v>
          </cell>
          <cell r="B502" t="str">
            <v>CAMINHÃO TRUCADO (C/ TERCEIRO EIXO) ELETRÔNICO - POTÊNCIA 231CV - PBT = 22000KG - DIST. ENTRE EIXOS 5170 MM - INCLUI CARROCERIA FIXA ABERTA DE MADEIRA - CHI DIURNO. AF_06/2015</v>
          </cell>
          <cell r="C502" t="str">
            <v>CHI</v>
          </cell>
          <cell r="D502">
            <v>29.32</v>
          </cell>
        </row>
        <row r="503">
          <cell r="A503">
            <v>91278</v>
          </cell>
          <cell r="B503" t="str">
            <v>PLACA VIBRATÓRIA REVERSÍVEL COM MOTOR 4 TEMPOS A GASOLINA, FORÇA CENTRÍFUGA DE 25 KN (2500 KGF), POTÊNCIA 5,5 CV - CHI DIURNO. AF_08/2015</v>
          </cell>
          <cell r="C503" t="str">
            <v>CHI</v>
          </cell>
          <cell r="D503">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v>0.85</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v>32.15</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v>27.16</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v>32.6</v>
          </cell>
        </row>
        <row r="508">
          <cell r="A508">
            <v>91534</v>
          </cell>
          <cell r="B508" t="str">
            <v>COMPACTADOR DE SOLOS DE PERCUSSÃO (SOQUETE) COM MOTOR A GASOLINA 4 TEMPOS, POTÊNCIA 4 CV - CHI DIURNO. AF_08/2015</v>
          </cell>
          <cell r="C508" t="str">
            <v>CHI</v>
          </cell>
          <cell r="D508">
            <v>15.57</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v>29.1</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v>48.54</v>
          </cell>
        </row>
        <row r="511">
          <cell r="A511">
            <v>91693</v>
          </cell>
          <cell r="B511" t="str">
            <v>SERRA CIRCULAR DE BANCADA COM MOTOR ELÉTRICO POTÊNCIA DE 5HP, COM COIFA PARA DISCO 10" - CHI DIURNO. AF_08/2015</v>
          </cell>
          <cell r="C511" t="str">
            <v>CHI</v>
          </cell>
          <cell r="D511">
            <v>15.08</v>
          </cell>
        </row>
        <row r="512">
          <cell r="A512">
            <v>92044</v>
          </cell>
          <cell r="B512" t="str">
            <v>DISTRIBUIDOR DE AGREGADOS REBOCAVEL, CAPACIDADE 1,9 M³, LARGURA DE TRABALHO 3,66 M - CHI DIURNO. AF_11/2015</v>
          </cell>
          <cell r="C512" t="str">
            <v>CHI</v>
          </cell>
          <cell r="D512">
            <v>4.5599999999999996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v>33.130000000000003</v>
          </cell>
        </row>
        <row r="514">
          <cell r="A514">
            <v>92113</v>
          </cell>
          <cell r="B514" t="str">
            <v>PENEIRA ROTATIVA COM MOTOR ELÉTRICO TRIFÁSICO DE 2 CV, CILINDRO DE 1 M X 0,60 M, COM FUROS DE 3,17 MM - CHI DIURNO. AF_11/2015</v>
          </cell>
          <cell r="C514" t="str">
            <v>CHI</v>
          </cell>
          <cell r="D514">
            <v>0.76</v>
          </cell>
        </row>
        <row r="515">
          <cell r="A515">
            <v>92119</v>
          </cell>
          <cell r="B515" t="str">
            <v>DOSADOR DE AREIA, CAPACIDADE DE 26 LITROS - CHI DIURNO. AF_11/2015</v>
          </cell>
          <cell r="C515" t="str">
            <v>CHI</v>
          </cell>
          <cell r="D515">
            <v>7.0000000000000007E-2</v>
          </cell>
        </row>
        <row r="516">
          <cell r="A516">
            <v>92139</v>
          </cell>
          <cell r="B516" t="str">
            <v>CAMINHONETE COM MOTOR A DIESEL, POTÊNCIA 180 CV, CABINE DUPLA, 4X4 - CHI DIURNO. AF_11/2015</v>
          </cell>
          <cell r="C516" t="str">
            <v>CHI</v>
          </cell>
          <cell r="D516">
            <v>24.59</v>
          </cell>
        </row>
        <row r="517">
          <cell r="A517">
            <v>92146</v>
          </cell>
          <cell r="B517" t="str">
            <v>CAMINHONETE CABINE SIMPLES COM MOTOR 1.6 FLEX, CÂMBIO MANUAL, POTÊNCIA 101/104 CV, 2 PORTAS - CHI DIURNO. AF_11/2015</v>
          </cell>
          <cell r="C517" t="str">
            <v>CHI</v>
          </cell>
          <cell r="D517">
            <v>17.88</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v>40.81</v>
          </cell>
        </row>
        <row r="519">
          <cell r="A519">
            <v>92717</v>
          </cell>
          <cell r="B519" t="str">
            <v>APARELHO PARA CORTE E SOLDA OXI-ACETILENO SOBRE RODAS, INCLUSIVE CILINDROS E MAÇARICOS - CHI DIURNO. AF_12/2015</v>
          </cell>
          <cell r="C519" t="str">
            <v>CHI</v>
          </cell>
          <cell r="D519">
            <v>0.32</v>
          </cell>
        </row>
        <row r="520">
          <cell r="A520">
            <v>92961</v>
          </cell>
          <cell r="B520" t="str">
            <v>MÁQUINA EXTRUSORA DE CONCRETO PARA GUIAS E SARJETAS, MOTOR A DIESEL, POTÊNCIA 14 CV - CHI DIURNO. AF_12/2015</v>
          </cell>
          <cell r="C520" t="str">
            <v>CHI</v>
          </cell>
          <cell r="D520">
            <v>4.1900000000000004</v>
          </cell>
        </row>
        <row r="521">
          <cell r="A521">
            <v>92967</v>
          </cell>
          <cell r="B521" t="str">
            <v>MARTELO PERFURADOR PNEUMÁTICO MANUAL, HASTE 25 X 75 MM, 21 KG - CHI DIURNO. AF_12/2015</v>
          </cell>
          <cell r="C521" t="str">
            <v>CHI</v>
          </cell>
          <cell r="D521">
            <v>14.43</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v>223.44</v>
          </cell>
        </row>
        <row r="523">
          <cell r="A523">
            <v>93234</v>
          </cell>
          <cell r="B523" t="str">
            <v>BETONEIRA CAPACIDADE NOMINAL 400 L, CAPACIDADE DE MISTURA 310 L, MOTOR A GASOLINA POTÊNCIA 5,5 HP, SEM CARREGADOR - CHI DIURNO. AF_02/2016</v>
          </cell>
          <cell r="C523" t="str">
            <v>CHI</v>
          </cell>
          <cell r="D523">
            <v>0.31</v>
          </cell>
        </row>
        <row r="524">
          <cell r="A524">
            <v>93244</v>
          </cell>
          <cell r="B524" t="str">
            <v>ROLO COMPACTADOR VIBRATÓRIO PÉ DE CARNEIRO PARA SOLOS, POTÊNCIA 80 HP, PESO OPERACIONAL SEM/COM LASTRO 7,4 / 8,8 T, LARGURA DE TRABALHO 1,68 M - CHI DIURNO. AF_02/2016</v>
          </cell>
          <cell r="C524" t="str">
            <v>CHI</v>
          </cell>
          <cell r="D524">
            <v>33.81</v>
          </cell>
        </row>
        <row r="525">
          <cell r="A525">
            <v>93274</v>
          </cell>
          <cell r="B525" t="str">
            <v>GRUA ASCENSIONAL, LANÇA DE 30 M, CAPACIDADE DE 1,0 T A 30 M, ALTURA ATÉ 39 M - CHI DIURNO. AF_03/2016</v>
          </cell>
          <cell r="C525" t="str">
            <v>CHI</v>
          </cell>
          <cell r="D525">
            <v>42.43</v>
          </cell>
        </row>
        <row r="526">
          <cell r="A526">
            <v>93282</v>
          </cell>
          <cell r="B526" t="str">
            <v>GUINCHO ELÉTRICO DE COLUNA, CAPACIDADE 400 KG, COM MOTO FREIO, MOTOR TRIFÁSICO DE 1,25 CV - CHI DIURNO. AF_03/2016</v>
          </cell>
          <cell r="C526" t="str">
            <v>CHI</v>
          </cell>
          <cell r="D526">
            <v>14.72</v>
          </cell>
        </row>
        <row r="527">
          <cell r="A527">
            <v>93288</v>
          </cell>
          <cell r="B527" t="str">
            <v>GUINDASTE HIDRÁULICO AUTOPROPELIDO, COM LANÇA TELESCÓPICA 40 M, CAPACIDADE MÁXIMA 60 T, POTÊNCIA 260 KW - CHI DIURNO. AF_03/2016</v>
          </cell>
          <cell r="C527" t="str">
            <v>CHI</v>
          </cell>
          <cell r="D527">
            <v>80.67</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v>29.1</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v>22.64</v>
          </cell>
        </row>
        <row r="530">
          <cell r="A530">
            <v>93416</v>
          </cell>
          <cell r="B530" t="str">
            <v>GERADOR PORTÁTIL MONOFÁSICO, POTÊNCIA 5500 VA, MOTOR A GASOLINA, POTÊNCIA DO MOTOR 13 CV - CHI DIURNO. AF_03/2016</v>
          </cell>
          <cell r="C530" t="str">
            <v>CHI</v>
          </cell>
          <cell r="D530">
            <v>0.24</v>
          </cell>
        </row>
        <row r="531">
          <cell r="A531">
            <v>93422</v>
          </cell>
          <cell r="B531" t="str">
            <v>GRUPO GERADOR REBOCÁVEL, POTÊNCIA 66 KVA, MOTOR A DIESEL - CHI DIURNO. AF_03/2016</v>
          </cell>
          <cell r="C531" t="str">
            <v>CHI</v>
          </cell>
          <cell r="D531">
            <v>3.25</v>
          </cell>
        </row>
        <row r="532">
          <cell r="A532">
            <v>93428</v>
          </cell>
          <cell r="B532" t="str">
            <v>GRUPO GERADOR ESTACIONÁRIO, POTÊNCIA 150 KVA, MOTOR A DIESEL- CHI DIURNO. AF_03/2016</v>
          </cell>
          <cell r="C532" t="str">
            <v>CHI</v>
          </cell>
          <cell r="D532">
            <v>4.6100000000000003</v>
          </cell>
        </row>
        <row r="533">
          <cell r="A533">
            <v>93434</v>
          </cell>
          <cell r="B533" t="str">
            <v>USINA DE MISTURA ASFÁLTICA À QUENTE, TIPO CONTRA FLUXO, PROD 40 A 80 TON/HORA - CHI DIURNO. AF_03/2016</v>
          </cell>
          <cell r="C533" t="str">
            <v>CHI</v>
          </cell>
          <cell r="D533">
            <v>157.36000000000001</v>
          </cell>
        </row>
        <row r="534">
          <cell r="A534">
            <v>93440</v>
          </cell>
          <cell r="B534" t="str">
            <v>USINA DE ASFALTO À FRIO, CAPACIDADE DE 40 A 60 TON/HORA, ELÉTRICA POTÊNCIA 30 CV - CHI DIURNO. AF_03/2016</v>
          </cell>
          <cell r="C534" t="str">
            <v>CHI</v>
          </cell>
          <cell r="D534">
            <v>83.8</v>
          </cell>
        </row>
        <row r="535">
          <cell r="A535">
            <v>95122</v>
          </cell>
          <cell r="B535" t="str">
            <v>USINA MISTURADORA DE SOLOS, CAPACIDADE DE 200 A 500 TON/H, POTENCIA 75KW - CHI DIURNO. AF_07/2016</v>
          </cell>
          <cell r="C535" t="str">
            <v>CHI</v>
          </cell>
          <cell r="D535">
            <v>119.64</v>
          </cell>
        </row>
        <row r="536">
          <cell r="A536">
            <v>95128</v>
          </cell>
          <cell r="B536" t="str">
            <v>DISTRIBUIDOR DE AGREGADOS AUTOPROPELIDO, CAP 3 M3, A DIESEL, POTÊNCIA 176CV - CHI DIURNO. AF_07/2016</v>
          </cell>
          <cell r="C536" t="str">
            <v>CHI</v>
          </cell>
          <cell r="D536">
            <v>28.18</v>
          </cell>
        </row>
        <row r="537">
          <cell r="A537">
            <v>95140</v>
          </cell>
          <cell r="B537" t="str">
            <v>TALHA MANUAL DE CORRENTE, CAPACIDADE DE 2 TON. COM ELEVAÇÃO DE 3 M - CHI DIURNO. AF_07/2016</v>
          </cell>
          <cell r="C537" t="str">
            <v>CHI</v>
          </cell>
          <cell r="D537">
            <v>0.04</v>
          </cell>
        </row>
        <row r="538">
          <cell r="A538">
            <v>95213</v>
          </cell>
          <cell r="B538" t="str">
            <v>GRUA ASCENCIONAL, LANÇA DE 42 M, CAPACIDADE DE 1,5 T A 30 M, ALTURA ATÉ 39 M - CHI DIURNO. AF_08/2016</v>
          </cell>
          <cell r="C538" t="str">
            <v>CHI</v>
          </cell>
          <cell r="D538">
            <v>46.15</v>
          </cell>
        </row>
        <row r="539">
          <cell r="A539">
            <v>95219</v>
          </cell>
          <cell r="B539" t="str">
            <v>PULVERIZADOR DE TINTA ELÉTRICO/MÁQUINA DE PINTURA AIRLESS, VAZÃO 2 L/MIN - CHI DIURNO. AF_08/2016</v>
          </cell>
          <cell r="C539" t="str">
            <v>CHI</v>
          </cell>
          <cell r="D539">
            <v>21.41</v>
          </cell>
        </row>
        <row r="540">
          <cell r="A540">
            <v>95259</v>
          </cell>
          <cell r="B540" t="str">
            <v>MARTELO DEMOLIDOR PNEUMÁTICO MANUAL, 32 KG - CHI DIURNO. AF_09/2016</v>
          </cell>
          <cell r="C540" t="str">
            <v>CHI</v>
          </cell>
          <cell r="D540">
            <v>14.18</v>
          </cell>
        </row>
        <row r="541">
          <cell r="A541">
            <v>95265</v>
          </cell>
          <cell r="B541" t="str">
            <v>COMPACTADOR DE SOLOS DE PERCUSÃO (SOQUETE) COM MOTOR A GASOLINA, POTÊNCIA 3 CV - CHI DIURNO. AF_09/2016</v>
          </cell>
          <cell r="C541" t="str">
            <v>CHI</v>
          </cell>
          <cell r="D541">
            <v>0.56999999999999995</v>
          </cell>
        </row>
        <row r="542">
          <cell r="A542">
            <v>95271</v>
          </cell>
          <cell r="B542" t="str">
            <v>RÉGUA VIBRATÓRIA DUPLA PARA CONCRETO, PESO DE 60KG, COMPRIMENTO 4 M, COM MOTOR A GASOLINA, POTÊNCIA 5,5 HP - CHI DIURNO. AF_09/2016</v>
          </cell>
          <cell r="C542" t="str">
            <v>CHI</v>
          </cell>
          <cell r="D542">
            <v>0.45</v>
          </cell>
        </row>
        <row r="543">
          <cell r="A543">
            <v>95277</v>
          </cell>
          <cell r="B543" t="str">
            <v>POLIDORA DE PISO (POLITRIZ), PESO DE 100KG, DIÂMETRO 450 MM, MOTOR ELÉTRICO, POTÊNCIA 4 HP - CHI DIURNO. AF_09/2016</v>
          </cell>
          <cell r="C543" t="str">
            <v>CHI</v>
          </cell>
          <cell r="D543">
            <v>0.44</v>
          </cell>
        </row>
        <row r="544">
          <cell r="A544">
            <v>95283</v>
          </cell>
          <cell r="B544" t="str">
            <v>DESEMPENADEIRA DE CONCRETO, PESO DE 75KG, 4 PÁS, MOTOR A GASOLINA, POTÊNCIA 5,5 HP - CHI DIURNO. AF_09/2016</v>
          </cell>
          <cell r="C544" t="str">
            <v>CHI</v>
          </cell>
          <cell r="D544">
            <v>0.49</v>
          </cell>
        </row>
        <row r="545">
          <cell r="A545">
            <v>95621</v>
          </cell>
          <cell r="B545" t="str">
            <v>PERFURATRIZ PNEUMATICA MANUAL DE PESO MEDIO, MARTELETE, 18KG, COMPRIMENTO MÁXIMO DE CURSO DE 6 M, DIAMETRO DO PISTAO DE 5,5 CM - CHI DIURNO. AF_11/2016</v>
          </cell>
          <cell r="C545" t="str">
            <v>CHI</v>
          </cell>
          <cell r="D545">
            <v>13.9</v>
          </cell>
        </row>
        <row r="546">
          <cell r="A546">
            <v>95632</v>
          </cell>
          <cell r="B546" t="str">
            <v>ROLO COMPACTADOR VIBRATORIO TANDEM, ACO LISO, POTENCIA 125 HP, PESO SEM/COM LASTRO 10,20/11,65 T, LARGURA DE TRABALHO 1,73 M - CHI DIURNO. AF_11/2016</v>
          </cell>
          <cell r="C546" t="str">
            <v>CHI</v>
          </cell>
          <cell r="D546">
            <v>42.08</v>
          </cell>
        </row>
        <row r="547">
          <cell r="A547">
            <v>95703</v>
          </cell>
          <cell r="B547" t="str">
            <v>PERFURATRIZ MANUAL, TORQUE MAXIMO 55 KGF.M, POTENCIA 5 CV, COM DIAMETRO MAXIMO 8 1/2" - CHI DIURNO. AF_11/2016</v>
          </cell>
          <cell r="C547" t="str">
            <v>CHI</v>
          </cell>
          <cell r="D547">
            <v>20.18</v>
          </cell>
        </row>
        <row r="548">
          <cell r="A548">
            <v>95709</v>
          </cell>
          <cell r="B548" t="str">
            <v>PERFURATRIZ SOBRE ESTEIRA, TORQUE MÁXIMO 600 KGF, POTÊNCIA ENTRE 50 E 60 HP, DIÂMETRO MÁXIMO 10 - CHI DIURNO. AF_11/2016</v>
          </cell>
          <cell r="C548" t="str">
            <v>CHI</v>
          </cell>
          <cell r="D548">
            <v>43.07</v>
          </cell>
        </row>
        <row r="549">
          <cell r="A549">
            <v>95715</v>
          </cell>
          <cell r="B549" t="str">
            <v>ESCAVADEIRA HIDRAULICA SOBRE ESTEIRA, COM GARRA GIRATORIA DE MANDIBULAS, PESO OPERACIONAL ENTRE 22,00 E 25,50 TON, POTENCIA LIQUIDA ENTRE 150 E 160 HP - CHI DIURNO. AF_11/2016</v>
          </cell>
          <cell r="C549" t="str">
            <v>CHI</v>
          </cell>
          <cell r="D549">
            <v>51.98</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v>50.73</v>
          </cell>
        </row>
        <row r="551">
          <cell r="A551">
            <v>95873</v>
          </cell>
          <cell r="B551" t="str">
            <v>GRUPO GERADOR COM CARENAGEM, MOTOR DIESEL POTÊNCIA STANDART ENTRE 250 E 260 KVA - CHI DIURNO. AF_12/2016</v>
          </cell>
          <cell r="C551" t="str">
            <v>CHI</v>
          </cell>
          <cell r="D551">
            <v>7.36</v>
          </cell>
        </row>
        <row r="552">
          <cell r="A552">
            <v>96014</v>
          </cell>
          <cell r="B552" t="str">
            <v>TRATOR DE PNEUS COM POTÊNCIA DE 122 CV, TRAÇÃO 4X4, COM VASSOURA MECÂNICA ACOPLADA - CHI DIURNO. AF_02/2017</v>
          </cell>
          <cell r="C552" t="str">
            <v>CHI</v>
          </cell>
          <cell r="D552">
            <v>28.42</v>
          </cell>
        </row>
        <row r="553">
          <cell r="A553">
            <v>96021</v>
          </cell>
          <cell r="B553" t="str">
            <v>TRATOR DE PNEUS COM POTÊNCIA DE 122 CV, TRAÇÃO 4X4, COM GRADE DE DISCOS ACOPLADA - CHI DIURNO. AF_02/2017</v>
          </cell>
          <cell r="C553" t="str">
            <v>CHI</v>
          </cell>
          <cell r="D553">
            <v>28.3</v>
          </cell>
        </row>
        <row r="554">
          <cell r="A554">
            <v>96029</v>
          </cell>
          <cell r="B554" t="str">
            <v>TRATOR DE PNEUS COM POTÊNCIA DE 85 CV, TRAÇÃO 4X4, COM GRADE DE DISCOS ACOPLADA - CHI DIURNO. AF_02/2017</v>
          </cell>
          <cell r="C554" t="str">
            <v>CHI</v>
          </cell>
          <cell r="D554">
            <v>25.31</v>
          </cell>
        </row>
        <row r="555">
          <cell r="A555">
            <v>96036</v>
          </cell>
          <cell r="B555" t="str">
            <v>CAMINHÃO BASCULANTE 10 M3, TRUCADO, POTÊNCIA 230 CV, INCLUSIVE CAÇAMBA METÁLICA, COM DISTRIBUIDOR DE AGREGADOS ACOPLADO - CHI DIURNO. AF_02/2017</v>
          </cell>
          <cell r="C555" t="str">
            <v>CHI</v>
          </cell>
          <cell r="D555">
            <v>35.020000000000003</v>
          </cell>
        </row>
        <row r="556">
          <cell r="A556">
            <v>96155</v>
          </cell>
          <cell r="B556" t="str">
            <v>TRATOR DE PNEUS COM POTÊNCIA DE 85 CV, TRAÇÃO 4X4, COM VASSOURA MECÂNICA ACOPLADA - CHI DIURNO. AF_02/2017</v>
          </cell>
          <cell r="C556" t="str">
            <v>CHI</v>
          </cell>
          <cell r="D556">
            <v>25.43</v>
          </cell>
        </row>
        <row r="557">
          <cell r="A557">
            <v>96156</v>
          </cell>
          <cell r="B557" t="str">
            <v>MINICARREGADEIRA SOBRE RODAS POTENCIA 47HP CAPACIDADE OPERACAO 646 KG, COM VASSOURA MECÂNICA ACOPLADA - CHI DIURNO. AF_03/2017</v>
          </cell>
          <cell r="C557" t="str">
            <v>CHI</v>
          </cell>
          <cell r="D557">
            <v>34.15</v>
          </cell>
        </row>
        <row r="558">
          <cell r="A558">
            <v>96159</v>
          </cell>
          <cell r="B558" t="str">
            <v>MÁQUINA DEMARCADORA DE FAIXA DE TRÁFEGO À FRIO, AUTOPROPELIDA, POTÊNCIA 38 HP - CHI DIURNO. AF_07/2016</v>
          </cell>
          <cell r="C558" t="str">
            <v>CHI</v>
          </cell>
          <cell r="D558">
            <v>41</v>
          </cell>
        </row>
        <row r="559">
          <cell r="A559">
            <v>96246</v>
          </cell>
          <cell r="B559" t="str">
            <v>MINIESCAVADEIRA SOBRE ESTEIRAS, POTENCIA LIQUIDA DE *30* HP, PESO OPERACIONAL DE *3.500* KG - CHI DIURNO. AF_04/2017</v>
          </cell>
          <cell r="C559" t="str">
            <v>CHI</v>
          </cell>
          <cell r="D559">
            <v>34.92</v>
          </cell>
        </row>
        <row r="560">
          <cell r="A560">
            <v>96302</v>
          </cell>
          <cell r="B560" t="str">
            <v>PERFURATRIZ ROTATIVA SOBRE ESTEIRA, TORQUE MAXIMO 2500 KGM, POTENCIA 110 HP, MOTOR DIESEL - CHI DIURNO. AF_05/2017</v>
          </cell>
          <cell r="C560" t="str">
            <v>CHI</v>
          </cell>
          <cell r="D560">
            <v>58.69</v>
          </cell>
        </row>
        <row r="561">
          <cell r="A561">
            <v>96308</v>
          </cell>
          <cell r="B561" t="str">
            <v>COMPRESSOR DE AR, VAZAO DE 10 PCM, RESERVATORIO 100 L, PRESSAO DE TRABALHO ENTRE 6,9 E 9,7 BAR  POTENCIA 2 HP, TENSAO 110/220 V  CHI DIURNO. AF_05/2017</v>
          </cell>
          <cell r="C561" t="str">
            <v>CHI</v>
          </cell>
          <cell r="D561">
            <v>0.14000000000000001</v>
          </cell>
        </row>
        <row r="562">
          <cell r="A562">
            <v>96464</v>
          </cell>
          <cell r="B562" t="str">
            <v>ROLO COMPACTADOR DE PNEUS, ESTATICO, PRESSAO VARIAVEL, POTENCIA 110 HP, PESO SEM/COM LASTRO 10,8/27 T, LARGURA DE ROLAGEM 2,30 M - CHI DIURNO. AF_06/2017</v>
          </cell>
          <cell r="C562" t="str">
            <v>CHI</v>
          </cell>
          <cell r="D562">
            <v>45.03</v>
          </cell>
        </row>
        <row r="563">
          <cell r="A563">
            <v>98765</v>
          </cell>
          <cell r="B563" t="str">
            <v>INVERSOR DE SOLDA MONOFÁSICO DE 160 A, POTÊNCIA DE 5400 W, TENSÃO DE 220 V, PARA SOLDA COM ELETRODOS DE 2,0 A 4,0 MM E PROCESSO TIG - CHI DIURNO. AF_06/2018</v>
          </cell>
          <cell r="C563" t="str">
            <v>CHI</v>
          </cell>
          <cell r="D563">
            <v>0.13</v>
          </cell>
        </row>
        <row r="564">
          <cell r="A564">
            <v>99834</v>
          </cell>
          <cell r="B564" t="str">
            <v>LAVADORA DE ALTA PRESSAO (LAVA-JATO) PARA AGUA FRIA, PRESSAO DE OPERACAO ENTRE 1400 E 1900 LIB/POL2, VAZAO MAXIMA ENTRE 400 E 700 L/H - CHI DIURNO. AF_04/2019</v>
          </cell>
          <cell r="C564" t="str">
            <v>CHI</v>
          </cell>
          <cell r="D564">
            <v>0.26</v>
          </cell>
        </row>
        <row r="565">
          <cell r="A565">
            <v>100642</v>
          </cell>
          <cell r="B565" t="str">
            <v>USINA DE MISTURA ASFÁLTICA À QUENTE, TIPO CONTRA FLUXO, PROD 100 A 140 TON/HORA - CHI DIURNO. AF_12/2019</v>
          </cell>
          <cell r="C565" t="str">
            <v>CHI</v>
          </cell>
          <cell r="D565">
            <v>111.49</v>
          </cell>
        </row>
        <row r="566">
          <cell r="A566">
            <v>100648</v>
          </cell>
          <cell r="B566" t="str">
            <v>USINA DE ASFALTO, TIPO GRAVIMÉTRICA, PROD 150 TON/HORA - CHI DIURNO. AF_12/2019</v>
          </cell>
          <cell r="C566" t="str">
            <v>CHI</v>
          </cell>
          <cell r="D566">
            <v>267.70999999999998</v>
          </cell>
        </row>
        <row r="567">
          <cell r="A567">
            <v>5089</v>
          </cell>
          <cell r="B567" t="str">
            <v>ROLO COMPACTADOR VIBRATÓRIO PÉ DE CARNEIRO PARA SOLOS, POTÊNCIA 80 HP, PESO OPERACIONAL SEM/COM LASTRO 7,4 / 8,8 T, LARGURA DE TRABALHO 1,68 M - MANUTENÇÃO. AF_02/2016</v>
          </cell>
          <cell r="C567" t="str">
            <v>H</v>
          </cell>
          <cell r="D567">
            <v>20.71</v>
          </cell>
        </row>
        <row r="568">
          <cell r="A568">
            <v>5627</v>
          </cell>
          <cell r="B568" t="str">
            <v>ESCAVADEIRA HIDRÁULICA SOBRE ESTEIRAS, CAÇAMBA 0,80 M3, PESO OPERACIONAL 17 T, POTENCIA BRUTA 111 HP - DEPRECIAÇÃO. AF_06/2014</v>
          </cell>
          <cell r="C568" t="str">
            <v>H</v>
          </cell>
          <cell r="D568">
            <v>25.2</v>
          </cell>
        </row>
        <row r="569">
          <cell r="A569">
            <v>5628</v>
          </cell>
          <cell r="B569" t="str">
            <v>ESCAVADEIRA HIDRÁULICA SOBRE ESTEIRAS, CAÇAMBA 0,80 M3, PESO OPERACIONAL 17 T, POTENCIA BRUTA 111 HP - JUROS. AF_06/2014</v>
          </cell>
          <cell r="C569" t="str">
            <v>H</v>
          </cell>
          <cell r="D569">
            <v>3.42</v>
          </cell>
        </row>
        <row r="570">
          <cell r="A570">
            <v>5629</v>
          </cell>
          <cell r="B570" t="str">
            <v>ESCAVADEIRA HIDRÁULICA SOBRE ESTEIRAS, CAÇAMBA 0,80 M3, PESO OPERACIONAL 17 T, POTENCIA BRUTA 111 HP - MANUTENÇÃO. AF_06/2014</v>
          </cell>
          <cell r="C570" t="str">
            <v>H</v>
          </cell>
          <cell r="D570">
            <v>31.5</v>
          </cell>
        </row>
        <row r="571">
          <cell r="A571">
            <v>5630</v>
          </cell>
          <cell r="B571" t="str">
            <v>ESCAVADEIRA HIDRÁULICA SOBRE ESTEIRAS, CAÇAMBA 0,80 M3, PESO OPERACIONAL 17 T, POTENCIA BRUTA 111 HP - MATERIAIS NA OPERAÇÃO. AF_06/2014</v>
          </cell>
          <cell r="C571" t="str">
            <v>H</v>
          </cell>
          <cell r="D571">
            <v>37.26</v>
          </cell>
        </row>
        <row r="572">
          <cell r="A572">
            <v>5658</v>
          </cell>
          <cell r="B572" t="str">
            <v>GRADE DE DISCO CONTROLE REMOTO REBOCÁVEL, COM 24 DISCOS 24 X 6 MM COM PNEUS PARA TRANSPORTE - MANUTENÇÃO. AF_06/2014</v>
          </cell>
          <cell r="C572" t="str">
            <v>H</v>
          </cell>
          <cell r="D572">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v>16.170000000000002</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v>28.51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v>19.920000000000002</v>
          </cell>
        </row>
        <row r="577">
          <cell r="A577">
            <v>5692</v>
          </cell>
          <cell r="B577" t="str">
            <v>MOTOBOMBA CENTRÍFUGA, MOTOR A GASOLINA, POTÊNCIA 5,42 HP, BOCAIS 1 1/2" X 1", DIÂMETRO ROTOR 143 MM HM/Q = 6 MCA / 16,8 M3/H A 38 MCA / 6,6 M3/H - MANUTENÇÃO. AF_06/2014</v>
          </cell>
          <cell r="C577" t="str">
            <v>H</v>
          </cell>
          <cell r="D577">
            <v>0.17</v>
          </cell>
        </row>
        <row r="578">
          <cell r="A578">
            <v>5693</v>
          </cell>
          <cell r="B578" t="str">
            <v>MOTOBOMBA CENTRÍFUGA, MOTOR A GASOLINA, POTÊNCIA 5,42 HP, BOCAIS 1 1/2" X 1", DIÂMETRO ROTOR 143 MM HM/Q = 6 MCA / 16,8 M3/H A 38 MCA / 6,6 M3/H - MATERIAIS NA OPERAÇÃO. AF_06/2014</v>
          </cell>
          <cell r="C578" t="str">
            <v>H</v>
          </cell>
          <cell r="D578">
            <v>5.89</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v>22.44</v>
          </cell>
        </row>
        <row r="580">
          <cell r="A580">
            <v>5703</v>
          </cell>
          <cell r="B580" t="str">
            <v>USINA DE CONCRETO FIXA, CAPACIDADE NOMINAL DE 90 A 120 M3/H, SEM SILO - MATERIAIS NA OPERAÇÃO. AF_07/2016</v>
          </cell>
          <cell r="C580" t="str">
            <v>H</v>
          </cell>
          <cell r="D580">
            <v>19.27</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v>13.92</v>
          </cell>
        </row>
        <row r="582">
          <cell r="A582">
            <v>5707</v>
          </cell>
          <cell r="B582" t="str">
            <v>USINA MISTURADORA DE SOLOS, CAPACIDADE DE 200 A 500 TON/H, POTENCIA 75KW - MANUTENÇÃO. AF_07/2016</v>
          </cell>
          <cell r="C582" t="str">
            <v>H</v>
          </cell>
          <cell r="D582">
            <v>42.55</v>
          </cell>
        </row>
        <row r="583">
          <cell r="A583">
            <v>5710</v>
          </cell>
          <cell r="B583" t="str">
            <v>VIBROACABADORA DE ASFALTO SOBRE ESTEIRAS, LARGURA DE PAVIMENTAÇÃO 1,90 M A 5,30 M, POTÊNCIA 105 HP CAPACIDADE 450 T/H - MANUTENÇÃO. AF_11/2014</v>
          </cell>
          <cell r="C583" t="str">
            <v>H</v>
          </cell>
          <cell r="D583">
            <v>103.54</v>
          </cell>
        </row>
        <row r="584">
          <cell r="A584">
            <v>5711</v>
          </cell>
          <cell r="B584" t="str">
            <v>VIBROACABADORA DE ASFALTO SOBRE ESTEIRAS, LARGURA DE PAVIMENTAÇÃO 1,90 M A 5,30 M, POTÊNCIA 105 HP CAPACIDADE 450 T/H - MATERIAIS NA OPERAÇÃO. AF_11/2014</v>
          </cell>
          <cell r="C584" t="str">
            <v>H</v>
          </cell>
          <cell r="D584">
            <v>51.48</v>
          </cell>
        </row>
        <row r="585">
          <cell r="A585">
            <v>5714</v>
          </cell>
          <cell r="B585" t="str">
            <v>TRATOR DE PNEUS, POTÊNCIA 85 CV, TRAÇÃO 4X4, PESO COM LASTRO DE 4.675 KG - MANUTENÇÃO. AF_06/2014</v>
          </cell>
          <cell r="C585" t="str">
            <v>H</v>
          </cell>
          <cell r="D585">
            <v>7.87</v>
          </cell>
        </row>
        <row r="586">
          <cell r="A586">
            <v>5715</v>
          </cell>
          <cell r="B586" t="str">
            <v>TRATOR DE PNEUS, POTÊNCIA 85 CV, TRAÇÃO 4X4, PESO COM LASTRO DE 4.675 KG - MATERIAIS NA OPERAÇÃO. AF_06/2014</v>
          </cell>
          <cell r="C586" t="str">
            <v>H</v>
          </cell>
          <cell r="D586">
            <v>69.260000000000005</v>
          </cell>
        </row>
        <row r="587">
          <cell r="A587">
            <v>5718</v>
          </cell>
          <cell r="B587" t="str">
            <v>TRATOR DE ESTEIRAS, POTÊNCIA 170 HP, PESO OPERACIONAL 19 T, CAÇAMBA 5,2 M3 - MATERIAIS NA OPERAÇÃO. AF_06/2014</v>
          </cell>
          <cell r="C587" t="str">
            <v>H</v>
          </cell>
          <cell r="D587">
            <v>61.44</v>
          </cell>
        </row>
        <row r="588">
          <cell r="A588">
            <v>5721</v>
          </cell>
          <cell r="B588" t="str">
            <v>TRATOR DE ESTEIRAS, POTÊNCIA 150 HP, PESO OPERACIONAL 16,7 T, COM RODA MOTRIZ ELEVADA E LÂMINA 3,18 M3 - MATERIAIS NA OPERAÇÃO. AF_06/2014</v>
          </cell>
          <cell r="C588" t="str">
            <v>H</v>
          </cell>
          <cell r="D588">
            <v>54.21</v>
          </cell>
        </row>
        <row r="589">
          <cell r="A589">
            <v>5722</v>
          </cell>
          <cell r="B589" t="str">
            <v>TRATOR DE ESTEIRAS, POTÊNCIA 347 HP, PESO OPERACIONAL 38,5 T, COM LÂMINA 8,70 M3 - MATERIAIS NA OPERAÇÃO. AF_06/2014</v>
          </cell>
          <cell r="C589" t="str">
            <v>H</v>
          </cell>
          <cell r="D589">
            <v>125.39</v>
          </cell>
        </row>
        <row r="590">
          <cell r="A590">
            <v>5724</v>
          </cell>
          <cell r="B590" t="str">
            <v>TRATOR DE ESTEIRAS, POTÊNCIA 100 HP, PESO OPERACIONAL 9,4 T, COM LÂMINA 2,19 M3 - MANUTENÇÃO. AF_06/2014</v>
          </cell>
          <cell r="C590" t="str">
            <v>H</v>
          </cell>
          <cell r="D590">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v>6.01</v>
          </cell>
        </row>
        <row r="592">
          <cell r="A592">
            <v>5729</v>
          </cell>
          <cell r="B592" t="str">
            <v>ROLO COMPACTADOR VIBRATÓRIO TANDEM AÇO LISO, POTÊNCIA 58 HP, PESO SEM/COM LASTRO 6,5 / 9,4 T, LARGURA DE TRABALHO 1,2 M - MANUTENÇÃO. AF_06/2014</v>
          </cell>
          <cell r="C592" t="str">
            <v>H</v>
          </cell>
          <cell r="D592">
            <v>24.46</v>
          </cell>
        </row>
        <row r="593">
          <cell r="A593">
            <v>5730</v>
          </cell>
          <cell r="B593" t="str">
            <v>ROLO COMPACTADOR VIBRATÓRIO TANDEM AÇO LISO, POTÊNCIA 58 HP, PESO SEM/COM LASTRO 6,5 / 9,4 T, LARGURA DE TRABALHO 1,2 M - MATERIAIS NA OPERAÇÃO. AF_06/2014</v>
          </cell>
          <cell r="C593" t="str">
            <v>H</v>
          </cell>
          <cell r="D593">
            <v>23.94</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v>26.15</v>
          </cell>
        </row>
        <row r="596">
          <cell r="A596">
            <v>5738</v>
          </cell>
          <cell r="B596" t="str">
            <v>ROLO COMPACTADOR VIBRATÓRIO PÉ DE CARNEIRO, OPERADO POR CONTROLE REMOTO, POTÊNCIA 12,5 KW, PESO OPERACIONAL 1,675 T, LARGURA DE TRABALHO 0,85 M - DEPRECIAÇÃO. AF_02/2016</v>
          </cell>
          <cell r="C596" t="str">
            <v>H</v>
          </cell>
          <cell r="D596">
            <v>21.75</v>
          </cell>
        </row>
        <row r="597">
          <cell r="A597">
            <v>5739</v>
          </cell>
          <cell r="B597" t="str">
            <v>ROLO COMPACTADOR VIBRATÓRIO PÉ DE CARNEIRO, OPERADO POR CONTROLE REMOTO, POTÊNCIA 12,5 KW, PESO OPERACIONAL 1,675 T, LARGURA DE TRABALHO 0,85 M - MANUTENÇÃO. AF_02/2016</v>
          </cell>
          <cell r="C597" t="str">
            <v>H</v>
          </cell>
          <cell r="D597">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v>15.95</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v>91.44</v>
          </cell>
        </row>
        <row r="601">
          <cell r="A601">
            <v>5751</v>
          </cell>
          <cell r="B601" t="str">
            <v>CAMINHÃO TOCO, PESO BRUTO TOTAL 14.300 KG, CARGA ÚTIL MÁXIMA 9590 KG, DISTÂNCIA ENTRE EIXOS 4,76 M, POTÊNCIA 185 CV (NÃO INCLUI CARROCERIA) - MANUTENÇÃO. AF_06/2014</v>
          </cell>
          <cell r="C601" t="str">
            <v>H</v>
          </cell>
          <cell r="D601">
            <v>15.17</v>
          </cell>
        </row>
        <row r="602">
          <cell r="A602">
            <v>5754</v>
          </cell>
          <cell r="B602" t="str">
            <v>CAMINHÃO TOCO, PESO BRUTO TOTAL 16.000 KG, CARGA ÚTIL MÁXIMA DE 10.685 KG, DISTÂNCIA ENTRE EIXOS 4,80 M, POTÊNCIA 189 CV EXCLUSIVE CARROCERIA - MANUTENÇÃO. AF_06/2014</v>
          </cell>
          <cell r="C602" t="str">
            <v>H</v>
          </cell>
          <cell r="D602">
            <v>12.78</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v>22.39</v>
          </cell>
        </row>
        <row r="604">
          <cell r="A604">
            <v>5765</v>
          </cell>
          <cell r="B604" t="str">
            <v>ESPARGIDOR DE ASFALTO PRESSURIZADO COM TANQUE DE 2500 L, REBOCÁVEL COM MOTOR A GASOLINA POTÊNCIA 3,4 HP - MANUTENÇÃO. AF_07/2014</v>
          </cell>
          <cell r="C604" t="str">
            <v>H</v>
          </cell>
          <cell r="D604">
            <v>1.92</v>
          </cell>
        </row>
        <row r="605">
          <cell r="A605">
            <v>5766</v>
          </cell>
          <cell r="B605" t="str">
            <v>ESPARGIDOR DE ASFALTO PRESSURIZADO COM TANQUE DE 2500 L, REBOCÁVEL COM MOTOR A GASOLINA POTÊNCIA 3,4 HP - MATERIAIS NA OPERAÇÃO. AF_07/2014</v>
          </cell>
          <cell r="C605" t="str">
            <v>H</v>
          </cell>
          <cell r="D605">
            <v>2.94</v>
          </cell>
        </row>
        <row r="606">
          <cell r="A606">
            <v>5779</v>
          </cell>
          <cell r="B606" t="str">
            <v>MOTONIVELADORA POTÊNCIA BÁSICA LÍQUIDA (PRIMEIRA MARCHA) 125 HP, PESO BRUTO 13032 KG, LARGURA DA LÂMINA DE 3,7 M - MANUTENÇÃO. AF_06/2014</v>
          </cell>
          <cell r="C606" t="str">
            <v>H</v>
          </cell>
          <cell r="D606">
            <v>38</v>
          </cell>
        </row>
        <row r="607">
          <cell r="A607">
            <v>5787</v>
          </cell>
          <cell r="B607" t="str">
            <v>PÁ CARREGADEIRA SOBRE RODAS, POTÊNCIA 197 HP, CAPACIDADE DA CAÇAMBA 2,5 A 3,5 M3, PESO OPERACIONAL 18338 KG - MATERIAIS NA OPERAÇÃO. AF_06/2014</v>
          </cell>
          <cell r="C607" t="str">
            <v>H</v>
          </cell>
          <cell r="D607">
            <v>40.68</v>
          </cell>
        </row>
        <row r="608">
          <cell r="A608">
            <v>5797</v>
          </cell>
          <cell r="B608" t="str">
            <v>COMPRESSOR DE AR REBOCÁVEL, VAZÃO 189 PCM, PRESSÃO EFETIVA DE TRABALHO 102 PSI, MOTOR DIESEL, POTÊNCIA 63 CV - MANUTENÇÃO. AF_06/2015</v>
          </cell>
          <cell r="C608" t="str">
            <v>H</v>
          </cell>
          <cell r="D608">
            <v>3.45</v>
          </cell>
        </row>
        <row r="609">
          <cell r="A609">
            <v>5800</v>
          </cell>
          <cell r="B609" t="str">
            <v>BOMBA SUBMERSÍVEL ELÉTRICA TRIFÁSICA, POTÊNCIA 2,96 HP, Ø ROTOR 144 MM SEMI-ABERTO, BOCAL DE SAÍDA Ø 2, HM/Q = 2 MCA / 38,8 M3/H A 28 MCA / 5 M3/H - MANUTENÇÃO. AF_06/2014</v>
          </cell>
          <cell r="C609" t="str">
            <v>H</v>
          </cell>
          <cell r="D609">
            <v>0.28999999999999998</v>
          </cell>
        </row>
        <row r="610">
          <cell r="A610">
            <v>7032</v>
          </cell>
          <cell r="B610" t="str">
            <v>TANQUE DE ASFALTO ESTACIONÁRIO COM SERPENTINA, CAPACIDADE 30.000 L - DEPRECIAÇÃO. AF_06/2014</v>
          </cell>
          <cell r="C610" t="str">
            <v>H</v>
          </cell>
          <cell r="D610">
            <v>3.22</v>
          </cell>
        </row>
        <row r="611">
          <cell r="A611">
            <v>7033</v>
          </cell>
          <cell r="B611" t="str">
            <v>TANQUE DE ASFALTO ESTACIONÁRIO COM SERPENTINA, CAPACIDADE 30.000 L - JUROS. AF_06/2014</v>
          </cell>
          <cell r="C611" t="str">
            <v>H</v>
          </cell>
          <cell r="D611">
            <v>0.53</v>
          </cell>
        </row>
        <row r="612">
          <cell r="A612">
            <v>7034</v>
          </cell>
          <cell r="B612" t="str">
            <v>TANQUE DE ASFALTO ESTACIONÁRIO COM SERPENTINA, CAPACIDADE 30.000 L - MANUTENÇÃO. AF_06/2014</v>
          </cell>
          <cell r="C612" t="str">
            <v>H</v>
          </cell>
          <cell r="D612">
            <v>6.04</v>
          </cell>
        </row>
        <row r="613">
          <cell r="A613">
            <v>7035</v>
          </cell>
          <cell r="B613" t="str">
            <v>TANQUE DE ASFALTO ESTACIONÁRIO COM SERPENTINA, CAPACIDADE 30.000 L - MATERIAIS NA OPERAÇÃO. AF_06/2014</v>
          </cell>
          <cell r="C613" t="str">
            <v>H</v>
          </cell>
          <cell r="D613">
            <v>123.57</v>
          </cell>
        </row>
        <row r="614">
          <cell r="A614">
            <v>7038</v>
          </cell>
          <cell r="B614" t="str">
            <v>ROLO COMPACTADOR DE PNEUS ESTÁTICO, PRESSÃO VARIÁVEL, POTÊNCIA 111 HP, PESO SEM/COM LASTRO 9,5 / 26 T, LARGURA DE TRABALHO 1,90 M - DEPRECIAÇÃO. AF_07/2014</v>
          </cell>
          <cell r="C614" t="str">
            <v>H</v>
          </cell>
          <cell r="D614">
            <v>24.87</v>
          </cell>
        </row>
        <row r="615">
          <cell r="A615">
            <v>7039</v>
          </cell>
          <cell r="B615" t="str">
            <v>ROLO COMPACTADOR DE PNEUS ESTÁTICO, PRESSÃO VARIÁVEL, POTÊNCIA 111 HP, PESO SEM/COM LASTRO 9,5 / 26 T, LARGURA DE TRABALHO 1,90 M - JUROS. AF_07/2014</v>
          </cell>
          <cell r="C615" t="str">
            <v>H</v>
          </cell>
          <cell r="D615">
            <v>3.45</v>
          </cell>
        </row>
        <row r="616">
          <cell r="A616">
            <v>7040</v>
          </cell>
          <cell r="B616" t="str">
            <v>ROLO COMPACTADOR DE PNEUS ESTÁTICO, PRESSÃO VARIÁVEL, POTÊNCIA 111 HP, PESO SEM/COM LASTRO 9,5 / 26 T, LARGURA DE TRABALHO 1,90 M - MANUTENÇÃO. AF_07/2014</v>
          </cell>
          <cell r="C616" t="str">
            <v>H</v>
          </cell>
          <cell r="D616">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v>0.19</v>
          </cell>
        </row>
        <row r="618">
          <cell r="A618">
            <v>7045</v>
          </cell>
          <cell r="B618" t="str">
            <v>MOTOBOMBA TRASH (PARA ÁGUA SUJA) AUTO ESCORVANTE, MOTOR GASOLINA DE 6,41 HP, DIÂMETROS DE SUCÇÃO X RECALQUE: 3" X 3", HM/Q = 10 MCA / 60 M3/H A 23 MCA / 0 M3/H - JUROS. AF_10/2014</v>
          </cell>
          <cell r="C618" t="str">
            <v>H</v>
          </cell>
          <cell r="D618">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v>0.21</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v>6.93</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v>51.62</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v>11.42</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v>2.11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v>21.43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v>47.12</v>
          </cell>
        </row>
        <row r="629">
          <cell r="A629">
            <v>7063</v>
          </cell>
          <cell r="B629" t="str">
            <v>TRATOR DE PNEUS, POTÊNCIA 122 CV, TRAÇÃO 4X4, PESO COM LASTRO DE 4.510 KG - DEPRECIAÇÃO. AF_06/2014</v>
          </cell>
          <cell r="C629" t="str">
            <v>H</v>
          </cell>
          <cell r="D629">
            <v>9.81</v>
          </cell>
        </row>
        <row r="630">
          <cell r="A630">
            <v>7064</v>
          </cell>
          <cell r="B630" t="str">
            <v>TRATOR DE PNEUS, POTÊNCIA 122 CV, TRAÇÃO 4X4, PESO COM LASTRO DE 4.510 KG - JUROS. AF_06/2014</v>
          </cell>
          <cell r="C630" t="str">
            <v>H</v>
          </cell>
          <cell r="D630">
            <v>1.36</v>
          </cell>
        </row>
        <row r="631">
          <cell r="A631">
            <v>7065</v>
          </cell>
          <cell r="B631" t="str">
            <v>TRATOR DE PNEUS, POTÊNCIA 122 CV, TRAÇÃO 4X4, PESO COM LASTRO DE 4.510 KG - MANUTENÇÃO. AF_06/2014</v>
          </cell>
          <cell r="C631" t="str">
            <v>H</v>
          </cell>
          <cell r="D631">
            <v>10.73</v>
          </cell>
        </row>
        <row r="632">
          <cell r="A632">
            <v>7066</v>
          </cell>
          <cell r="B632" t="str">
            <v>TRATOR DE PNEUS, POTÊNCIA 122 CV, TRAÇÃO 4X4, PESO COM LASTRO DE 4.510 KG - MATERIAIS NA OPERAÇÃO. AF_06/2014</v>
          </cell>
          <cell r="C632" t="str">
            <v>H</v>
          </cell>
          <cell r="D632">
            <v>99.4</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v>30.86</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v>33.04</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v>58.57</v>
          </cell>
        </row>
        <row r="636">
          <cell r="A636">
            <v>53794</v>
          </cell>
          <cell r="B636" t="str">
            <v>USINA DE CONCRETO FIXA, CAPACIDADE NOMINAL DE 90 A 120 M3/H, SEM SILO - MANUTENÇÃO. AF_07/2016</v>
          </cell>
          <cell r="C636" t="str">
            <v>H</v>
          </cell>
          <cell r="D636">
            <v>35</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v>67.36</v>
          </cell>
        </row>
        <row r="638">
          <cell r="A638">
            <v>53804</v>
          </cell>
          <cell r="B638" t="str">
            <v>VASSOURA MECÂNICA REBOCÁVEL COM ESCOVA CILÍNDRICA, LARGURA ÚTIL DE VARRIMENTO DE 2,44 M - MANUTENÇÃO. AF_06/2014</v>
          </cell>
          <cell r="C638" t="str">
            <v>H</v>
          </cell>
          <cell r="D638">
            <v>2.5099999999999998</v>
          </cell>
        </row>
        <row r="639">
          <cell r="A639">
            <v>53806</v>
          </cell>
          <cell r="B639" t="str">
            <v>TRATOR DE ESTEIRAS, POTÊNCIA 170 HP, PESO OPERACIONAL 19 T, CAÇAMBA 5,2 M3 - MANUTENÇÃO. AF_06/2014</v>
          </cell>
          <cell r="C639" t="str">
            <v>H</v>
          </cell>
          <cell r="D639">
            <v>43.82</v>
          </cell>
        </row>
        <row r="640">
          <cell r="A640">
            <v>53810</v>
          </cell>
          <cell r="B640" t="str">
            <v>TRATOR DE ESTEIRAS, POTÊNCIA 150 HP, PESO OPERACIONAL 16,7 T, COM RODA MOTRIZ ELEVADA E LÂMINA 3,18 M3 - MANUTENÇÃO. AF_06/2014</v>
          </cell>
          <cell r="C640" t="str">
            <v>H</v>
          </cell>
          <cell r="D640">
            <v>44.09</v>
          </cell>
        </row>
        <row r="641">
          <cell r="A641">
            <v>53814</v>
          </cell>
          <cell r="B641" t="str">
            <v>TRATOR DE ESTEIRAS, POTÊNCIA 347 HP, PESO OPERACIONAL 38,5 T, COM LÂMINA 8,70 M3 - MANUTENÇÃO. AF_06/2014</v>
          </cell>
          <cell r="C641" t="str">
            <v>H</v>
          </cell>
          <cell r="D641">
            <v>144.41999999999999</v>
          </cell>
        </row>
        <row r="642">
          <cell r="A642">
            <v>53817</v>
          </cell>
          <cell r="B642" t="str">
            <v>TRATOR DE ESTEIRAS, POTÊNCIA 100 HP, PESO OPERACIONAL 9,4 T, COM LÂMINA 2,19 M3 - MATERIAIS NA OPERAÇÃO. AF_06/2014</v>
          </cell>
          <cell r="C642" t="str">
            <v>H</v>
          </cell>
          <cell r="D642">
            <v>36.119999999999997</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v>4.8</v>
          </cell>
        </row>
        <row r="644">
          <cell r="A644">
            <v>53827</v>
          </cell>
          <cell r="B644" t="str">
            <v>CAMINHÃO TOCO, PESO BRUTO TOTAL 14.300 KG, CARGA ÚTIL MÁXIMA 9590 KG, DISTÂNCIA ENTRE EIXOS 4,76 M, POTÊNCIA 185 CV (NÃO INCLUI CARROCERIA) - MATERIAIS NA OPERAÇÃO. AF_06/2014</v>
          </cell>
          <cell r="C644" t="str">
            <v>H</v>
          </cell>
          <cell r="D644">
            <v>65.94</v>
          </cell>
        </row>
        <row r="645">
          <cell r="A645">
            <v>53829</v>
          </cell>
          <cell r="B645" t="str">
            <v>CAMINHÃO TOCO, PESO BRUTO TOTAL 16.000 KG, CARGA ÚTIL MÁXIMA DE 10.685 KG, DISTÂNCIA ENTRE EIXOS 4,80 M, POTÊNCIA 189 CV EXCLUSIVE CARROCERIA - MATERIAIS NA OPERAÇÃO. AF_06/2014</v>
          </cell>
          <cell r="C645" t="str">
            <v>H</v>
          </cell>
          <cell r="D645">
            <v>67.36</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v>111.27</v>
          </cell>
        </row>
        <row r="647">
          <cell r="A647">
            <v>53840</v>
          </cell>
          <cell r="B647" t="str">
            <v>GRADE DE DISCO REBOCÁVEL COM 20 DISCOS 24" X 6 MM COM PNEUS PARA TRANSPORTE - DEPRECIAÇÃO. AF_06/2014</v>
          </cell>
          <cell r="C647" t="str">
            <v>H</v>
          </cell>
          <cell r="D647">
            <v>1.36</v>
          </cell>
        </row>
        <row r="648">
          <cell r="A648">
            <v>53841</v>
          </cell>
          <cell r="B648" t="str">
            <v>GRADE DE DISCO REBOCÁVEL COM 20 DISCOS 24" X 6 MM COM PNEUS PARA TRANSPORTE - MANUTENÇÃO. AF_06/2014</v>
          </cell>
          <cell r="C648" t="str">
            <v>H</v>
          </cell>
          <cell r="D648">
            <v>0.94</v>
          </cell>
        </row>
        <row r="649">
          <cell r="A649">
            <v>53849</v>
          </cell>
          <cell r="B649" t="str">
            <v>MOTONIVELADORA POTÊNCIA BÁSICA LÍQUIDA (PRIMEIRA MARCHA) 125 HP, PESO BRUTO 13032 KG, LARGURA DA LÂMINA DE 3,7 M - MATERIAIS NA OPERAÇÃO. AF_06/2014</v>
          </cell>
          <cell r="C649" t="str">
            <v>H</v>
          </cell>
          <cell r="D649">
            <v>48.4</v>
          </cell>
        </row>
        <row r="650">
          <cell r="A650">
            <v>53857</v>
          </cell>
          <cell r="B650" t="str">
            <v>PÁ CARREGADEIRA SOBRE RODAS, POTÊNCIA LÍQUIDA 128 HP, CAPACIDADE DA CAÇAMBA 1,7 A 2,8 M3, PESO OPERACIONAL 11632 KG - MANUTENÇÃO. AF_06/2014</v>
          </cell>
          <cell r="C650" t="str">
            <v>H</v>
          </cell>
          <cell r="D650">
            <v>26.94</v>
          </cell>
        </row>
        <row r="651">
          <cell r="A651">
            <v>53858</v>
          </cell>
          <cell r="B651" t="str">
            <v>PÁ CARREGADEIRA SOBRE RODAS, POTÊNCIA LÍQUIDA 128 HP, CAPACIDADE DA CAÇAMBA 1,7 A 2,8 M3, PESO OPERACIONAL 11632 KG - MATERIAIS NA OPERAÇÃO. AF_06/2014</v>
          </cell>
          <cell r="C651" t="str">
            <v>H</v>
          </cell>
          <cell r="D651">
            <v>46.26</v>
          </cell>
        </row>
        <row r="652">
          <cell r="A652">
            <v>53861</v>
          </cell>
          <cell r="B652" t="str">
            <v>PÁ CARREGADEIRA SOBRE RODAS, POTÊNCIA 197 HP, CAPACIDADE DA CAÇAMBA 2,5 A 3,5 M3, PESO OPERACIONAL 18338 KG - MANUTENÇÃO. AF_06/2014</v>
          </cell>
          <cell r="C652" t="str">
            <v>H</v>
          </cell>
          <cell r="D652">
            <v>37.36</v>
          </cell>
        </row>
        <row r="653">
          <cell r="A653">
            <v>53863</v>
          </cell>
          <cell r="B653" t="str">
            <v>MARTELETE OU ROMPEDOR PNEUMÁTICO MANUAL, 28 KG, COM SILENCIADOR - MANUTENÇÃO. AF_07/2016</v>
          </cell>
          <cell r="C653" t="str">
            <v>H</v>
          </cell>
          <cell r="D653">
            <v>1.96</v>
          </cell>
        </row>
        <row r="654">
          <cell r="A654">
            <v>53865</v>
          </cell>
          <cell r="B654" t="str">
            <v>COMPRESSOR DE AR REBOCÁVEL, VAZÃO 189 PCM, PRESSÃO EFETIVA DE TRABALHO 102 PSI, MOTOR DIESEL, POTÊNCIA 63 CV - MATERIAIS NA OPERAÇÃO. AF_06/2015</v>
          </cell>
          <cell r="C654" t="str">
            <v>H</v>
          </cell>
          <cell r="D654">
            <v>27.26</v>
          </cell>
        </row>
        <row r="655">
          <cell r="A655">
            <v>53866</v>
          </cell>
          <cell r="B655" t="str">
            <v>BOMBA SUBMERSÍVEL ELÉTRICA TRIFÁSICA, POTÊNCIA 2,96 HP, Ø ROTOR 144 MM SEMI-ABERTO, BOCAL DE SAÍDA Ø 2, HM/Q = 2 MCA / 38,8 M3/H A 28 MCA / 5 M3/H - MATERIAIS NA OPERAÇÃO. AF_06/2014</v>
          </cell>
          <cell r="C655" t="str">
            <v>H</v>
          </cell>
          <cell r="D655">
            <v>1.56</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v>17.48</v>
          </cell>
        </row>
        <row r="657">
          <cell r="A657">
            <v>55263</v>
          </cell>
          <cell r="B657" t="str">
            <v>ROLO COMPACTADOR DE PNEUS ESTÁTICO, PRESSÃO VARIÁVEL, POTÊNCIA 111 HP, PESO SEM/COM LASTRO 9,5 / 26 T, LARGURA DE TRABALHO 1,90 M - MATERIAIS NA OPERAÇÃO. AF_07/2014</v>
          </cell>
          <cell r="C657" t="str">
            <v>H</v>
          </cell>
          <cell r="D657">
            <v>37.26</v>
          </cell>
        </row>
        <row r="658">
          <cell r="A658">
            <v>73303</v>
          </cell>
          <cell r="B658" t="str">
            <v>GRUPO GERADOR ESTACIONÁRIO, MOTOR DIESEL POTÊNCIA 170 KVA - DEPRECIAÇÃO. AF_02/2016</v>
          </cell>
          <cell r="C658" t="str">
            <v>H</v>
          </cell>
          <cell r="D658">
            <v>4.3899999999999997</v>
          </cell>
        </row>
        <row r="659">
          <cell r="A659">
            <v>73307</v>
          </cell>
          <cell r="B659" t="str">
            <v>GRUPO GERADOR ESTACIONÁRIO, MOTOR DIESEL POTÊNCIA 170 KVA - MANUTENÇÃO. AF_02/2016</v>
          </cell>
          <cell r="C659" t="str">
            <v>H</v>
          </cell>
          <cell r="D659">
            <v>3.91</v>
          </cell>
        </row>
        <row r="660">
          <cell r="A660">
            <v>73309</v>
          </cell>
          <cell r="B660" t="str">
            <v>ROLO COMPACTADOR VIBRATÓRIO PÉ DE CARNEIRO PARA SOLOS, POTÊNCIA 80 HP, PESO OPERACIONAL SEM/COM LASTRO 7,4 / 8,8 T, LARGURA DE TRABALHO 1,68 M - DEPRECIAÇÃO. AF_02/2016</v>
          </cell>
          <cell r="C660" t="str">
            <v>H</v>
          </cell>
          <cell r="D660">
            <v>16.55</v>
          </cell>
        </row>
        <row r="661">
          <cell r="A661">
            <v>73311</v>
          </cell>
          <cell r="B661" t="str">
            <v>GRUPO GERADOR ESTACIONÁRIO, MOTOR DIESEL POTÊNCIA 170 KVA - MATERIAIS NA OPERAÇÃO. AF_02/2016</v>
          </cell>
          <cell r="C661" t="str">
            <v>H</v>
          </cell>
          <cell r="D661">
            <v>103</v>
          </cell>
        </row>
        <row r="662">
          <cell r="A662">
            <v>73313</v>
          </cell>
          <cell r="B662" t="str">
            <v>ROLO COMPACTADOR VIBRATÓRIO PÉ DE CARNEIRO PARA SOLOS, POTÊNCIA 80 HP, PESO OPERACIONAL SEM/COM LASTRO 7,4 / 8,8 T, LARGURA DE TRABALHO 1,68 M - JUROS. AF_02/2016</v>
          </cell>
          <cell r="C662" t="str">
            <v>H</v>
          </cell>
          <cell r="D662">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v>33.04</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v>16.510000000000002</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v>47.12</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v>10.210000000000001</v>
          </cell>
        </row>
        <row r="667">
          <cell r="A667">
            <v>83761</v>
          </cell>
          <cell r="B667" t="str">
            <v>GRUPO DE SOLDAGEM COM GERADOR A DIESEL 60 CV PARA SOLDA ELÉTRICA, SOBRE 04 RODAS, COM MOTOR 4 CILINDROS 600 A - DEPRECIAÇÃO. AF_02/2016</v>
          </cell>
          <cell r="C667" t="str">
            <v>H</v>
          </cell>
          <cell r="D667">
            <v>9.36</v>
          </cell>
        </row>
        <row r="668">
          <cell r="A668">
            <v>83762</v>
          </cell>
          <cell r="B668" t="str">
            <v>GRUPO DE SOLDAGEM COM GERADOR A DIESEL 60 CV PARA SOLDA ELÉTRICA, SOBRE 04 RODAS, COM MOTOR 4 CILINDROS 600 A - MANUTENÇÃO. AF_02/2016</v>
          </cell>
          <cell r="C668" t="str">
            <v>H</v>
          </cell>
          <cell r="D668">
            <v>11.7</v>
          </cell>
        </row>
        <row r="669">
          <cell r="A669">
            <v>83763</v>
          </cell>
          <cell r="B669" t="str">
            <v>GRUPO DE SOLDAGEM COM GERADOR A DIESEL 60 CV PARA SOLDA ELÉTRICA, SOBRE 04 RODAS, COM MOTOR 4 CILINDROS 600 A - MATERIAIS NA OPERAÇÃO. AF_02/2016</v>
          </cell>
          <cell r="C669" t="str">
            <v>H</v>
          </cell>
          <cell r="D669">
            <v>29.02</v>
          </cell>
        </row>
        <row r="670">
          <cell r="A670">
            <v>83764</v>
          </cell>
          <cell r="B670" t="str">
            <v>GRUPO DE SOLDAGEM COM GERADOR A DIESEL 60 CV PARA SOLDA ELÉTRICA, SOBRE 04 RODAS, COM MOTOR 4 CILINDROS 600 A - JUROS. AF_02/2016</v>
          </cell>
          <cell r="C670" t="str">
            <v>H</v>
          </cell>
          <cell r="D670">
            <v>1.05</v>
          </cell>
        </row>
        <row r="671">
          <cell r="A671">
            <v>87026</v>
          </cell>
          <cell r="B671" t="str">
            <v>GRADE DE DISCO REBOCÁVEL COM 20 DISCOS 24" X 6 MM COM PNEUS PARA TRANSPORTE - JUROS. AF_06/2014</v>
          </cell>
          <cell r="C671" t="str">
            <v>H</v>
          </cell>
          <cell r="D671">
            <v>0.19</v>
          </cell>
        </row>
        <row r="672">
          <cell r="A672">
            <v>87441</v>
          </cell>
          <cell r="B672" t="str">
            <v>BETONEIRA CAPACIDADE NOMINAL 400 L, CAPACIDADE DE MISTURA 310 L, MOTOR A DIESEL POTÊNCIA 5,0 HP, SEM CARREGADOR - DEPRECIAÇÃO. AF_06/2014</v>
          </cell>
          <cell r="C672" t="str">
            <v>H</v>
          </cell>
          <cell r="D672">
            <v>0.31</v>
          </cell>
        </row>
        <row r="673">
          <cell r="A673">
            <v>87442</v>
          </cell>
          <cell r="B673" t="str">
            <v>BETONEIRA CAPACIDADE NOMINAL 400 L, CAPACIDADE DE MISTURA 310 L, MOTOR A DIESEL POTÊNCIA 5,0 HP, SEM CARREGADOR - JUROS. AF_06/2014</v>
          </cell>
          <cell r="C673" t="str">
            <v>H</v>
          </cell>
          <cell r="D673">
            <v>0.03</v>
          </cell>
        </row>
        <row r="674">
          <cell r="A674">
            <v>87443</v>
          </cell>
          <cell r="B674" t="str">
            <v>BETONEIRA CAPACIDADE NOMINAL 400 L, CAPACIDADE DE MISTURA 310 L, MOTOR A DIESEL POTÊNCIA 5,0 HP, SEM CARREGADOR - MANUTENÇÃO. AF_06/2014</v>
          </cell>
          <cell r="C674" t="str">
            <v>H</v>
          </cell>
          <cell r="D674">
            <v>0.28999999999999998</v>
          </cell>
        </row>
        <row r="675">
          <cell r="A675">
            <v>87444</v>
          </cell>
          <cell r="B675" t="str">
            <v>BETONEIRA CAPACIDADE NOMINAL 400 L, CAPACIDADE DE MISTURA 310 L, MOTOR A DIESEL POTÊNCIA 5,0 HP, SEM CARREGADOR - MATERIAIS NA OPERAÇÃO. AF_06/2014</v>
          </cell>
          <cell r="C675" t="str">
            <v>H</v>
          </cell>
          <cell r="D675">
            <v>2.4500000000000002</v>
          </cell>
        </row>
        <row r="676">
          <cell r="A676">
            <v>88387</v>
          </cell>
          <cell r="B676" t="str">
            <v>MISTURADOR DE ARGAMASSA, EIXO HORIZONTAL, CAPACIDADE DE MISTURA 300 KG, MOTOR ELÉTRICO POTÊNCIA 5 CV - DEPRECIAÇÃO. AF_06/2014</v>
          </cell>
          <cell r="C676" t="str">
            <v>H</v>
          </cell>
          <cell r="D676">
            <v>0.61</v>
          </cell>
        </row>
        <row r="677">
          <cell r="A677">
            <v>88389</v>
          </cell>
          <cell r="B677" t="str">
            <v>MISTURADOR DE ARGAMASSA, EIXO HORIZONTAL, CAPACIDADE DE MISTURA 300 KG, MOTOR ELÉTRICO POTÊNCIA 5 CV - JUROS. AF_06/2014</v>
          </cell>
          <cell r="C677" t="str">
            <v>H</v>
          </cell>
          <cell r="D677">
            <v>7.0000000000000007E-2</v>
          </cell>
        </row>
        <row r="678">
          <cell r="A678">
            <v>88390</v>
          </cell>
          <cell r="B678" t="str">
            <v>MISTURADOR DE ARGAMASSA, EIXO HORIZONTAL, CAPACIDADE DE MISTURA 300 KG, MOTOR ELÉTRICO POTÊNCIA 5 CV - MANUTENÇÃO. AF_06/2014</v>
          </cell>
          <cell r="C678" t="str">
            <v>H</v>
          </cell>
          <cell r="D678">
            <v>0.76</v>
          </cell>
        </row>
        <row r="679">
          <cell r="A679">
            <v>88391</v>
          </cell>
          <cell r="B679" t="str">
            <v>MISTURADOR DE ARGAMASSA, EIXO HORIZONTAL, CAPACIDADE DE MISTURA 300 KG, MOTOR ELÉTRICO POTÊNCIA 5 CV - MATERIAIS NA OPERAÇÃO. AF_06/2014</v>
          </cell>
          <cell r="C679" t="str">
            <v>H</v>
          </cell>
          <cell r="D679">
            <v>2.5299999999999998</v>
          </cell>
        </row>
        <row r="680">
          <cell r="A680">
            <v>88394</v>
          </cell>
          <cell r="B680" t="str">
            <v>MISTURADOR DE ARGAMASSA, EIXO HORIZONTAL, CAPACIDADE DE MISTURA 600 KG, MOTOR ELÉTRICO POTÊNCIA 7,5 CV - DEPRECIAÇÃO. AF_06/2014</v>
          </cell>
          <cell r="C680" t="str">
            <v>H</v>
          </cell>
          <cell r="D680">
            <v>0.73</v>
          </cell>
        </row>
        <row r="681">
          <cell r="A681">
            <v>88395</v>
          </cell>
          <cell r="B681" t="str">
            <v>MISTURADOR DE ARGAMASSA, EIXO HORIZONTAL, CAPACIDADE DE MISTURA 600 KG, MOTOR ELÉTRICO POTÊNCIA 7,5 CV - JUROS. AF_06/2014</v>
          </cell>
          <cell r="C681" t="str">
            <v>H</v>
          </cell>
          <cell r="D681">
            <v>0.08</v>
          </cell>
        </row>
        <row r="682">
          <cell r="A682">
            <v>88396</v>
          </cell>
          <cell r="B682" t="str">
            <v>MISTURADOR DE ARGAMASSA, EIXO HORIZONTAL, CAPACIDADE DE MISTURA 600 KG, MOTOR ELÉTRICO POTÊNCIA 7,5 CV - MANUTENÇÃO. AF_06/2014</v>
          </cell>
          <cell r="C682" t="str">
            <v>H</v>
          </cell>
          <cell r="D682">
            <v>0.91</v>
          </cell>
        </row>
        <row r="683">
          <cell r="A683">
            <v>88397</v>
          </cell>
          <cell r="B683" t="str">
            <v>MISTURADOR DE ARGAMASSA, EIXO HORIZONTAL, CAPACIDADE DE MISTURA 600 KG, MOTOR ELÉTRICO POTÊNCIA 7,5 CV - MATERIAIS NA OPERAÇÃO. AF_06/2014</v>
          </cell>
          <cell r="C683" t="str">
            <v>H</v>
          </cell>
          <cell r="D683">
            <v>3.79</v>
          </cell>
        </row>
        <row r="684">
          <cell r="A684">
            <v>88400</v>
          </cell>
          <cell r="B684" t="str">
            <v>MISTURADOR DE ARGAMASSA, EIXO HORIZONTAL, CAPACIDADE DE MISTURA 160 KG, MOTOR ELÉTRICO POTÊNCIA 3 CV - DEPRECIAÇÃO. AF_06/2014</v>
          </cell>
          <cell r="C684" t="str">
            <v>H</v>
          </cell>
          <cell r="D684">
            <v>0.57999999999999996</v>
          </cell>
        </row>
        <row r="685">
          <cell r="A685">
            <v>88401</v>
          </cell>
          <cell r="B685" t="str">
            <v>MISTURADOR DE ARGAMASSA, EIXO HORIZONTAL, CAPACIDADE DE MISTURA 160 KG, MOTOR ELÉTRICO POTÊNCIA 3 CV - JUROS. AF_06/2014</v>
          </cell>
          <cell r="C685" t="str">
            <v>H</v>
          </cell>
          <cell r="D685">
            <v>0.06</v>
          </cell>
        </row>
        <row r="686">
          <cell r="A686">
            <v>88402</v>
          </cell>
          <cell r="B686" t="str">
            <v>MISTURADOR DE ARGAMASSA, EIXO HORIZONTAL, CAPACIDADE DE MISTURA 160 KG, MOTOR ELÉTRICO POTÊNCIA 3 CV - MANUTENÇÃO. AF_06/2014</v>
          </cell>
          <cell r="C686" t="str">
            <v>H</v>
          </cell>
          <cell r="D686">
            <v>0.72</v>
          </cell>
        </row>
        <row r="687">
          <cell r="A687">
            <v>88403</v>
          </cell>
          <cell r="B687" t="str">
            <v>MISTURADOR DE ARGAMASSA, EIXO HORIZONTAL, CAPACIDADE DE MISTURA 160 KG, MOTOR ELÉTRICO POTÊNCIA 3 CV - MATERIAIS NA OPERAÇÃO. AF_06/2014</v>
          </cell>
          <cell r="C687" t="str">
            <v>H</v>
          </cell>
          <cell r="D687">
            <v>1.52</v>
          </cell>
        </row>
        <row r="688">
          <cell r="A688">
            <v>88419</v>
          </cell>
          <cell r="B688" t="str">
            <v>PROJETOR DE ARGAMASSA, CAPACIDADE DE PROJEÇÃO 1,5 M3/H, ALCANCE DE 30 ATÉ 60 M, MOTOR ELÉTRICO POTÊNCIA 7,5 HP - DEPRECIAÇÃO. AF_06/2014</v>
          </cell>
          <cell r="C688" t="str">
            <v>H</v>
          </cell>
          <cell r="D688">
            <v>3.77</v>
          </cell>
        </row>
        <row r="689">
          <cell r="A689">
            <v>88422</v>
          </cell>
          <cell r="B689" t="str">
            <v>PROJETOR DE ARGAMASSA, CAPACIDADE DE PROJEÇÃO 1,5 M3/H, ALCANCE DE 30 ATÉ 60 M, MOTOR ELÉTRICO POTÊNCIA 7,5 HP - JUROS. AF_06/2014</v>
          </cell>
          <cell r="C689" t="str">
            <v>H</v>
          </cell>
          <cell r="D689">
            <v>0.44</v>
          </cell>
        </row>
        <row r="690">
          <cell r="A690">
            <v>88425</v>
          </cell>
          <cell r="B690" t="str">
            <v>PROJETOR DE ARGAMASSA, CAPACIDADE DE PROJEÇÃO 1,5 M3/H, ALCANCE DE 30 ATÉ 60 M, MOTOR ELÉTRICO POTÊNCIA 7,5 HP - MANUTENÇÃO. AF_06/2014</v>
          </cell>
          <cell r="C690" t="str">
            <v>H</v>
          </cell>
          <cell r="D690">
            <v>4.13</v>
          </cell>
        </row>
        <row r="691">
          <cell r="A691">
            <v>88427</v>
          </cell>
          <cell r="B691" t="str">
            <v>PROJETOR DE ARGAMASSA, CAPACIDADE DE PROJEÇÃO 1,5 M3/H, ALCANCE DE 30 ATÉ 60 M, MOTOR ELÉTRICO POTÊNCIA 7,5 HP - MATERIAIS NA OPERAÇÃO. AF_06/2014</v>
          </cell>
          <cell r="C691" t="str">
            <v>H</v>
          </cell>
          <cell r="D691">
            <v>3.85</v>
          </cell>
        </row>
        <row r="692">
          <cell r="A692">
            <v>88434</v>
          </cell>
          <cell r="B692" t="str">
            <v>PROJETOR DE ARGAMASSA, CAPACIDADE DE PROJEÇÃO 2 M3/H, ALCANCE ATÉ 50 M, MOTOR ELÉTRICO POTÊNCIA 7,5 HP - DEPRECIAÇÃO. AF_06/2014</v>
          </cell>
          <cell r="C692" t="str">
            <v>H</v>
          </cell>
          <cell r="D692">
            <v>5</v>
          </cell>
        </row>
        <row r="693">
          <cell r="A693">
            <v>88435</v>
          </cell>
          <cell r="B693" t="str">
            <v>PROJETOR DE ARGAMASSA, CAPACIDADE DE PROJEÇÃO 2 M3/H, ALCANCE ATÉ 50 M, MOTOR ELÉTRICO POTÊNCIA 7,5 HP - JUROS. AF_06/2014</v>
          </cell>
          <cell r="C693" t="str">
            <v>H</v>
          </cell>
          <cell r="D693">
            <v>0.59</v>
          </cell>
        </row>
        <row r="694">
          <cell r="A694">
            <v>88436</v>
          </cell>
          <cell r="B694" t="str">
            <v>PROJETOR DE ARGAMASSA, CAPACIDADE DE PROJEÇÃO 2 M3/H, ALCANCE ATÉ 50 M, MOTOR ELÉTRICO POTÊNCIA 7,5 HP - MANUTENÇÃO. AF_06/2014</v>
          </cell>
          <cell r="C694" t="str">
            <v>H</v>
          </cell>
          <cell r="D694">
            <v>5.47</v>
          </cell>
        </row>
        <row r="695">
          <cell r="A695">
            <v>88437</v>
          </cell>
          <cell r="B695" t="str">
            <v>PROJETOR DE ARGAMASSA, CAPACIDADE DE PROJEÇÃO 2 M3/H, ALCANCE ATÉ 50 M, MOTOR ELÉTRICO POTÊNCIA 7,5 HP - MATERIAIS NA OPERAÇÃO. AF_06/2014</v>
          </cell>
          <cell r="C695" t="str">
            <v>H</v>
          </cell>
          <cell r="D695">
            <v>3.85</v>
          </cell>
        </row>
        <row r="696">
          <cell r="A696">
            <v>88569</v>
          </cell>
          <cell r="B696" t="str">
            <v>ESPARGIDOR DE ASFALTO PRESSURIZADO COM TANQUE DE 2500 L, REBOCÁVEL COM MOTOR A GASOLINA POTÊNCIA 3,4 HP - DEPRECIAÇÃO. AF_07/2014</v>
          </cell>
          <cell r="C696" t="str">
            <v>H</v>
          </cell>
          <cell r="D696">
            <v>2.46</v>
          </cell>
        </row>
        <row r="697">
          <cell r="A697">
            <v>88570</v>
          </cell>
          <cell r="B697" t="str">
            <v>ESPARGIDOR DE ASFALTO PRESSURIZADO COM TANQUE DE 2500 L, REBOCÁVEL COM MOTOR A GASOLINA POTÊNCIA 3,4 HP - JUROS. AF_07/2014</v>
          </cell>
          <cell r="C697" t="str">
            <v>H</v>
          </cell>
          <cell r="D697">
            <v>0.53</v>
          </cell>
        </row>
        <row r="698">
          <cell r="A698">
            <v>88826</v>
          </cell>
          <cell r="B698" t="str">
            <v>BETONEIRA CAPACIDADE NOMINAL DE 400 L, CAPACIDADE DE MISTURA 280 L, MOTOR ELÉTRICO TRIFÁSICO POTÊNCIA DE 2 CV, SEM CARREGADOR - DEPRECIAÇÃO. AF_10/2014</v>
          </cell>
          <cell r="C698" t="str">
            <v>H</v>
          </cell>
          <cell r="D698">
            <v>0.23</v>
          </cell>
        </row>
        <row r="699">
          <cell r="A699">
            <v>88827</v>
          </cell>
          <cell r="B699" t="str">
            <v>BETONEIRA CAPACIDADE NOMINAL DE 400 L, CAPACIDADE DE MISTURA 280 L, MOTOR ELÉTRICO TRIFÁSICO POTÊNCIA DE 2 CV, SEM CARREGADOR - JUROS. AF_10/2014</v>
          </cell>
          <cell r="C699" t="str">
            <v>H</v>
          </cell>
          <cell r="D699">
            <v>0.02</v>
          </cell>
        </row>
        <row r="700">
          <cell r="A700">
            <v>88828</v>
          </cell>
          <cell r="B700" t="str">
            <v>BETONEIRA CAPACIDADE NOMINAL DE 400 L, CAPACIDADE DE MISTURA 280 L, MOTOR ELÉTRICO TRIFÁSICO POTÊNCIA DE 2 CV, SEM CARREGADOR - MANUTENÇÃO. AF_10/2014</v>
          </cell>
          <cell r="C700" t="str">
            <v>H</v>
          </cell>
          <cell r="D700">
            <v>0.21</v>
          </cell>
        </row>
        <row r="701">
          <cell r="A701">
            <v>88829</v>
          </cell>
          <cell r="B701" t="str">
            <v>BETONEIRA CAPACIDADE NOMINAL DE 400 L, CAPACIDADE DE MISTURA 280 L, MOTOR ELÉTRICO TRIFÁSICO POTÊNCIA DE 2 CV, SEM CARREGADOR - MATERIAIS NA OPERAÇÃO. AF_10/2014</v>
          </cell>
          <cell r="C701" t="str">
            <v>H</v>
          </cell>
          <cell r="D701">
            <v>1.01</v>
          </cell>
        </row>
        <row r="702">
          <cell r="A702">
            <v>88832</v>
          </cell>
          <cell r="B702" t="str">
            <v>ESCAVADEIRA HIDRÁULICA SOBRE ESTEIRAS, CAÇAMBA 0,80 M3, PESO OPERACIONAL 17,8 T, POTÊNCIA LÍQUIDA 110 HP - DEPRECIAÇÃO. AF_10/2014</v>
          </cell>
          <cell r="C702" t="str">
            <v>H</v>
          </cell>
          <cell r="D702">
            <v>24.04</v>
          </cell>
        </row>
        <row r="703">
          <cell r="A703">
            <v>88834</v>
          </cell>
          <cell r="B703" t="str">
            <v>ESCAVADEIRA HIDRÁULICA SOBRE ESTEIRAS, CAÇAMBA 0,80 M3, PESO OPERACIONAL 17,8 T, POTÊNCIA LÍQUIDA 110 HP - JUROS. AF_10/2014</v>
          </cell>
          <cell r="C703" t="str">
            <v>H</v>
          </cell>
          <cell r="D703">
            <v>3.26</v>
          </cell>
        </row>
        <row r="704">
          <cell r="A704">
            <v>88835</v>
          </cell>
          <cell r="B704" t="str">
            <v>ESCAVADEIRA HIDRÁULICA SOBRE ESTEIRAS, CAÇAMBA 0,80 M3, PESO OPERACIONAL 17,8 T, POTÊNCIA LÍQUIDA 110 HP - MANUTENÇÃO. AF_10/2014</v>
          </cell>
          <cell r="C704" t="str">
            <v>H</v>
          </cell>
          <cell r="D704">
            <v>30.05</v>
          </cell>
        </row>
        <row r="705">
          <cell r="A705">
            <v>88836</v>
          </cell>
          <cell r="B705" t="str">
            <v>ESCAVADEIRA HIDRÁULICA SOBRE ESTEIRAS, CAÇAMBA 0,80 M3, PESO OPERACIONAL 17,8 T, POTÊNCIA LÍQUIDA 110 HP - MATERIAIS NA OPERAÇÃO. AF_10/2014</v>
          </cell>
          <cell r="C705" t="str">
            <v>H</v>
          </cell>
          <cell r="D705">
            <v>36.909999999999997</v>
          </cell>
        </row>
        <row r="706">
          <cell r="A706">
            <v>88839</v>
          </cell>
          <cell r="B706" t="str">
            <v>TRATOR DE ESTEIRAS, POTÊNCIA 125 HP, PESO OPERACIONAL 12,9 T, COM LÂMINA 2,7 M3 - DEPRECIAÇÃO. AF_10/2014</v>
          </cell>
          <cell r="C706" t="str">
            <v>H</v>
          </cell>
          <cell r="D706">
            <v>19.91</v>
          </cell>
        </row>
        <row r="707">
          <cell r="A707">
            <v>88840</v>
          </cell>
          <cell r="B707" t="str">
            <v>TRATOR DE ESTEIRAS, POTÊNCIA 125 HP, PESO OPERACIONAL 12,9 T, COM LÂMINA 2,7 M3 - JUROS. AF_10/2014</v>
          </cell>
          <cell r="C707" t="str">
            <v>H</v>
          </cell>
          <cell r="D707">
            <v>4.4800000000000004</v>
          </cell>
        </row>
        <row r="708">
          <cell r="A708">
            <v>88841</v>
          </cell>
          <cell r="B708" t="str">
            <v>TRATOR DE ESTEIRAS, POTÊNCIA 125 HP, PESO OPERACIONAL 12,9 T, COM LÂMINA 2,7 M3 - MANUTENÇÃO. AF_10/2014</v>
          </cell>
          <cell r="C708" t="str">
            <v>H</v>
          </cell>
          <cell r="D708">
            <v>35.590000000000003</v>
          </cell>
        </row>
        <row r="709">
          <cell r="A709">
            <v>88842</v>
          </cell>
          <cell r="B709" t="str">
            <v>TRATOR DE ESTEIRAS, POTÊNCIA 125 HP, PESO OPERACIONAL 12,9 T, COM LÂMINA 2,7 M3 - MATERIAIS NA OPERAÇÃO. AF_10/2014</v>
          </cell>
          <cell r="C709" t="str">
            <v>H</v>
          </cell>
          <cell r="D709">
            <v>45.18</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v>3.05</v>
          </cell>
        </row>
        <row r="712">
          <cell r="A712">
            <v>88853</v>
          </cell>
          <cell r="B712" t="str">
            <v>MOTOBOMBA CENTRÍFUGA, MOTOR A GASOLINA, POTÊNCIA 5,42 HP, BOCAIS 1 1/2" X 1", DIÂMETRO ROTOR 143 MM HM/Q = 6 MCA / 16,8 M3/H A 38 MCA / 6,6 M3/H - DEPRECIAÇÃO. AF_06/2014</v>
          </cell>
          <cell r="C712" t="str">
            <v>H</v>
          </cell>
          <cell r="D712">
            <v>0.15</v>
          </cell>
        </row>
        <row r="713">
          <cell r="A713">
            <v>88854</v>
          </cell>
          <cell r="B713" t="str">
            <v>MOTOBOMBA CENTRÍFUGA, MOTOR A GASOLINA, POTÊNCIA 5,42 HP, BOCAIS 1 1/2" X 1", DIÂMETRO ROTOR 143 MM HM/Q = 6 MCA / 16,8 M3/H A 38 MCA / 6,6 M3/H - JUROS. AF_06/2014</v>
          </cell>
          <cell r="C713" t="str">
            <v>H</v>
          </cell>
          <cell r="D713">
            <v>0.01</v>
          </cell>
        </row>
        <row r="714">
          <cell r="A714">
            <v>88855</v>
          </cell>
          <cell r="B714" t="str">
            <v>GRADE DE DISCO CONTROLE REMOTO REBOCÁVEL, COM 24 DISCOS 24 X 6 MM COM PNEUS PARA TRANSPORTE - DEPRECIAÇÃO. AF_06/2014</v>
          </cell>
          <cell r="C714" t="str">
            <v>H</v>
          </cell>
          <cell r="D714">
            <v>1.74</v>
          </cell>
        </row>
        <row r="715">
          <cell r="A715">
            <v>88856</v>
          </cell>
          <cell r="B715" t="str">
            <v>GRADE DE DISCO CONTROLE REMOTO REBOCÁVEL, COM 24 DISCOS 24 X 6 MM COM PNEUS PARA TRANSPORTE - JUROS. AF_06/2014</v>
          </cell>
          <cell r="C715" t="str">
            <v>H</v>
          </cell>
          <cell r="D715">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v>1.75</v>
          </cell>
        </row>
        <row r="720">
          <cell r="A720">
            <v>88900</v>
          </cell>
          <cell r="B720" t="str">
            <v>ESCAVADEIRA HIDRÁULICA SOBRE ESTEIRAS, CAÇAMBA 1,20 M3, PESO OPERACIONAL 21 T, POTÊNCIA BRUTA 155 HP - DEPRECIAÇÃO. AF_06/2014</v>
          </cell>
          <cell r="C720" t="str">
            <v>H</v>
          </cell>
          <cell r="D720">
            <v>28.03</v>
          </cell>
        </row>
        <row r="721">
          <cell r="A721">
            <v>88902</v>
          </cell>
          <cell r="B721" t="str">
            <v>ESCAVADEIRA HIDRÁULICA SOBRE ESTEIRAS, CAÇAMBA 1,20 M3, PESO OPERACIONAL 21 T, POTÊNCIA BRUTA 155 HP - JUROS. AF_06/2014</v>
          </cell>
          <cell r="C721" t="str">
            <v>H</v>
          </cell>
          <cell r="D721">
            <v>3.8</v>
          </cell>
        </row>
        <row r="722">
          <cell r="A722">
            <v>88903</v>
          </cell>
          <cell r="B722" t="str">
            <v>ESCAVADEIRA HIDRÁULICA SOBRE ESTEIRAS, CAÇAMBA 1,20 M3, PESO OPERACIONAL 21 T, POTÊNCIA BRUTA 155 HP - MANUTENÇÃO. AF_06/2014</v>
          </cell>
          <cell r="C722" t="str">
            <v>H</v>
          </cell>
          <cell r="D722">
            <v>35.04</v>
          </cell>
        </row>
        <row r="723">
          <cell r="A723">
            <v>88904</v>
          </cell>
          <cell r="B723" t="str">
            <v>ESCAVADEIRA HIDRÁULICA SOBRE ESTEIRAS, CAÇAMBA 1,20 M3, PESO OPERACIONAL 21 T, POTÊNCIA BRUTA 155 HP - MATERIAIS NA OPERAÇÃO. AF_06/2014</v>
          </cell>
          <cell r="C723" t="str">
            <v>H</v>
          </cell>
          <cell r="D723">
            <v>52</v>
          </cell>
        </row>
        <row r="724">
          <cell r="A724">
            <v>89009</v>
          </cell>
          <cell r="B724" t="str">
            <v>TRATOR DE ESTEIRAS, POTÊNCIA 150 HP, PESO OPERACIONAL 16,7 T, COM RODA MOTRIZ ELEVADA E LÂMINA 3,18 M3 - DEPRECIAÇÃO. AF_06/2014</v>
          </cell>
          <cell r="C724" t="str">
            <v>H</v>
          </cell>
          <cell r="D724">
            <v>24.66</v>
          </cell>
        </row>
        <row r="725">
          <cell r="A725">
            <v>89010</v>
          </cell>
          <cell r="B725" t="str">
            <v>TRATOR DE ESTEIRAS, POTÊNCIA 150 HP, PESO OPERACIONAL 16,7 T, COM RODA MOTRIZ ELEVADA E LÂMINA 3,18 M3 - JUROS. AF_06/2014</v>
          </cell>
          <cell r="C725" t="str">
            <v>H</v>
          </cell>
          <cell r="D725">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v>1.9</v>
          </cell>
        </row>
        <row r="728">
          <cell r="A728">
            <v>89013</v>
          </cell>
          <cell r="B728" t="str">
            <v>TRATOR DE ESTEIRAS, POTÊNCIA 347 HP, PESO OPERACIONAL 38,5 T, COM LÂMINA 8,70 M3 - DEPRECIAÇÃO. AF_06/2014</v>
          </cell>
          <cell r="C728" t="str">
            <v>H</v>
          </cell>
          <cell r="D728">
            <v>80.78</v>
          </cell>
        </row>
        <row r="729">
          <cell r="A729">
            <v>89014</v>
          </cell>
          <cell r="B729" t="str">
            <v>TRATOR DE ESTEIRAS, POTÊNCIA 347 HP, PESO OPERACIONAL 38,5 T, COM LÂMINA 8,70 M3 - JUROS. AF_06/2014</v>
          </cell>
          <cell r="C729" t="str">
            <v>H</v>
          </cell>
          <cell r="D729">
            <v>18.18</v>
          </cell>
        </row>
        <row r="730">
          <cell r="A730">
            <v>89015</v>
          </cell>
          <cell r="B730" t="str">
            <v>VASSOURA MECÂNICA REBOCÁVEL COM ESCOVA CILÍNDRICA, LARGURA ÚTIL DE VARRIMENTO DE 2,44 M - DEPRECIAÇÃO. AF_06/2014</v>
          </cell>
          <cell r="C730" t="str">
            <v>H</v>
          </cell>
          <cell r="D730">
            <v>2.0099999999999998</v>
          </cell>
        </row>
        <row r="731">
          <cell r="A731">
            <v>89016</v>
          </cell>
          <cell r="B731" t="str">
            <v>VASSOURA MECÂNICA REBOCÁVEL COM ESCOVA CILÍNDRICA, LARGURA ÚTIL DE VARRIMENTO DE 2,44 M - JUROS. AF_06/2014</v>
          </cell>
          <cell r="C731" t="str">
            <v>H</v>
          </cell>
          <cell r="D731">
            <v>0.27</v>
          </cell>
        </row>
        <row r="732">
          <cell r="A732">
            <v>89017</v>
          </cell>
          <cell r="B732" t="str">
            <v>TRATOR DE ESTEIRAS, POTÊNCIA 170 HP, PESO OPERACIONAL 19 T, CAÇAMBA 5,2 M3 - DEPRECIAÇÃO. AF_06/2014</v>
          </cell>
          <cell r="C732" t="str">
            <v>H</v>
          </cell>
          <cell r="D732">
            <v>24.51</v>
          </cell>
        </row>
        <row r="733">
          <cell r="A733">
            <v>89018</v>
          </cell>
          <cell r="B733" t="str">
            <v>TRATOR DE ESTEIRAS, POTÊNCIA 170 HP, PESO OPERACIONAL 19 T, CAÇAMBA 5,2 M3 - JUROS. AF_06/2014</v>
          </cell>
          <cell r="C733" t="str">
            <v>H</v>
          </cell>
          <cell r="D733">
            <v>5.51</v>
          </cell>
        </row>
        <row r="734">
          <cell r="A734">
            <v>89019</v>
          </cell>
          <cell r="B734" t="str">
            <v>BOMBA SUBMERSÍVEL ELÉTRICA TRIFÁSICA, POTÊNCIA 2,96 HP, Ø ROTOR 144 MM SEMI-ABERTO, BOCAL DE SAÍDA Ø 2, HM/Q = 2 MCA / 38,8 M3/H A 28 MCA / 5 M3/H - DEPRECIAÇÃO. AF_06/2014</v>
          </cell>
          <cell r="C734" t="str">
            <v>H</v>
          </cell>
          <cell r="D734">
            <v>0.27</v>
          </cell>
        </row>
        <row r="735">
          <cell r="A735">
            <v>89020</v>
          </cell>
          <cell r="B735" t="str">
            <v>BOMBA SUBMERSÍVEL ELÉTRICA TRIFÁSICA, POTÊNCIA 2,96 HP, Ø ROTOR 144 MM SEMI-ABERTO, BOCAL DE SAÍDA Ø 2, HM/Q = 2 MCA / 38,8 M3/H A 28 MCA / 5 M3/H - JUROS. AF_06/2014</v>
          </cell>
          <cell r="C735" t="str">
            <v>H</v>
          </cell>
          <cell r="D735">
            <v>0.03</v>
          </cell>
        </row>
        <row r="736">
          <cell r="A736">
            <v>89023</v>
          </cell>
          <cell r="B736" t="str">
            <v>TANQUE DE ASFALTO ESTACIONÁRIO COM MAÇARICO, CAPACIDADE 20.000 L - DEPRECIAÇÃO. AF_06/2014</v>
          </cell>
          <cell r="C736" t="str">
            <v>H</v>
          </cell>
          <cell r="D736">
            <v>2.62</v>
          </cell>
        </row>
        <row r="737">
          <cell r="A737">
            <v>89024</v>
          </cell>
          <cell r="B737" t="str">
            <v>TANQUE DE ASFALTO ESTACIONÁRIO COM MAÇARICO, CAPACIDADE 20.000 L - JUROS. AF_06/2014</v>
          </cell>
          <cell r="C737" t="str">
            <v>H</v>
          </cell>
          <cell r="D737">
            <v>0.43</v>
          </cell>
        </row>
        <row r="738">
          <cell r="A738">
            <v>89025</v>
          </cell>
          <cell r="B738" t="str">
            <v>TANQUE DE ASFALTO ESTACIONÁRIO COM MAÇARICO, CAPACIDADE 20.000 L - MANUTENÇÃO. AF_06/2014</v>
          </cell>
          <cell r="C738" t="str">
            <v>H</v>
          </cell>
          <cell r="D738">
            <v>4.91</v>
          </cell>
        </row>
        <row r="739">
          <cell r="A739">
            <v>89026</v>
          </cell>
          <cell r="B739" t="str">
            <v>TANQUE DE ASFALTO ESTACIONÁRIO COM MAÇARICO, CAPACIDADE 20.000 L - MATERIAIS NA OPERAÇÃO. AF_06/2014</v>
          </cell>
          <cell r="C739" t="str">
            <v>H</v>
          </cell>
          <cell r="D739">
            <v>115.14</v>
          </cell>
        </row>
        <row r="740">
          <cell r="A740">
            <v>89029</v>
          </cell>
          <cell r="B740" t="str">
            <v>TRATOR DE ESTEIRAS, POTÊNCIA 100 HP, PESO OPERACIONAL 9,4 T, COM LÂMINA 2,19 M3 - DEPRECIAÇÃO. AF_06/2014</v>
          </cell>
          <cell r="C740" t="str">
            <v>H</v>
          </cell>
          <cell r="D740">
            <v>19.02</v>
          </cell>
        </row>
        <row r="741">
          <cell r="A741">
            <v>89030</v>
          </cell>
          <cell r="B741" t="str">
            <v>TRATOR DE ESTEIRAS, POTÊNCIA 100 HP, PESO OPERACIONAL 9,4 T, COM LÂMINA 2,19 M3 - JUROS. AF_06/2014</v>
          </cell>
          <cell r="C741" t="str">
            <v>H</v>
          </cell>
          <cell r="D741">
            <v>4.28</v>
          </cell>
        </row>
        <row r="742">
          <cell r="A742">
            <v>89033</v>
          </cell>
          <cell r="B742" t="str">
            <v>TRATOR DE PNEUS, POTÊNCIA 85 CV, TRAÇÃO 4X4, PESO COM LASTRO DE 4.675 KG - DEPRECIAÇÃO. AF_06/2014</v>
          </cell>
          <cell r="C742" t="str">
            <v>H</v>
          </cell>
          <cell r="D742">
            <v>7.19</v>
          </cell>
        </row>
        <row r="743">
          <cell r="A743">
            <v>89034</v>
          </cell>
          <cell r="B743" t="str">
            <v>TRATOR DE PNEUS, POTÊNCIA 85 CV, TRAÇÃO 4X4, PESO COM LASTRO DE 4.675 KG - JUROS. AF_06/2014</v>
          </cell>
          <cell r="C743" t="str">
            <v>H</v>
          </cell>
          <cell r="D743">
            <v>0.99</v>
          </cell>
        </row>
        <row r="744">
          <cell r="A744">
            <v>89128</v>
          </cell>
          <cell r="B744" t="str">
            <v>PÁ CARREGADEIRA SOBRE RODAS, POTÊNCIA LÍQUIDA 128 HP, CAPACIDADE DA CAÇAMBA 1,7 A 2,8 M3, PESO OPERACIONAL 11632 KG - DEPRECIAÇÃO. AF_06/2014</v>
          </cell>
          <cell r="C744" t="str">
            <v>H</v>
          </cell>
          <cell r="D744">
            <v>21.55</v>
          </cell>
        </row>
        <row r="745">
          <cell r="A745">
            <v>89129</v>
          </cell>
          <cell r="B745" t="str">
            <v>PÁ CARREGADEIRA SOBRE RODAS, POTÊNCIA LÍQUIDA 128 HP, CAPACIDADE DA CAÇAMBA 1,7 A 2,8 M3, PESO OPERACIONAL 11632 KG - JUROS. AF_06/2014</v>
          </cell>
          <cell r="C745" t="str">
            <v>H</v>
          </cell>
          <cell r="D745">
            <v>2.92</v>
          </cell>
        </row>
        <row r="746">
          <cell r="A746">
            <v>89130</v>
          </cell>
          <cell r="B746" t="str">
            <v>PÁ CARREGADEIRA SOBRE RODAS, POTÊNCIA 197 HP, CAPACIDADE DA CAÇAMBA 2,5 A 3,5 M3, PESO OPERACIONAL 18338 KG - DEPRECIAÇÃO. AF_06/2014</v>
          </cell>
          <cell r="C746" t="str">
            <v>H</v>
          </cell>
          <cell r="D746">
            <v>29.89</v>
          </cell>
        </row>
        <row r="747">
          <cell r="A747">
            <v>89131</v>
          </cell>
          <cell r="B747" t="str">
            <v>PÁ CARREGADEIRA SOBRE RODAS, POTÊNCIA 197 HP, CAPACIDADE DA CAÇAMBA 2,5 A 3,5 M3, PESO OPERACIONAL 18338 KG - JUROS. AF_06/2014</v>
          </cell>
          <cell r="C747" t="str">
            <v>H</v>
          </cell>
          <cell r="D747">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v>2.21</v>
          </cell>
        </row>
        <row r="750">
          <cell r="A750">
            <v>89212</v>
          </cell>
          <cell r="B750" t="str">
            <v>BATE-ESTACAS POR GRAVIDADE, POTÊNCIA DE 160 HP, PESO DO MARTELO ATÉ 3 TONELADAS - DEPRECIAÇÃO. AF_11/2014</v>
          </cell>
          <cell r="C750" t="str">
            <v>H</v>
          </cell>
          <cell r="D750">
            <v>15.69</v>
          </cell>
        </row>
        <row r="751">
          <cell r="A751">
            <v>89213</v>
          </cell>
          <cell r="B751" t="str">
            <v>BATE-ESTACAS POR GRAVIDADE, POTÊNCIA DE 160 HP, PESO DO MARTELO ATÉ 3 TONELADAS - JUROS. AF_11/2014</v>
          </cell>
          <cell r="C751" t="str">
            <v>H</v>
          </cell>
          <cell r="D751">
            <v>2.4700000000000002</v>
          </cell>
        </row>
        <row r="752">
          <cell r="A752">
            <v>89214</v>
          </cell>
          <cell r="B752" t="str">
            <v>BATE-ESTACAS POR GRAVIDADE, POTÊNCIA DE 160 HP, PESO DO MARTELO ATÉ 3 TONELADAS - MANUTENÇÃO. AF_11/2014</v>
          </cell>
          <cell r="C752" t="str">
            <v>H</v>
          </cell>
          <cell r="D752">
            <v>14.73</v>
          </cell>
        </row>
        <row r="753">
          <cell r="A753">
            <v>89215</v>
          </cell>
          <cell r="B753" t="str">
            <v>BATE-ESTACAS POR GRAVIDADE, POTÊNCIA DE 160 HP, PESO DO MARTELO ATÉ 3 TONELADAS - MATERIAIS NA OPERAÇÃO. AF_11/2014</v>
          </cell>
          <cell r="C753" t="str">
            <v>H</v>
          </cell>
          <cell r="D753">
            <v>53.69</v>
          </cell>
        </row>
        <row r="754">
          <cell r="A754">
            <v>89221</v>
          </cell>
          <cell r="B754" t="str">
            <v>BETONEIRA CAPACIDADE NOMINAL DE 600 L, CAPACIDADE DE MISTURA 360 L, MOTOR ELÉTRICO TRIFÁSICO POTÊNCIA DE 4 CV, SEM CARREGADOR - DEPRECIAÇÃO. AF_11/2014</v>
          </cell>
          <cell r="C754" t="str">
            <v>H</v>
          </cell>
          <cell r="D754">
            <v>0.94</v>
          </cell>
        </row>
        <row r="755">
          <cell r="A755">
            <v>89222</v>
          </cell>
          <cell r="B755" t="str">
            <v>BETONEIRA CAPACIDADE NOMINAL DE 600 L, CAPACIDADE DE MISTURA 360 L, MOTOR ELÉTRICO TRIFÁSICO POTÊNCIA DE 4 CV, SEM CARREGADOR - JUROS. AF_11/2014</v>
          </cell>
          <cell r="C755" t="str">
            <v>H</v>
          </cell>
          <cell r="D755">
            <v>0.11</v>
          </cell>
        </row>
        <row r="756">
          <cell r="A756">
            <v>89223</v>
          </cell>
          <cell r="B756" t="str">
            <v>BETONEIRA CAPACIDADE NOMINAL DE 600 L, CAPACIDADE DE MISTURA 360 L, MOTOR ELÉTRICO TRIFÁSICO POTÊNCIA DE 4 CV, SEM CARREGADOR - MANUTENÇÃO. AF_11/2014</v>
          </cell>
          <cell r="C756" t="str">
            <v>H</v>
          </cell>
          <cell r="D756">
            <v>0.88</v>
          </cell>
        </row>
        <row r="757">
          <cell r="A757">
            <v>89224</v>
          </cell>
          <cell r="B757" t="str">
            <v>BETONEIRA CAPACIDADE NOMINAL DE 600 L, CAPACIDADE DE MISTURA 360 L, MOTOR ELÉTRICO TRIFÁSICO POTÊNCIA DE 4 CV, SEM CARREGADOR - MATERIAIS NA OPERAÇÃO. AF_11/2014</v>
          </cell>
          <cell r="C757" t="str">
            <v>H</v>
          </cell>
          <cell r="D757">
            <v>2.02</v>
          </cell>
        </row>
        <row r="758">
          <cell r="A758">
            <v>89228</v>
          </cell>
          <cell r="B758" t="str">
            <v>MOTONIVELADORA POTÊNCIA BÁSICA LÍQUIDA (PRIMEIRA MARCHA) 125 HP, PESO BRUTO 13032 KG, LARGURA DA LÂMINA DE 3,7 M - DEPRECIAÇÃO. AF_06/2014</v>
          </cell>
          <cell r="C758" t="str">
            <v>H</v>
          </cell>
          <cell r="D758">
            <v>23.64</v>
          </cell>
        </row>
        <row r="759">
          <cell r="A759">
            <v>89229</v>
          </cell>
          <cell r="B759" t="str">
            <v>MOTONIVELADORA POTÊNCIA BÁSICA LÍQUIDA (PRIMEIRA MARCHA) 125 HP, PESO BRUTO 13032 KG, LARGURA DA LÂMINA DE 3,7 M - JUROS. AF_06/2014</v>
          </cell>
          <cell r="C759" t="str">
            <v>H</v>
          </cell>
          <cell r="D759">
            <v>4.25</v>
          </cell>
        </row>
        <row r="760">
          <cell r="A760">
            <v>89230</v>
          </cell>
          <cell r="B760" t="str">
            <v>FRESADORA DE ASFALTO A FRIO SOBRE RODAS, LARGURA FRESAGEM DE 1,0 M, POTÊNCIA 208 HP - DEPRECIAÇÃO. AF_11/2014</v>
          </cell>
          <cell r="C760" t="str">
            <v>H</v>
          </cell>
          <cell r="D760">
            <v>89.84</v>
          </cell>
        </row>
        <row r="761">
          <cell r="A761">
            <v>89231</v>
          </cell>
          <cell r="B761" t="str">
            <v>FRESADORA DE ASFALTO A FRIO SOBRE RODAS, LARGURA FRESAGEM DE 1,0 M, POTÊNCIA 208 HP - JUROS. AF_11/2014</v>
          </cell>
          <cell r="C761" t="str">
            <v>H</v>
          </cell>
          <cell r="D761">
            <v>14.23</v>
          </cell>
        </row>
        <row r="762">
          <cell r="A762">
            <v>89232</v>
          </cell>
          <cell r="B762" t="str">
            <v>FRESADORA DE ASFALTO A FRIO SOBRE RODAS, LARGURA FRESAGEM DE 1,0 M, POTÊNCIA 208 HP - MANUTENÇÃO. AF_11/2014</v>
          </cell>
          <cell r="C762" t="str">
            <v>H</v>
          </cell>
          <cell r="D762">
            <v>160.26</v>
          </cell>
        </row>
        <row r="763">
          <cell r="A763">
            <v>89233</v>
          </cell>
          <cell r="B763" t="str">
            <v>FRESADORA DE ASFALTO A FRIO SOBRE RODAS, LARGURA FRESAGEM DE 1,0 M, POTÊNCIA 208 HP - MATERIAIS NA OPERAÇÃO. AF_11/2014</v>
          </cell>
          <cell r="C763" t="str">
            <v>H</v>
          </cell>
          <cell r="D763">
            <v>96.63</v>
          </cell>
        </row>
        <row r="764">
          <cell r="A764">
            <v>89236</v>
          </cell>
          <cell r="B764" t="str">
            <v>FRESADORA DE ASFALTO A FRIO SOBRE RODAS, LARGURA FRESAGEM DE 2,0 M, POTÊNCIA 550 HP - DEPRECIAÇÃO. AF_11/2014</v>
          </cell>
          <cell r="C764" t="str">
            <v>H</v>
          </cell>
          <cell r="D764">
            <v>209.88</v>
          </cell>
        </row>
        <row r="765">
          <cell r="A765">
            <v>89237</v>
          </cell>
          <cell r="B765" t="str">
            <v>FRESADORA DE ASFALTO A FRIO SOBRE RODAS, LARGURA FRESAGEM DE 2,0 M, POTÊNCIA 550 HP - JUROS. AF_11/2014</v>
          </cell>
          <cell r="C765" t="str">
            <v>H</v>
          </cell>
          <cell r="D765">
            <v>33.25</v>
          </cell>
        </row>
        <row r="766">
          <cell r="A766">
            <v>89238</v>
          </cell>
          <cell r="B766" t="str">
            <v>FRESADORA DE ASFALTO A FRIO SOBRE RODAS, LARGURA FRESAGEM DE 2,0 M, POTÊNCIA 550 HP - MANUTENÇÃO. AF_11/2014</v>
          </cell>
          <cell r="C766" t="str">
            <v>H</v>
          </cell>
          <cell r="D766">
            <v>374.37</v>
          </cell>
        </row>
        <row r="767">
          <cell r="A767">
            <v>89239</v>
          </cell>
          <cell r="B767" t="str">
            <v>FRESADORA DE ASFALTO A FRIO SOBRE RODAS, LARGURA FRESAGEM DE 2,0 M, POTÊNCIA 550 HP - MATERIAIS NA OPERAÇÃO. AF_11/2014</v>
          </cell>
          <cell r="C767" t="str">
            <v>H</v>
          </cell>
          <cell r="D767">
            <v>255.55</v>
          </cell>
        </row>
        <row r="768">
          <cell r="A768">
            <v>89240</v>
          </cell>
          <cell r="B768" t="str">
            <v>VIBROACABADORA DE ASFALTO SOBRE ESTEIRAS, LARGURA DE PAVIMENTAÇÃO 1,90 M A 5,30 M, POTÊNCIA 105 HP CAPACIDADE 450 T/H - DEPRECIAÇÃO. AF_11/2014</v>
          </cell>
          <cell r="C768" t="str">
            <v>H</v>
          </cell>
          <cell r="D768">
            <v>64.41</v>
          </cell>
        </row>
        <row r="769">
          <cell r="A769">
            <v>89241</v>
          </cell>
          <cell r="B769" t="str">
            <v>VIBROACABADORA DE ASFALTO SOBRE ESTEIRAS, LARGURA DE PAVIMENTAÇÃO 1,90 M A 5,30 M, POTÊNCIA 105 HP CAPACIDADE 450 T/H - JUROS. AF_11/2014</v>
          </cell>
          <cell r="C769" t="str">
            <v>H</v>
          </cell>
          <cell r="D769">
            <v>11.59</v>
          </cell>
        </row>
        <row r="770">
          <cell r="A770">
            <v>89246</v>
          </cell>
          <cell r="B770" t="str">
            <v>RECICLADORA DE ASFALTO A FRIO SOBRE RODAS, LARGURA FRESAGEM DE 2,0 M, POTÊNCIA 422 HP - DEPRECIAÇÃO. AF_11/2014</v>
          </cell>
          <cell r="C770" t="str">
            <v>H</v>
          </cell>
          <cell r="D770">
            <v>182.37</v>
          </cell>
        </row>
        <row r="771">
          <cell r="A771">
            <v>89247</v>
          </cell>
          <cell r="B771" t="str">
            <v>RECICLADORA DE ASFALTO A FRIO SOBRE RODAS, LARGURA FRESAGEM DE 2,0 M, POTÊNCIA 422 HP - JUROS. AF_11/2014</v>
          </cell>
          <cell r="C771" t="str">
            <v>H</v>
          </cell>
          <cell r="D771">
            <v>28.89</v>
          </cell>
        </row>
        <row r="772">
          <cell r="A772">
            <v>89248</v>
          </cell>
          <cell r="B772" t="str">
            <v>RECICLADORA DE ASFALTO A FRIO SOBRE RODAS, LARGURA FRESAGEM DE 2,0 M, POTÊNCIA 422 HP - MANUTENÇÃO. AF_11/2014</v>
          </cell>
          <cell r="C772" t="str">
            <v>H</v>
          </cell>
          <cell r="D772">
            <v>325.3</v>
          </cell>
        </row>
        <row r="773">
          <cell r="A773">
            <v>89249</v>
          </cell>
          <cell r="B773" t="str">
            <v>RECICLADORA DE ASFALTO A FRIO SOBRE RODAS, LARGURA FRESAGEM DE 2,0 M, POTÊNCIA 422 HP - MATERIAIS NA OPERAÇÃO. AF_11/2014</v>
          </cell>
          <cell r="C773" t="str">
            <v>H</v>
          </cell>
          <cell r="D773">
            <v>217.84</v>
          </cell>
        </row>
        <row r="774">
          <cell r="A774">
            <v>89253</v>
          </cell>
          <cell r="B774" t="str">
            <v>VIBROACABADORA DE ASFALTO SOBRE ESTEIRAS, LARGURA DE PAVIMENTAÇÃO 2,13 M A 4,55 M, POTÊNCIA 100 HP, CAPACIDADE 400 T/H - DEPRECIAÇÃO. AF_11/2014</v>
          </cell>
          <cell r="C774" t="str">
            <v>H</v>
          </cell>
          <cell r="D774">
            <v>52.78</v>
          </cell>
        </row>
        <row r="775">
          <cell r="A775">
            <v>89254</v>
          </cell>
          <cell r="B775" t="str">
            <v>VIBROACABADORA DE ASFALTO SOBRE ESTEIRAS, LARGURA DE PAVIMENTAÇÃO 2,13 M A 4,55 M, POTÊNCIA 100 HP, CAPACIDADE 400 T/H - JUROS. AF_11/2014</v>
          </cell>
          <cell r="C775" t="str">
            <v>H</v>
          </cell>
          <cell r="D775">
            <v>9.5</v>
          </cell>
        </row>
        <row r="776">
          <cell r="A776">
            <v>89255</v>
          </cell>
          <cell r="B776" t="str">
            <v>VIBROACABADORA DE ASFALTO SOBRE ESTEIRAS, LARGURA DE PAVIMENTAÇÃO 2,13 M A 4,55 M, POTÊNCIA 100 HP, CAPACIDADE 400 T/H - MANUTENÇÃO. AF_11/2014</v>
          </cell>
          <cell r="C776" t="str">
            <v>H</v>
          </cell>
          <cell r="D776">
            <v>84.85</v>
          </cell>
        </row>
        <row r="777">
          <cell r="A777">
            <v>89256</v>
          </cell>
          <cell r="B777" t="str">
            <v>VIBROACABADORA DE ASFALTO SOBRE ESTEIRAS, LARGURA DE PAVIMENTAÇÃO 2,13 M A 4,55 M, POTÊNCIA 100 HP, CAPACIDADE 400 T/H - MATERIAIS NA OPERAÇÃO. AF_11/2014</v>
          </cell>
          <cell r="C777" t="str">
            <v>H</v>
          </cell>
          <cell r="D777">
            <v>49.02</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v>9.41</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v>1.97</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v>17.649999999999999</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v>7.42</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v>1.55</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v>0.59</v>
          </cell>
        </row>
        <row r="784">
          <cell r="A784">
            <v>89267</v>
          </cell>
          <cell r="B784" t="str">
            <v>GUINDASTE HIDRÁULICO AUTOPROPELIDO, COM LANÇA TELESCÓPICA 28,80 M, CAPACIDADE MÁXIMA 30 T, POTÊNCIA 97 KW, TRAÇÃO 4 X 4 - DEPRECIAÇÃO. AF_11/2014</v>
          </cell>
          <cell r="C784" t="str">
            <v>H</v>
          </cell>
          <cell r="D784">
            <v>27.32</v>
          </cell>
        </row>
        <row r="785">
          <cell r="A785">
            <v>89268</v>
          </cell>
          <cell r="B785" t="str">
            <v>GUINDASTE HIDRÁULICO AUTOPROPELIDO, COM LANÇA TELESCÓPICA 28,80 M, CAPACIDADE MÁXIMA 30 T, POTÊNCIA 97 KW, TRAÇÃO 4 X 4 - JUROS. AF_11/2014</v>
          </cell>
          <cell r="C785" t="str">
            <v>H</v>
          </cell>
          <cell r="D785">
            <v>4.91</v>
          </cell>
        </row>
        <row r="786">
          <cell r="A786">
            <v>89269</v>
          </cell>
          <cell r="B786" t="str">
            <v>GUINDASTE HIDRÁULICO AUTOPROPELIDO, COM LANÇA TELESCÓPICA 28,80 M, CAPACIDADE MÁXIMA 30 T, POTÊNCIA 97 KW, TRAÇÃO 4 X 4 - IMPOSTOS E SEGUROS. AF_11/2014</v>
          </cell>
          <cell r="C786" t="str">
            <v>H</v>
          </cell>
          <cell r="D786">
            <v>1.91</v>
          </cell>
        </row>
        <row r="787">
          <cell r="A787">
            <v>89270</v>
          </cell>
          <cell r="B787" t="str">
            <v>GUINDASTE HIDRÁULICO AUTOPROPELIDO, COM LANÇA TELESCÓPICA 28,80 M, CAPACIDADE MÁXIMA 30 T, POTÊNCIA 97 KW, TRAÇÃO 4 X 4 - MANUTENÇÃO. AF_11/2014</v>
          </cell>
          <cell r="C787" t="str">
            <v>H</v>
          </cell>
          <cell r="D787">
            <v>43.92</v>
          </cell>
        </row>
        <row r="788">
          <cell r="A788">
            <v>89271</v>
          </cell>
          <cell r="B788" t="str">
            <v>GUINDASTE HIDRÁULICO AUTOPROPELIDO, COM LANÇA TELESCÓPICA 28,80 M, CAPACIDADE MÁXIMA 30 T, POTÊNCIA 97 KW, TRAÇÃO 4 X 4 - MATERIAIS NA OPERAÇÃO. AF_11/2014</v>
          </cell>
          <cell r="C788" t="str">
            <v>H</v>
          </cell>
          <cell r="D788">
            <v>16.78</v>
          </cell>
        </row>
        <row r="789">
          <cell r="A789">
            <v>89274</v>
          </cell>
          <cell r="B789" t="str">
            <v>BETONEIRA CAPACIDADE NOMINAL DE 600 L, CAPACIDADE DE MISTURA 440 L, MOTOR A DIESEL POTÊNCIA 10 HP, COM CARREGADOR - DEPRECIAÇÃO. AF_11/2014</v>
          </cell>
          <cell r="C789" t="str">
            <v>H</v>
          </cell>
          <cell r="D789">
            <v>1.1399999999999999</v>
          </cell>
        </row>
        <row r="790">
          <cell r="A790">
            <v>89275</v>
          </cell>
          <cell r="B790" t="str">
            <v>BETONEIRA CAPACIDADE NOMINAL DE 600 L, CAPACIDADE DE MISTURA 440 L, MOTOR A DIESEL POTÊNCIA 10 HP, COM CARREGADOR - JUROS. AF_11/2014</v>
          </cell>
          <cell r="C790" t="str">
            <v>H</v>
          </cell>
          <cell r="D790">
            <v>0.13</v>
          </cell>
        </row>
        <row r="791">
          <cell r="A791">
            <v>89276</v>
          </cell>
          <cell r="B791" t="str">
            <v>BETONEIRA CAPACIDADE NOMINAL DE 600 L, CAPACIDADE DE MISTURA 440 L, MOTOR A DIESEL POTÊNCIA 10 HP, COM CARREGADOR - MANUTENÇÃO. AF_11/2014</v>
          </cell>
          <cell r="C791" t="str">
            <v>H</v>
          </cell>
          <cell r="D791">
            <v>1.07</v>
          </cell>
        </row>
        <row r="792">
          <cell r="A792">
            <v>89277</v>
          </cell>
          <cell r="B792" t="str">
            <v>BETONEIRA CAPACIDADE NOMINAL DE 600 L, CAPACIDADE DE MISTURA 440 L, MOTOR A DIESEL POTÊNCIA 10 HP, COM CARREGADOR - MATERIAIS NA OPERAÇÃO. AF_11/2014</v>
          </cell>
          <cell r="C792" t="str">
            <v>H</v>
          </cell>
          <cell r="D792">
            <v>4.91</v>
          </cell>
        </row>
        <row r="793">
          <cell r="A793">
            <v>89280</v>
          </cell>
          <cell r="B793" t="str">
            <v>ROLO COMPACTADOR VIBRATÓRIO TANDEM AÇO LISO, POTÊNCIA 58 HP, PESO SEM/COM LASTRO 6,5 / 9,4 T, LARGURA DE TRABALHO 1,2 M - DEPRECIAÇÃO. AF_06/2014</v>
          </cell>
          <cell r="C793" t="str">
            <v>H</v>
          </cell>
          <cell r="D793">
            <v>19.54</v>
          </cell>
        </row>
        <row r="794">
          <cell r="A794">
            <v>89281</v>
          </cell>
          <cell r="B794" t="str">
            <v>ROLO COMPACTADOR VIBRATÓRIO TANDEM AÇO LISO, POTÊNCIA 58 HP, PESO SEM/COM LASTRO 6,5 / 9,4 T, LARGURA DE TRABALHO 1,2 M - JUROS. AF_06/2014</v>
          </cell>
          <cell r="C794" t="str">
            <v>H</v>
          </cell>
          <cell r="D794">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v>39.409999999999997</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v>101.96</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v>41.5</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v>117.64</v>
          </cell>
        </row>
        <row r="805">
          <cell r="A805">
            <v>90582</v>
          </cell>
          <cell r="B805" t="str">
            <v>VIBRADOR DE IMERSÃO, DIÂMETRO DE PONTEIRA 45MM, MOTOR ELÉTRICO TRIFÁSICO POTÊNCIA DE 2 CV - DEPRECIAÇÃO. AF_06/2015</v>
          </cell>
          <cell r="C805" t="str">
            <v>H</v>
          </cell>
          <cell r="D805">
            <v>0.27</v>
          </cell>
        </row>
        <row r="806">
          <cell r="A806">
            <v>90583</v>
          </cell>
          <cell r="B806" t="str">
            <v>VIBRADOR DE IMERSÃO, DIÂMETRO DE PONTEIRA 45MM, MOTOR ELÉTRICO TRIFÁSICO POTÊNCIA DE 2 CV - JUROS. AF_06/2015</v>
          </cell>
          <cell r="C806" t="str">
            <v>H</v>
          </cell>
          <cell r="D806">
            <v>0.03</v>
          </cell>
        </row>
        <row r="807">
          <cell r="A807">
            <v>90584</v>
          </cell>
          <cell r="B807" t="str">
            <v>VIBRADOR DE IMERSÃO, DIÂMETRO DE PONTEIRA 45MM, MOTOR ELÉTRICO TRIFÁSICO POTÊNCIA DE 2 CV - MANUTENÇÃO. AF_06/2015</v>
          </cell>
          <cell r="C807" t="str">
            <v>H</v>
          </cell>
          <cell r="D807">
            <v>0.21</v>
          </cell>
        </row>
        <row r="808">
          <cell r="A808">
            <v>90585</v>
          </cell>
          <cell r="B808" t="str">
            <v>VIBRADOR DE IMERSÃO, DIÂMETRO DE PONTEIRA 45MM, MOTOR ELÉTRICO TRIFÁSICO POTÊNCIA DE 2 CV - MATERIAIS NA OPERAÇÃO. AF_06/2015</v>
          </cell>
          <cell r="C808" t="str">
            <v>H</v>
          </cell>
          <cell r="D808">
            <v>1.01</v>
          </cell>
        </row>
        <row r="809">
          <cell r="A809">
            <v>90621</v>
          </cell>
          <cell r="B809" t="str">
            <v>PERFURATRIZ MANUAL, TORQUE MÁXIMO 83 N.M, POTÊNCIA 5 CV, COM DIÂMETRO MÁXIMO 4" - DEPRECIAÇÃO. AF_06/2015</v>
          </cell>
          <cell r="C809" t="str">
            <v>H</v>
          </cell>
          <cell r="D809">
            <v>2.09</v>
          </cell>
        </row>
        <row r="810">
          <cell r="A810">
            <v>90622</v>
          </cell>
          <cell r="B810" t="str">
            <v>PERFURATRIZ MANUAL, TORQUE MÁXIMO 83 N.M, POTÊNCIA 5 CV, COM DIÂMETRO MÁXIMO 4" - JUROS. AF_06/2015</v>
          </cell>
          <cell r="C810" t="str">
            <v>H</v>
          </cell>
          <cell r="D810">
            <v>0.24</v>
          </cell>
        </row>
        <row r="811">
          <cell r="A811">
            <v>90623</v>
          </cell>
          <cell r="B811" t="str">
            <v>PERFURATRIZ MANUAL, TORQUE MÁXIMO 83 N.M, POTÊNCIA 5 CV, COM DIÂMETRO MÁXIMO 4" - MANUTENÇÃO. AF_06/2015</v>
          </cell>
          <cell r="C811" t="str">
            <v>H</v>
          </cell>
          <cell r="D811">
            <v>2.61</v>
          </cell>
        </row>
        <row r="812">
          <cell r="A812">
            <v>90624</v>
          </cell>
          <cell r="B812" t="str">
            <v>PERFURATRIZ MANUAL, TORQUE MÁXIMO 83 N.M, POTÊNCIA 5 CV, COM DIÂMETRO MÁXIMO 4" - MATERIAIS NA OPERAÇÃO. AF_06/2015</v>
          </cell>
          <cell r="C812" t="str">
            <v>H</v>
          </cell>
          <cell r="D812">
            <v>2.5299999999999998</v>
          </cell>
        </row>
        <row r="813">
          <cell r="A813">
            <v>90627</v>
          </cell>
          <cell r="B813" t="str">
            <v>PERFURATRIZ SOBRE ESTEIRA, TORQUE MÁXIMO 600 KGF, PESO MÉDIO 1000 KG, POTÊNCIA 20 HP, DIÂMETRO MÁXIMO 10" - DEPRECIAÇÃO. AF_06/2015</v>
          </cell>
          <cell r="C813" t="str">
            <v>H</v>
          </cell>
          <cell r="D813">
            <v>25.65</v>
          </cell>
        </row>
        <row r="814">
          <cell r="A814">
            <v>90628</v>
          </cell>
          <cell r="B814" t="str">
            <v>PERFURATRIZ SOBRE ESTEIRA, TORQUE MÁXIMO 600 KGF, PESO MÉDIO 1000 KG, POTÊNCIA 20 HP, DIÂMETRO MÁXIMO 10" - JUROS. AF_06/2015</v>
          </cell>
          <cell r="C814" t="str">
            <v>H</v>
          </cell>
          <cell r="D814">
            <v>3.65</v>
          </cell>
        </row>
        <row r="815">
          <cell r="A815">
            <v>90629</v>
          </cell>
          <cell r="B815" t="str">
            <v>PERFURATRIZ SOBRE ESTEIRA, TORQUE MÁXIMO 600 KGF, PESO MÉDIO 1000 KG, POTÊNCIA 20 HP, DIÂMETRO MÁXIMO 10" - MANUTENÇÃO. AF_06/2015</v>
          </cell>
          <cell r="C815" t="str">
            <v>H</v>
          </cell>
          <cell r="D815">
            <v>32.090000000000003</v>
          </cell>
        </row>
        <row r="816">
          <cell r="A816">
            <v>90630</v>
          </cell>
          <cell r="B816" t="str">
            <v>PERFURATRIZ SOBRE ESTEIRA, TORQUE MÁXIMO 600 KGF, PESO MÉDIO 1000 KG, POTÊNCIA 20 HP, DIÂMETRO MÁXIMO 10" - MATERIAIS NA OPERAÇÃO. AF_06/2015</v>
          </cell>
          <cell r="C816" t="str">
            <v>H</v>
          </cell>
          <cell r="D816">
            <v>10.27</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v>2.9</v>
          </cell>
        </row>
        <row r="818">
          <cell r="A818">
            <v>90634</v>
          </cell>
          <cell r="B818" t="str">
            <v>MISTURADOR DUPLO HORIZONTAL DE ALTA TURBULÊNCIA, CAPACIDADE / VOLUME 2 X 500 LITROS, MOTORES ELÉTRICOS MÍNIMO 5 CV CADA, PARA NATA CIMENTO, ARGAMASSA E OUTROS - JUROS. AF_06/2015</v>
          </cell>
          <cell r="C818" t="str">
            <v>H</v>
          </cell>
          <cell r="D818">
            <v>0.34</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v>3.17</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v>5.07</v>
          </cell>
        </row>
        <row r="821">
          <cell r="A821">
            <v>90639</v>
          </cell>
          <cell r="B821" t="str">
            <v>BOMBA TRIPLEX, PARA INJEÇÃO DE NATA DE CIMENTO, VAZÃO MÁXIMA DE 100 LITROS/MINUTO, PRESSÃO MÁXIMA DE 70 BAR - DEPRECIAÇÃO. AF_06/2015</v>
          </cell>
          <cell r="C821" t="str">
            <v>H</v>
          </cell>
          <cell r="D821">
            <v>4.34</v>
          </cell>
        </row>
        <row r="822">
          <cell r="A822">
            <v>90640</v>
          </cell>
          <cell r="B822" t="str">
            <v>BOMBA TRIPLEX, PARA INJEÇÃO DE NATA DE CIMENTO, VAZÃO MÁXIMA DE 100 LITROS/MINUTO, PRESSÃO MÁXIMA DE 70 BAR - JUROS. AF_06/2015</v>
          </cell>
          <cell r="C822" t="str">
            <v>H</v>
          </cell>
          <cell r="D822">
            <v>0.51</v>
          </cell>
        </row>
        <row r="823">
          <cell r="A823">
            <v>90641</v>
          </cell>
          <cell r="B823" t="str">
            <v>BOMBA TRIPLEX, PARA INJEÇÃO DE NATA DE CIMENTO, VAZÃO MÁXIMA DE 100 LITROS/MINUTO, PRESSÃO MÁXIMA DE 70 BAR - MANUTENÇÃO. AF_06/2015</v>
          </cell>
          <cell r="C823" t="str">
            <v>H</v>
          </cell>
          <cell r="D823">
            <v>4.74</v>
          </cell>
        </row>
        <row r="824">
          <cell r="A824">
            <v>90642</v>
          </cell>
          <cell r="B824" t="str">
            <v>BOMBA TRIPLEX, PARA INJEÇÃO DE NATA DE CIMENTO, VAZÃO MÁXIMA DE 100 LITROS/MINUTO, PRESSÃO MÁXIMA DE 70 BAR - MATERIAIS NA OPERAÇÃO. AF_06/2015</v>
          </cell>
          <cell r="C824" t="str">
            <v>H</v>
          </cell>
          <cell r="D824">
            <v>5.32</v>
          </cell>
        </row>
        <row r="825">
          <cell r="A825">
            <v>90646</v>
          </cell>
          <cell r="B825" t="str">
            <v>BOMBA CENTRÍFUGA MONOESTÁGIO COM MOTOR ELÉTRICO MONOFÁSICO, POTÊNCIA 15 HP, DIÂMETRO DO ROTOR 173 MM, HM/Q = 30 MCA / 90 M3/H A 45 MCA / 55 M3/H - DEPRECIAÇÃO. AF_06/2015</v>
          </cell>
          <cell r="C825" t="str">
            <v>H</v>
          </cell>
          <cell r="D825">
            <v>0.55000000000000004</v>
          </cell>
        </row>
        <row r="826">
          <cell r="A826">
            <v>90647</v>
          </cell>
          <cell r="B826" t="str">
            <v>BOMBA CENTRÍFUGA MONOESTÁGIO COM MOTOR ELÉTRICO MONOFÁSICO, POTÊNCIA 15 HP, DIÂMETRO DO ROTOR 173 MM, HM/Q = 30 MCA / 90 M3/H A 45 MCA / 55 M3/H - JUROS. AF_06/2015</v>
          </cell>
          <cell r="C826" t="str">
            <v>H</v>
          </cell>
          <cell r="D826">
            <v>0.06</v>
          </cell>
        </row>
        <row r="827">
          <cell r="A827">
            <v>90648</v>
          </cell>
          <cell r="B827" t="str">
            <v>BOMBA CENTRÍFUGA MONOESTÁGIO COM MOTOR ELÉTRICO MONOFÁSICO, POTÊNCIA 15 HP, DIÂMETRO DO ROTOR 173 MM, HM/Q = 30 MCA / 90 M3/H A 45 MCA / 55 M3/H - MANUTENÇÃO. AF_06/2015</v>
          </cell>
          <cell r="C827" t="str">
            <v>H</v>
          </cell>
          <cell r="D827">
            <v>0.6</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v>7.89</v>
          </cell>
        </row>
        <row r="829">
          <cell r="A829">
            <v>90652</v>
          </cell>
          <cell r="B829" t="str">
            <v>BOMBA DE PROJEÇÃO DE CONCRETO SECO, POTÊNCIA 10 CV, VAZÃO 3 M3/H - DEPRECIAÇÃO. AF_06/2015</v>
          </cell>
          <cell r="C829" t="str">
            <v>H</v>
          </cell>
          <cell r="D829">
            <v>2.82</v>
          </cell>
        </row>
        <row r="830">
          <cell r="A830">
            <v>90653</v>
          </cell>
          <cell r="B830" t="str">
            <v>BOMBA DE PROJEÇÃO DE CONCRETO SECO, POTÊNCIA 10 CV, VAZÃO 3 M3/H - JUROS. AF_06/2015</v>
          </cell>
          <cell r="C830" t="str">
            <v>H</v>
          </cell>
          <cell r="D830">
            <v>0.33</v>
          </cell>
        </row>
        <row r="831">
          <cell r="A831">
            <v>90654</v>
          </cell>
          <cell r="B831" t="str">
            <v>BOMBA DE PROJEÇÃO DE CONCRETO SECO, POTÊNCIA 10 CV, VAZÃO 3 M3/H - MANUTENÇÃO. AF_06/2015</v>
          </cell>
          <cell r="C831" t="str">
            <v>H</v>
          </cell>
          <cell r="D831">
            <v>3.09</v>
          </cell>
        </row>
        <row r="832">
          <cell r="A832">
            <v>90655</v>
          </cell>
          <cell r="B832" t="str">
            <v>BOMBA DE PROJEÇÃO DE CONCRETO SECO, POTÊNCIA 10 CV, VAZÃO 3 M3/H - MATERIAIS NA OPERAÇÃO. AF_06/2015</v>
          </cell>
          <cell r="C832" t="str">
            <v>H</v>
          </cell>
          <cell r="D832">
            <v>5.19</v>
          </cell>
        </row>
        <row r="833">
          <cell r="A833">
            <v>90658</v>
          </cell>
          <cell r="B833" t="str">
            <v>BOMBA DE PROJEÇÃO DE CONCRETO SECO, POTÊNCIA 10 CV, VAZÃO 6 M3/H - DEPRECIAÇÃO. AF_06/2015</v>
          </cell>
          <cell r="C833" t="str">
            <v>H</v>
          </cell>
          <cell r="D833">
            <v>3.02</v>
          </cell>
        </row>
        <row r="834">
          <cell r="A834">
            <v>90659</v>
          </cell>
          <cell r="B834" t="str">
            <v>BOMBA DE PROJEÇÃO DE CONCRETO SECO, POTÊNCIA 10 CV, VAZÃO 6 M3/H - JUROS. AF_06/2015</v>
          </cell>
          <cell r="C834" t="str">
            <v>H</v>
          </cell>
          <cell r="D834">
            <v>0.35</v>
          </cell>
        </row>
        <row r="835">
          <cell r="A835">
            <v>90660</v>
          </cell>
          <cell r="B835" t="str">
            <v>BOMBA DE PROJEÇÃO DE CONCRETO SECO, POTÊNCIA 10 CV, VAZÃO 6 M3/H - MANUTENÇÃO. AF_06/2015</v>
          </cell>
          <cell r="C835" t="str">
            <v>H</v>
          </cell>
          <cell r="D835">
            <v>3.31</v>
          </cell>
        </row>
        <row r="836">
          <cell r="A836">
            <v>90661</v>
          </cell>
          <cell r="B836" t="str">
            <v>BOMBA DE PROJEÇÃO DE CONCRETO SECO, POTÊNCIA 10 CV, VAZÃO 6 M3/H - MATERIAIS NA OPERAÇÃO. AF_06/2015</v>
          </cell>
          <cell r="C836" t="str">
            <v>H</v>
          </cell>
          <cell r="D836">
            <v>5.19</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v>4.45</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v>8.65</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v>69.2</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v>60.21</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v>8.35</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v>75.349999999999994</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v>53.04</v>
          </cell>
        </row>
        <row r="849">
          <cell r="A849">
            <v>90682</v>
          </cell>
          <cell r="B849" t="str">
            <v>MANIPULADOR TELESCÓPICO, POTÊNCIA DE 85 HP, CAPACIDADE DE CARGA DE 3.500 KG, ALTURA MÁXIMA DE ELEVAÇÃO DE 12,3 M - DEPRECIAÇÃO. AF_06/2015</v>
          </cell>
          <cell r="C849" t="str">
            <v>H</v>
          </cell>
          <cell r="D849">
            <v>23.82</v>
          </cell>
        </row>
        <row r="850">
          <cell r="A850">
            <v>90683</v>
          </cell>
          <cell r="B850" t="str">
            <v>MANIPULADOR TELESCÓPICO, POTÊNCIA DE 85 HP, CAPACIDADE DE CARGA DE 3.500 KG, ALTURA MÁXIMA DE ELEVAÇÃO DE 12,3 M - JUROS. AF_06/2015</v>
          </cell>
          <cell r="C850" t="str">
            <v>H</v>
          </cell>
          <cell r="D850">
            <v>2.82</v>
          </cell>
        </row>
        <row r="851">
          <cell r="A851">
            <v>90684</v>
          </cell>
          <cell r="B851" t="str">
            <v>MANIPULADOR TELESCÓPICO, POTÊNCIA DE 85 HP, CAPACIDADE DE CARGA DE 3.500 KG, ALTURA MÁXIMA DE ELEVAÇÃO DE 12,3 M - MANUTENÇÃO. AF_06/2015</v>
          </cell>
          <cell r="C851" t="str">
            <v>H</v>
          </cell>
          <cell r="D851">
            <v>26.06</v>
          </cell>
        </row>
        <row r="852">
          <cell r="A852">
            <v>90685</v>
          </cell>
          <cell r="B852" t="str">
            <v>MANIPULADOR TELESCÓPICO, POTÊNCIA DE 85 HP, CAPACIDADE DE CARGA DE 3.500 KG, ALTURA MÁXIMA DE ELEVAÇÃO DE 12,3 M - MATERIAIS NA OPERAÇÃO. AF_06/2015</v>
          </cell>
          <cell r="C852" t="str">
            <v>H</v>
          </cell>
          <cell r="D852">
            <v>32.9</v>
          </cell>
        </row>
        <row r="853">
          <cell r="A853">
            <v>90688</v>
          </cell>
          <cell r="B853" t="str">
            <v>MINICARREGADEIRA SOBRE RODAS, POTÊNCIA LÍQUIDA DE 47 HP, CAPACIDADE NOMINAL DE OPERAÇÃO DE 646 KG - DEPRECIAÇÃO. AF_06/2015</v>
          </cell>
          <cell r="C853" t="str">
            <v>H</v>
          </cell>
          <cell r="D853">
            <v>13.66</v>
          </cell>
        </row>
        <row r="854">
          <cell r="A854">
            <v>90689</v>
          </cell>
          <cell r="B854" t="str">
            <v>MINICARREGADEIRA SOBRE RODAS, POTÊNCIA LÍQUIDA DE 47 HP, CAPACIDADE NOMINAL DE OPERAÇÃO DE 646 KG - JUROS. AF_06/2015</v>
          </cell>
          <cell r="C854" t="str">
            <v>H</v>
          </cell>
          <cell r="D854">
            <v>1.38</v>
          </cell>
        </row>
        <row r="855">
          <cell r="A855">
            <v>90690</v>
          </cell>
          <cell r="B855" t="str">
            <v>MINICARREGADEIRA SOBRE RODAS, POTÊNCIA LÍQUIDA DE 47 HP, CAPACIDADE NOMINAL DE OPERAÇÃO DE 646 KG - MANUTENÇÃO. AF_06/2015</v>
          </cell>
          <cell r="C855" t="str">
            <v>H</v>
          </cell>
          <cell r="D855">
            <v>17.079999999999998</v>
          </cell>
        </row>
        <row r="856">
          <cell r="A856">
            <v>90691</v>
          </cell>
          <cell r="B856" t="str">
            <v>MINICARREGADEIRA SOBRE RODAS, POTÊNCIA LÍQUIDA DE 47 HP, CAPACIDADE NOMINAL DE OPERAÇÃO DE 646 KG - MATERIAIS NA OPERAÇÃO. AF_06/2015</v>
          </cell>
          <cell r="C856" t="str">
            <v>H</v>
          </cell>
          <cell r="D856">
            <v>30.3</v>
          </cell>
        </row>
        <row r="857">
          <cell r="A857">
            <v>90957</v>
          </cell>
          <cell r="B857" t="str">
            <v>COMPRESSOR DE AR REBOCÁVEL, VAZÃO 189 PCM, PRESSÃO EFETIVA DE TRABALHO 102 PSI, MOTOR DIESEL, POTÊNCIA 63 CV - DEPRECIAÇÃO. AF_06/2015</v>
          </cell>
          <cell r="C857" t="str">
            <v>H</v>
          </cell>
          <cell r="D857">
            <v>2.76</v>
          </cell>
        </row>
        <row r="858">
          <cell r="A858">
            <v>90958</v>
          </cell>
          <cell r="B858" t="str">
            <v>COMPRESSOR DE AR REBOCÁVEL, VAZÃO 189 PCM, PRESSÃO EFETIVA DE TRABALHO 102 PSI, MOTOR DIESEL, POTÊNCIA 63 CV - JUROS. AF_06/2015</v>
          </cell>
          <cell r="C858" t="str">
            <v>H</v>
          </cell>
          <cell r="D858">
            <v>0.38</v>
          </cell>
        </row>
        <row r="859">
          <cell r="A859">
            <v>90960</v>
          </cell>
          <cell r="B859" t="str">
            <v>COMPRESSOR DE AR REBOCÁVEL, VAZÃO 89 PCM, PRESSÃO EFETIVA DE TRABALHO 102 PSI, MOTOR DIESEL, POTÊNCIA 20 CV - DEPRECIAÇÃO. AF_06/2015</v>
          </cell>
          <cell r="C859" t="str">
            <v>H</v>
          </cell>
          <cell r="D859">
            <v>3.68</v>
          </cell>
        </row>
        <row r="860">
          <cell r="A860">
            <v>90961</v>
          </cell>
          <cell r="B860" t="str">
            <v>COMPRESSOR DE AR REBOCÁVEL, VAZÃO 89 PCM, PRESSÃO EFETIVA DE TRABALHO 102 PSI, MOTOR DIESEL, POTÊNCIA 20 CV - JUROS. AF_06/2015</v>
          </cell>
          <cell r="C860" t="str">
            <v>H</v>
          </cell>
          <cell r="D860">
            <v>0.51</v>
          </cell>
        </row>
        <row r="861">
          <cell r="A861">
            <v>90962</v>
          </cell>
          <cell r="B861" t="str">
            <v>COMPRESSOR DE AR REBOCÁVEL, VAZÃO 89 PCM, PRESSÃO EFETIVA DE TRABALHO 102 PSI, MOTOR DIESEL, POTÊNCIA 20 CV - MANUTENÇÃO. AF_06/2015</v>
          </cell>
          <cell r="C861" t="str">
            <v>H</v>
          </cell>
          <cell r="D861">
            <v>4.6100000000000003</v>
          </cell>
        </row>
        <row r="862">
          <cell r="A862">
            <v>90963</v>
          </cell>
          <cell r="B862" t="str">
            <v>COMPRESSOR DE AR REBOCÁVEL, VAZÃO 89 PCM, PRESSÃO EFETIVA DE TRABALHO 102 PSI, MOTOR DIESEL, POTÊNCIA 20 CV - MATERIAIS NA OPERAÇÃO. AF_06/2015</v>
          </cell>
          <cell r="C862" t="str">
            <v>H</v>
          </cell>
          <cell r="D862">
            <v>8.65</v>
          </cell>
        </row>
        <row r="863">
          <cell r="A863">
            <v>90968</v>
          </cell>
          <cell r="B863" t="str">
            <v>COMPRESSOR DE AR REBOCAVEL, VAZÃO 250 PCM, PRESSAO DE TRABALHO 102 PSI, MOTOR A DIESEL POTÊNCIA 81 CV - DEPRECIAÇÃO. AF_06/2015</v>
          </cell>
          <cell r="C863" t="str">
            <v>H</v>
          </cell>
          <cell r="D863">
            <v>3.69</v>
          </cell>
        </row>
        <row r="864">
          <cell r="A864">
            <v>90969</v>
          </cell>
          <cell r="B864" t="str">
            <v>COMPRESSOR DE AR REBOCAVEL, VAZÃO 250 PCM, PRESSAO DE TRABALHO 102 PSI, MOTOR A DIESEL POTÊNCIA 81 CV - JUROS. AF_06/2015</v>
          </cell>
          <cell r="C864" t="str">
            <v>H</v>
          </cell>
          <cell r="D864">
            <v>0.51</v>
          </cell>
        </row>
        <row r="865">
          <cell r="A865">
            <v>90970</v>
          </cell>
          <cell r="B865" t="str">
            <v>COMPRESSOR DE AR REBOCAVEL, VAZÃO 250 PCM, PRESSAO DE TRABALHO 102 PSI, MOTOR A DIESEL POTÊNCIA 81 CV - MANUTENÇÃO. AF_06/2015</v>
          </cell>
          <cell r="C865" t="str">
            <v>H</v>
          </cell>
          <cell r="D865">
            <v>4.62</v>
          </cell>
        </row>
        <row r="866">
          <cell r="A866">
            <v>90971</v>
          </cell>
          <cell r="B866" t="str">
            <v>COMPRESSOR DE AR REBOCAVEL, VAZÃO 250 PCM, PRESSAO DE TRABALHO 102 PSI, MOTOR A DIESEL POTÊNCIA 81 CV - MATERIAIS NA OPERAÇÃO. AF_06/2015</v>
          </cell>
          <cell r="C866" t="str">
            <v>H</v>
          </cell>
          <cell r="D866">
            <v>35.04</v>
          </cell>
        </row>
        <row r="867">
          <cell r="A867">
            <v>90975</v>
          </cell>
          <cell r="B867" t="str">
            <v>COMPRESSOR DE AR REBOCÁVEL, VAZÃO 748 PCM, PRESSÃO EFETIVA DE TRABALHO 102 PSI, MOTOR DIESEL, POTÊNCIA 210 CV - DEPRECIAÇÃO. AF_06/2015</v>
          </cell>
          <cell r="C867" t="str">
            <v>H</v>
          </cell>
          <cell r="D867">
            <v>9.39</v>
          </cell>
        </row>
        <row r="868">
          <cell r="A868">
            <v>90976</v>
          </cell>
          <cell r="B868" t="str">
            <v>COMPRESSOR DE AR REBOCÁVEL, VAZÃO 748 PCM, PRESSÃO EFETIVA DE TRABALHO 102 PSI, MOTOR DIESEL, POTÊNCIA 210 CV - JUROS. AF_06/2015</v>
          </cell>
          <cell r="C868" t="str">
            <v>H</v>
          </cell>
          <cell r="D868">
            <v>1.3</v>
          </cell>
        </row>
        <row r="869">
          <cell r="A869">
            <v>90977</v>
          </cell>
          <cell r="B869" t="str">
            <v>COMPRESSOR DE AR REBOCÁVEL, VAZÃO 748 PCM, PRESSÃO EFETIVA DE TRABALHO 102 PSI, MOTOR DIESEL, POTÊNCIA 210 CV - MANUTENÇÃO. AF_06/2015</v>
          </cell>
          <cell r="C869" t="str">
            <v>H</v>
          </cell>
          <cell r="D869">
            <v>11.75</v>
          </cell>
        </row>
        <row r="870">
          <cell r="A870">
            <v>90978</v>
          </cell>
          <cell r="B870" t="str">
            <v>COMPRESSOR DE AR REBOCÁVEL, VAZÃO 748 PCM, PRESSÃO EFETIVA DE TRABALHO 102 PSI, MOTOR DIESEL, POTÊNCIA 210 CV - MATERIAIS NA OPERAÇÃO. AF_06/2015</v>
          </cell>
          <cell r="C870" t="str">
            <v>H</v>
          </cell>
          <cell r="D870">
            <v>90.92</v>
          </cell>
        </row>
        <row r="871">
          <cell r="A871">
            <v>90992</v>
          </cell>
          <cell r="B871" t="str">
            <v>COMPRESSOR DE AR REBOCAVEL, VAZÃO 400 PCM, PRESSAO DE TRABALHO 102 PSI, MOTOR A DIESEL POTÊNCIA 110 CV - DEPRECIAÇÃO. AF_06/2015</v>
          </cell>
          <cell r="C871" t="str">
            <v>H</v>
          </cell>
          <cell r="D871">
            <v>4.38</v>
          </cell>
        </row>
        <row r="872">
          <cell r="A872">
            <v>90993</v>
          </cell>
          <cell r="B872" t="str">
            <v>COMPRESSOR DE AR REBOCAVEL, VAZÃO 400 PCM, PRESSAO DE TRABALHO 102 PSI, MOTOR A DIESEL POTÊNCIA 110 CV - JUROS. AF_06/2015</v>
          </cell>
          <cell r="C872" t="str">
            <v>H</v>
          </cell>
          <cell r="D872">
            <v>0.6</v>
          </cell>
        </row>
        <row r="873">
          <cell r="A873">
            <v>90994</v>
          </cell>
          <cell r="B873" t="str">
            <v>COMPRESSOR DE AR REBOCAVEL, VAZÃO 400 PCM, PRESSAO DE TRABALHO 102 PSI, MOTOR A DIESEL POTÊNCIA 110 CV - MANUTENÇÃO. AF_06/2015</v>
          </cell>
          <cell r="C873" t="str">
            <v>H</v>
          </cell>
          <cell r="D873">
            <v>5.48</v>
          </cell>
        </row>
        <row r="874">
          <cell r="A874">
            <v>90995</v>
          </cell>
          <cell r="B874" t="str">
            <v>COMPRESSOR DE AR REBOCAVEL, VAZÃO 400 PCM, PRESSAO DE TRABALHO 102 PSI, MOTOR A DIESEL POTÊNCIA 110 CV - MATERIAIS NA OPERAÇÃO. AF_06/2015</v>
          </cell>
          <cell r="C874" t="str">
            <v>H</v>
          </cell>
          <cell r="D874">
            <v>47.6</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v>3.26</v>
          </cell>
        </row>
        <row r="876">
          <cell r="A876">
            <v>91026</v>
          </cell>
          <cell r="B876" t="str">
            <v>CAMINHÃO TRUCADO (C/ TERCEIRO EIXO) ELETRÔNICO - POTÊNCIA 231CV - PBT = 22000KG - DIST. ENTRE EIXOS 5170 MM - INCLUI CARROCERIA FIXA ABERTA DE MADEIRA - DEPRECIAÇÃO. AF_06/2015</v>
          </cell>
          <cell r="C876" t="str">
            <v>H</v>
          </cell>
          <cell r="D876">
            <v>10.48</v>
          </cell>
        </row>
        <row r="877">
          <cell r="A877">
            <v>91027</v>
          </cell>
          <cell r="B877" t="str">
            <v>CAMINHÃO TRUCADO (C/ TERCEIRO EIXO) ELETRÔNICO - POTÊNCIA 231CV - PBT = 22000KG - DIST. ENTRE EIXOS 5170 MM - INCLUI CARROCERIA FIXA ABERTA DE MADEIRA - JUROS. AF_06/2015</v>
          </cell>
          <cell r="C877" t="str">
            <v>H</v>
          </cell>
          <cell r="D877">
            <v>2.2000000000000002</v>
          </cell>
        </row>
        <row r="878">
          <cell r="A878">
            <v>91028</v>
          </cell>
          <cell r="B878" t="str">
            <v>CAMINHÃO TRUCADO (C/ TERCEIRO EIXO) ELETRÔNICO - POTÊNCIA 231CV - PBT = 22000KG - DIST. ENTRE EIXOS 5170 MM - INCLUI CARROCERIA FIXA ABERTA DE MADEIRA - IMPOSTOS E SEGUROS. AF_06/2015</v>
          </cell>
          <cell r="C878" t="str">
            <v>H</v>
          </cell>
          <cell r="D878">
            <v>0.84</v>
          </cell>
        </row>
        <row r="879">
          <cell r="A879">
            <v>91029</v>
          </cell>
          <cell r="B879" t="str">
            <v>CAMINHÃO TRUCADO (C/ TERCEIRO EIXO) ELETRÔNICO - POTÊNCIA 231CV - PBT = 22000KG - DIST. ENTRE EIXOS 5170 MM - INCLUI CARROCERIA FIXA ABERTA DE MADEIRA - MANUTENÇÃO. AF_06/2015</v>
          </cell>
          <cell r="C879" t="str">
            <v>H</v>
          </cell>
          <cell r="D879">
            <v>19.64</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v>82.34</v>
          </cell>
        </row>
        <row r="881">
          <cell r="A881">
            <v>91273</v>
          </cell>
          <cell r="B881" t="str">
            <v>PLACA VIBRATÓRIA REVERSÍVEL COM MOTOR 4 TEMPOS A GASOLINA, FORÇA CENTRÍFUGA DE 25 KN (2500 KGF), POTÊNCIA 5,5 CV - DEPRECIAÇÃO. AF_08/2015</v>
          </cell>
          <cell r="C881" t="str">
            <v>H</v>
          </cell>
          <cell r="D881">
            <v>0.34</v>
          </cell>
        </row>
        <row r="882">
          <cell r="A882">
            <v>91274</v>
          </cell>
          <cell r="B882" t="str">
            <v>PLACA VIBRATÓRIA REVERSÍVEL COM MOTOR 4 TEMPOS A GASOLINA, FORÇA CENTRÍFUGA DE 25 KN (2500 KGF), POTÊNCIA 5,5 CV - JUROS. AF_08/2015</v>
          </cell>
          <cell r="C882" t="str">
            <v>H</v>
          </cell>
          <cell r="D882">
            <v>0.04</v>
          </cell>
        </row>
        <row r="883">
          <cell r="A883">
            <v>91275</v>
          </cell>
          <cell r="B883" t="str">
            <v>PLACA VIBRATÓRIA REVERSÍVEL COM MOTOR 4 TEMPOS A GASOLINA, FORÇA CENTRÍFUGA DE 25 KN (2500 KGF), POTÊNCIA 5,5 CV - MANUTENÇÃO. AF_08/2015</v>
          </cell>
          <cell r="C883" t="str">
            <v>H</v>
          </cell>
          <cell r="D883">
            <v>0.43</v>
          </cell>
        </row>
        <row r="884">
          <cell r="A884">
            <v>91276</v>
          </cell>
          <cell r="B884" t="str">
            <v>PLACA VIBRATÓRIA REVERSÍVEL COM MOTOR 4 TEMPOS A GASOLINA, FORÇA CENTRÍFUGA DE 25 KN (2500 KGF), POTÊNCIA 5,5 CV - MATERIAIS NA OPERAÇÃO. AF_08/2015</v>
          </cell>
          <cell r="C884" t="str">
            <v>H</v>
          </cell>
          <cell r="D884">
            <v>5.89</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v>0.77</v>
          </cell>
        </row>
        <row r="886">
          <cell r="A886">
            <v>91280</v>
          </cell>
          <cell r="B886" t="str">
            <v>CORTADORA DE PISO COM MOTOR 4 TEMPOS A GASOLINA, POTÊNCIA DE 13 HP, COM DISCO DE CORTE DIAMANTADO SEGMENTADO PARA CONCRETO, DIÂMETRO DE 350 MM, FURO DE 1" (14 X 1") - JUROS. AF_08/2015</v>
          </cell>
          <cell r="C886" t="str">
            <v>H</v>
          </cell>
          <cell r="D886">
            <v>0.08</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v>0.96</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v>14.08</v>
          </cell>
        </row>
        <row r="889">
          <cell r="A889">
            <v>91354</v>
          </cell>
          <cell r="B889" t="str">
            <v>CAMINHÃO TOCO, PESO BRUTO TOTAL 14.300 KG, CARGA ÚTIL MÁXIMA 9590 KG, DISTÂNCIA ENTRE EIXOS 4,76 M, POTÊNCIA 185 CV (NÃO INCLUI CARROCERIA) - DEPRECIAÇÃO. AF_06/2014</v>
          </cell>
          <cell r="C889" t="str">
            <v>H</v>
          </cell>
          <cell r="D889">
            <v>8.09</v>
          </cell>
        </row>
        <row r="890">
          <cell r="A890">
            <v>91355</v>
          </cell>
          <cell r="B890" t="str">
            <v>CAMINHÃO TOCO, PESO BRUTO TOTAL 14.300 KG, CARGA ÚTIL MÁXIMA 9590 KG, DISTÂNCIA ENTRE EIXOS 4,76 M, POTÊNCIA 185 CV (NÃO INCLUI CARROCERIA) - JUROS. AF_06/2014</v>
          </cell>
          <cell r="C890" t="str">
            <v>H</v>
          </cell>
          <cell r="D890">
            <v>1.69</v>
          </cell>
        </row>
        <row r="891">
          <cell r="A891">
            <v>91356</v>
          </cell>
          <cell r="B891" t="str">
            <v>CAMINHÃO TOCO, PESO BRUTO TOTAL 14.300 KG, CARGA ÚTIL MÁXIMA 9590 KG, DISTÂNCIA ENTRE EIXOS 4,76 M, POTÊNCIA 185 CV (NÃO INCLUI CARROCERIA) - IMPOSTOS E SEGUROS. AF_06/2014</v>
          </cell>
          <cell r="C891" t="str">
            <v>H</v>
          </cell>
          <cell r="D891">
            <v>0.66</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v>9.32</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v>1.95</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v>0.75</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v>11.96</v>
          </cell>
        </row>
        <row r="896">
          <cell r="A896">
            <v>91368</v>
          </cell>
          <cell r="B896" t="str">
            <v>CAMINHÃO BASCULANTE 6 M3, PESO BRUTO TOTAL 16.000 KG, CARGA ÚTIL MÁXIMA 13.071 KG, DISTÂNCIA ENTRE EIXOS 4,80 M, POTÊNCIA 230 CV INCLUSIVE CAÇAMBA METÁLICA - JUROS. AF_06/2014</v>
          </cell>
          <cell r="C896" t="str">
            <v>H</v>
          </cell>
          <cell r="D896">
            <v>2.21</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v>0.85</v>
          </cell>
        </row>
        <row r="898">
          <cell r="A898">
            <v>91375</v>
          </cell>
          <cell r="B898" t="str">
            <v>CAMINHÃO TOCO, PESO BRUTO TOTAL 16.000 KG, CARGA ÚTIL MÁXIMA DE 10.685 KG, DISTÂNCIA ENTRE EIXOS 4,80 M, POTÊNCIA 189 CV EXCLUSIVE CARROCERIA - DEPRECIAÇÃO. AF_06/2014</v>
          </cell>
          <cell r="C898" t="str">
            <v>H</v>
          </cell>
          <cell r="D898">
            <v>6.81</v>
          </cell>
        </row>
        <row r="899">
          <cell r="A899">
            <v>91376</v>
          </cell>
          <cell r="B899" t="str">
            <v>CAMINHÃO TOCO, PESO BRUTO TOTAL 16.000 KG, CARGA ÚTIL MÁXIMA DE 10.685 KG, DISTÂNCIA ENTRE EIXOS 4,80 M, POTÊNCIA 189 CV EXCLUSIVE CARROCERIA - JUROS. AF_06/2014</v>
          </cell>
          <cell r="C899" t="str">
            <v>H</v>
          </cell>
          <cell r="D899">
            <v>1.43</v>
          </cell>
        </row>
        <row r="900">
          <cell r="A900">
            <v>91377</v>
          </cell>
          <cell r="B900" t="str">
            <v>CAMINHÃO TOCO, PESO BRUTO TOTAL 16.000 KG, CARGA ÚTIL MÁXIMA DE 10.685 KG, DISTÂNCIA ENTRE EIXOS 4,80 M, POTÊNCIA 189 CV EXCLUSIVE CARROCERIA - IMPOSTOS E SEGUROS. AF_06/2014</v>
          </cell>
          <cell r="C900" t="str">
            <v>H</v>
          </cell>
          <cell r="D900">
            <v>0.55000000000000004</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v>13.54</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v>2.5</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v>0.98</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v>25.39</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v>82</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v>8.81</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v>1.84</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v>0.71</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v>11.94</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v>2.5</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v>0.97</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v>0.82</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v>0.76</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v>91.44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v>13.08</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v>2.82</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v>0.9</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v>124.11</v>
          </cell>
        </row>
        <row r="919">
          <cell r="A919">
            <v>91529</v>
          </cell>
          <cell r="B919" t="str">
            <v>COMPACTADOR DE SOLOS DE PERCUSSÃO (SOQUETE) COM MOTOR A GASOLINA 4 TEMPOS, POTÊNCIA 4 CV - DEPRECIAÇÃO. AF_08/2015</v>
          </cell>
          <cell r="C919" t="str">
            <v>H</v>
          </cell>
          <cell r="D919">
            <v>0.51</v>
          </cell>
        </row>
        <row r="920">
          <cell r="A920">
            <v>91530</v>
          </cell>
          <cell r="B920" t="str">
            <v>COMPACTADOR DE SOLOS DE PERCUSSÃO (SOQUETE) COM MOTOR A GASOLINA 4 TEMPOS, POTÊNCIA 4 CV - JUROS. AF_08/2015</v>
          </cell>
          <cell r="C920" t="str">
            <v>H</v>
          </cell>
          <cell r="D920">
            <v>7.0000000000000007E-2</v>
          </cell>
        </row>
        <row r="921">
          <cell r="A921">
            <v>91531</v>
          </cell>
          <cell r="B921" t="str">
            <v>COMPACTADOR DE SOLOS DE PERCUSSÃO (SOQUETE) COM MOTOR A GASOLINA 4 TEMPOS, POTÊNCIA 4 CV - MANUTENÇÃO. AF_08/2015</v>
          </cell>
          <cell r="C921" t="str">
            <v>H</v>
          </cell>
          <cell r="D921">
            <v>0.64</v>
          </cell>
        </row>
        <row r="922">
          <cell r="A922">
            <v>91532</v>
          </cell>
          <cell r="B922" t="str">
            <v>COMPACTADOR DE SOLOS DE PERCUSSÃO (SOQUETE) COM MOTOR A GASOLINA 4 TEMPOS, POTÊNCIA 4 CV - MATERIAIS NA OPERAÇÃO. AF_08/2015</v>
          </cell>
          <cell r="C922" t="str">
            <v>H</v>
          </cell>
          <cell r="D922">
            <v>4.2699999999999996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v>8.65</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v>1.81</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v>0.7</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v>16.239999999999998</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v>77.400000000000006</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v>174.17</v>
          </cell>
        </row>
        <row r="933">
          <cell r="A933">
            <v>91688</v>
          </cell>
          <cell r="B933" t="str">
            <v>SERRA CIRCULAR DE BANCADA COM MOTOR ELÉTRICO POTÊNCIA DE 5HP, COM COIFA PARA DISCO 10" - DEPRECIAÇÃO. AF_08/2015</v>
          </cell>
          <cell r="C933" t="str">
            <v>H</v>
          </cell>
          <cell r="D933">
            <v>0.08</v>
          </cell>
        </row>
        <row r="934">
          <cell r="A934">
            <v>91689</v>
          </cell>
          <cell r="B934" t="str">
            <v>SERRA CIRCULAR DE BANCADA COM MOTOR ELÉTRICO POTÊNCIA DE 5HP, COM COIFA PARA DISCO 10" - JUROS. AF_08/2015</v>
          </cell>
          <cell r="C934" t="str">
            <v>H</v>
          </cell>
          <cell r="D934">
            <v>0.01</v>
          </cell>
        </row>
        <row r="935">
          <cell r="A935">
            <v>91690</v>
          </cell>
          <cell r="B935" t="str">
            <v>SERRA CIRCULAR DE BANCADA COM MOTOR ELÉTRICO POTÊNCIA DE 5HP, COM COIFA PARA DISCO 10" - MANUTENÇÃO. AF_08/2015</v>
          </cell>
          <cell r="C935" t="str">
            <v>H</v>
          </cell>
          <cell r="D935">
            <v>0.06</v>
          </cell>
        </row>
        <row r="936">
          <cell r="A936">
            <v>91691</v>
          </cell>
          <cell r="B936" t="str">
            <v>SERRA CIRCULAR DE BANCADA COM MOTOR ELÉTRICO POTÊNCIA DE 5HP, COM COIFA PARA DISCO 10" - MATERIAIS NA OPERAÇÃO. AF_08/2015</v>
          </cell>
          <cell r="C936" t="str">
            <v>H</v>
          </cell>
          <cell r="D936">
            <v>2.56</v>
          </cell>
        </row>
        <row r="937">
          <cell r="A937">
            <v>92040</v>
          </cell>
          <cell r="B937" t="str">
            <v>DISTRIBUIDOR DE AGREGADOS REBOCAVEL, CAPACIDADE 1,9 M³, LARGURA DE TRABALHO 3,66 M - DEPRECIAÇÃO. AF_11/2015</v>
          </cell>
          <cell r="C937" t="str">
            <v>H</v>
          </cell>
          <cell r="D937">
            <v>4.13</v>
          </cell>
        </row>
        <row r="938">
          <cell r="A938">
            <v>92041</v>
          </cell>
          <cell r="B938" t="str">
            <v>DISTRIBUIDOR DE AGREGADOS REBOCAVEL, CAPACIDADE 1,9 M³, LARGURA DE TRABALHO 3,66 M - JUROS. AF_11/2015</v>
          </cell>
          <cell r="C938" t="str">
            <v>H</v>
          </cell>
          <cell r="D938">
            <v>0.43</v>
          </cell>
        </row>
        <row r="939">
          <cell r="A939">
            <v>92042</v>
          </cell>
          <cell r="B939" t="str">
            <v>DISTRIBUIDOR DE AGREGADOS REBOCAVEL, CAPACIDADE 1,9 M³, LARGURA DE TRABALHO 3,66 M - MANUTENÇÃO. AF_11/2015</v>
          </cell>
          <cell r="C939" t="str">
            <v>H</v>
          </cell>
          <cell r="D939">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v>13.43</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v>2.81</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v>1.0900000000000001</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v>25.19</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v>111.27</v>
          </cell>
        </row>
        <row r="945">
          <cell r="A945">
            <v>92108</v>
          </cell>
          <cell r="B945" t="str">
            <v>PENEIRA ROTATIVA COM MOTOR ELÉTRICO TRIFÁSICO DE 2 CV, CILINDRO DE 1 M X 0,60 M, COM FUROS DE 3,17 MM - DEPRECIAÇÃO. AF_11/2015</v>
          </cell>
          <cell r="C945" t="str">
            <v>H</v>
          </cell>
          <cell r="D945">
            <v>0.68</v>
          </cell>
        </row>
        <row r="946">
          <cell r="A946">
            <v>92109</v>
          </cell>
          <cell r="B946" t="str">
            <v>PENEIRA ROTATIVA COM MOTOR ELÉTRICO TRIFÁSICO DE 2 CV, CILINDRO DE 1 M X 0,60 M, COM FUROS DE 3,17 MM - JUROS. AF_11/2015</v>
          </cell>
          <cell r="C946" t="str">
            <v>H</v>
          </cell>
          <cell r="D946">
            <v>0.08</v>
          </cell>
        </row>
        <row r="947">
          <cell r="A947">
            <v>92110</v>
          </cell>
          <cell r="B947" t="str">
            <v>PENEIRA ROTATIVA COM MOTOR ELÉTRICO TRIFÁSICO DE 2 CV, CILINDRO DE 1 M X 0,60 M, COM FUROS DE 3,17 MM - MANUTENÇÃO. AF_11/2015</v>
          </cell>
          <cell r="C947" t="str">
            <v>H</v>
          </cell>
          <cell r="D947">
            <v>0.53</v>
          </cell>
        </row>
        <row r="948">
          <cell r="A948">
            <v>92111</v>
          </cell>
          <cell r="B948" t="str">
            <v>PENEIRA ROTATIVA COM MOTOR ELÉTRICO TRIFÁSICO DE 2 CV, CILINDRO DE 1 M X 0,60 M, COM FUROS DE 3,17 MM - MATERIAIS NA OPERAÇÃO. AF_11/2015</v>
          </cell>
          <cell r="C948" t="str">
            <v>H</v>
          </cell>
          <cell r="D948">
            <v>1.01</v>
          </cell>
        </row>
        <row r="949">
          <cell r="A949">
            <v>92114</v>
          </cell>
          <cell r="B949" t="str">
            <v>DOSADOR DE AREIA, CAPACIDADE DE 26 LITROS - DEPRECIAÇÃO. AF_11/2015</v>
          </cell>
          <cell r="C949" t="str">
            <v>H</v>
          </cell>
          <cell r="D949">
            <v>7.0000000000000007E-2</v>
          </cell>
        </row>
        <row r="950">
          <cell r="A950">
            <v>92115</v>
          </cell>
          <cell r="B950" t="str">
            <v>DOSADOR DE AREIA, CAPACIDADE DE 26 LITROS - JUROS. AF_11/2015</v>
          </cell>
          <cell r="C950" t="str">
            <v>H</v>
          </cell>
          <cell r="D950">
            <v>0</v>
          </cell>
        </row>
        <row r="951">
          <cell r="A951">
            <v>92116</v>
          </cell>
          <cell r="B951" t="str">
            <v>DOSADOR DE AREIA, CAPACIDADE DE 26 LITROS - MANUTENÇÃO. AF_11/2015</v>
          </cell>
          <cell r="C951" t="str">
            <v>H</v>
          </cell>
          <cell r="D951">
            <v>0.09</v>
          </cell>
        </row>
        <row r="952">
          <cell r="A952">
            <v>92133</v>
          </cell>
          <cell r="B952" t="str">
            <v>CAMINHONETE COM MOTOR A DIESEL, POTÊNCIA 180 CV, CABINE DUPLA, 4X4 - DEPRECIAÇÃO. AF_11/2015</v>
          </cell>
          <cell r="C952" t="str">
            <v>H</v>
          </cell>
          <cell r="D952">
            <v>7.91</v>
          </cell>
        </row>
        <row r="953">
          <cell r="A953">
            <v>92134</v>
          </cell>
          <cell r="B953" t="str">
            <v>CAMINHONETE COM MOTOR A DIESEL, POTÊNCIA 180 CV, CABINE DUPLA, 4X4 - JUROS. AF_11/2015</v>
          </cell>
          <cell r="C953" t="str">
            <v>H</v>
          </cell>
          <cell r="D953">
            <v>1.25</v>
          </cell>
        </row>
        <row r="954">
          <cell r="A954">
            <v>92135</v>
          </cell>
          <cell r="B954" t="str">
            <v>CAMINHONETE COM MOTOR A DIESEL, POTÊNCIA 180 CV, CABINE DUPLA, 4X4 - IMPOSTOS E SEGUROS. AF_11/2015</v>
          </cell>
          <cell r="C954" t="str">
            <v>H</v>
          </cell>
          <cell r="D954">
            <v>0.49</v>
          </cell>
        </row>
        <row r="955">
          <cell r="A955">
            <v>92136</v>
          </cell>
          <cell r="B955" t="str">
            <v>CAMINHONETE COM MOTOR A DIESEL, POTÊNCIA 180 CV, CABINE DUPLA, 4X4 - MANUTENÇÃO. AF_11/2015</v>
          </cell>
          <cell r="C955" t="str">
            <v>H</v>
          </cell>
          <cell r="D955">
            <v>9.89</v>
          </cell>
        </row>
        <row r="956">
          <cell r="A956">
            <v>92137</v>
          </cell>
          <cell r="B956" t="str">
            <v>CAMINHONETE COM MOTOR A DIESEL, POTÊNCIA 180 CV, CABINE DUPLA, 4X4 - MATERIAIS NA OPERAÇÃO. AF_11/2015</v>
          </cell>
          <cell r="C956" t="str">
            <v>H</v>
          </cell>
          <cell r="D956">
            <v>22.9</v>
          </cell>
        </row>
        <row r="957">
          <cell r="A957">
            <v>92140</v>
          </cell>
          <cell r="B957" t="str">
            <v>CAMINHONETE CABINE SIMPLES COM MOTOR 1.6 FLEX, CÂMBIO MANUAL, POTÊNCIA 101/104 CV, 2 PORTAS - DEPRECIAÇÃO. AF_11/2015</v>
          </cell>
          <cell r="C957" t="str">
            <v>H</v>
          </cell>
          <cell r="D957">
            <v>2.41</v>
          </cell>
        </row>
        <row r="958">
          <cell r="A958">
            <v>92141</v>
          </cell>
          <cell r="B958" t="str">
            <v>CAMINHONETE CABINE SIMPLES COM MOTOR 1.6 FLEX, CÂMBIO MANUAL, POTÊNCIA 101/104 CV, 2 PORTAS - JUROS. AF_11/2015</v>
          </cell>
          <cell r="C958" t="str">
            <v>H</v>
          </cell>
          <cell r="D958">
            <v>0.38</v>
          </cell>
        </row>
        <row r="959">
          <cell r="A959">
            <v>92142</v>
          </cell>
          <cell r="B959" t="str">
            <v>CAMINHONETE CABINE SIMPLES COM MOTOR 1.6 FLEX, CÂMBIO MANUAL, POTÊNCIA 101/104 CV, 2 PORTAS - IMPOSTOS E SEGUROS. AF_11/2015</v>
          </cell>
          <cell r="C959" t="str">
            <v>H</v>
          </cell>
          <cell r="D959">
            <v>0.15</v>
          </cell>
        </row>
        <row r="960">
          <cell r="A960">
            <v>92143</v>
          </cell>
          <cell r="B960" t="str">
            <v>CAMINHONETE CABINE SIMPLES COM MOTOR 1.6 FLEX, CÂMBIO MANUAL, POTÊNCIA 101/104 CV, 2 PORTAS - MANUTENÇÃO. AF_11/2015</v>
          </cell>
          <cell r="C960" t="str">
            <v>H</v>
          </cell>
          <cell r="D960">
            <v>3.01</v>
          </cell>
        </row>
        <row r="961">
          <cell r="A961">
            <v>92144</v>
          </cell>
          <cell r="B961" t="str">
            <v>CAMINHONETE CABINE SIMPLES COM MOTOR 1.6 FLEX, CÂMBIO MANUAL, POTÊNCIA 101/104 CV, 2 PORTAS - MATERIAIS NA OPERAÇÃO. AF_11/2015</v>
          </cell>
          <cell r="C961" t="str">
            <v>H</v>
          </cell>
          <cell r="D961">
            <v>27.76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v>159.66999999999999</v>
          </cell>
        </row>
        <row r="967">
          <cell r="A967">
            <v>92712</v>
          </cell>
          <cell r="B967" t="str">
            <v>APARELHO PARA CORTE E SOLDA OXI-ACETILENO SOBRE RODAS, INCLUSIVE CILINDROS E MAÇARICOS - DEPRECIAÇÃO. AF_12/2015</v>
          </cell>
          <cell r="C967" t="str">
            <v>H</v>
          </cell>
          <cell r="D967">
            <v>0.28999999999999998</v>
          </cell>
        </row>
        <row r="968">
          <cell r="A968">
            <v>92713</v>
          </cell>
          <cell r="B968" t="str">
            <v>APARELHO PARA CORTE E SOLDA OXI-ACETILENO SOBRE RODAS, INCLUSIVE CILINDROS E MAÇARICOS - JUROS. AF_12/2015</v>
          </cell>
          <cell r="C968" t="str">
            <v>H</v>
          </cell>
          <cell r="D968">
            <v>0.03</v>
          </cell>
        </row>
        <row r="969">
          <cell r="A969">
            <v>92714</v>
          </cell>
          <cell r="B969" t="str">
            <v>APARELHO PARA CORTE E SOLDA OXI-ACETILENO SOBRE RODAS, INCLUSIVE CILINDROS E MAÇARICOS - MANUTENÇÃO. AF_12/2015</v>
          </cell>
          <cell r="C969" t="str">
            <v>H</v>
          </cell>
          <cell r="D969">
            <v>0.36</v>
          </cell>
        </row>
        <row r="970">
          <cell r="A970">
            <v>92715</v>
          </cell>
          <cell r="B970" t="str">
            <v>APARELHO PARA CORTE E SOLDA OXI-ACETILENO SOBRE RODAS, INCLUSIVE CILINDROS E MAÇARICOS - MATERIAIS NA OPERAÇÃO. AF_12/2015</v>
          </cell>
          <cell r="C970" t="str">
            <v>H</v>
          </cell>
          <cell r="D970">
            <v>26.1</v>
          </cell>
        </row>
        <row r="971">
          <cell r="A971">
            <v>92956</v>
          </cell>
          <cell r="B971" t="str">
            <v>MÁQUINA EXTRUSORA DE CONCRETO PARA GUIAS E SARJETAS, MOTOR A DIESEL, POTÊNCIA 14 CV - DEPRECIAÇÃO. AF_12/2015</v>
          </cell>
          <cell r="C971" t="str">
            <v>H</v>
          </cell>
          <cell r="D971">
            <v>3.75</v>
          </cell>
        </row>
        <row r="972">
          <cell r="A972">
            <v>92957</v>
          </cell>
          <cell r="B972" t="str">
            <v>MÁQUINA EXTRUSORA DE CONCRETO PARA GUIAS E SARJETAS, MOTOR A DIESEL, POTÊNCIA 14 CV - JUROS. AF_12/2015</v>
          </cell>
          <cell r="C972" t="str">
            <v>H</v>
          </cell>
          <cell r="D972">
            <v>0.44</v>
          </cell>
        </row>
        <row r="973">
          <cell r="A973">
            <v>92958</v>
          </cell>
          <cell r="B973" t="str">
            <v>MÁQUINA EXTRUSORA DE CONCRETO PARA GUIAS E SARJETAS, MOTOR A DIESEL, POTÊNCIA 14 CV - MANUTENÇÃO. AF_12/2015</v>
          </cell>
          <cell r="C973" t="str">
            <v>H</v>
          </cell>
          <cell r="D973">
            <v>4.1100000000000003</v>
          </cell>
        </row>
        <row r="974">
          <cell r="A974">
            <v>92959</v>
          </cell>
          <cell r="B974" t="str">
            <v>MÁQUINA EXTRUSORA DE CONCRETO PARA GUIAS E SARJETAS, MOTOR A DIESEL, POTÊNCIA 14 CV - MATERIAIS NA OPERAÇÃO. AF_12/2015</v>
          </cell>
          <cell r="C974" t="str">
            <v>H</v>
          </cell>
          <cell r="D974">
            <v>5.36</v>
          </cell>
        </row>
        <row r="975">
          <cell r="A975">
            <v>92963</v>
          </cell>
          <cell r="B975" t="str">
            <v>MARTELO PERFURADOR PNEUMÁTICO MANUAL, HASTE 25 X 75 MM, 21 KG - DEPRECIAÇÃO. AF_12/2015</v>
          </cell>
          <cell r="C975" t="str">
            <v>H</v>
          </cell>
          <cell r="D975">
            <v>1.61</v>
          </cell>
        </row>
        <row r="976">
          <cell r="A976">
            <v>92964</v>
          </cell>
          <cell r="B976" t="str">
            <v>MARTELO PERFURADOR PNEUMÁTICO MANUAL, HASTE 25 X 75 MM, 21 KG - JUROS. AF_12/2015</v>
          </cell>
          <cell r="C976" t="str">
            <v>H</v>
          </cell>
          <cell r="D976">
            <v>0.19</v>
          </cell>
        </row>
        <row r="977">
          <cell r="A977">
            <v>92965</v>
          </cell>
          <cell r="B977" t="str">
            <v>MARTELO PERFURADOR PNEUMÁTICO MANUAL, HASTE 25 X 75 MM, 21 KG - MANUTENÇÃO. AF_12/2015</v>
          </cell>
          <cell r="C977" t="str">
            <v>H</v>
          </cell>
          <cell r="D977">
            <v>2.02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v>90.37</v>
          </cell>
        </row>
        <row r="982">
          <cell r="A982">
            <v>93229</v>
          </cell>
          <cell r="B982" t="str">
            <v>BETONEIRA CAPACIDADE NOMINAL 400 L, CAPACIDADE DE MISTURA 310 L, MOTOR A GASOLINA POTÊNCIA 5,5 HP, SEM CARREGADOR - DEPRECIAÇÃO. AF_02/2016</v>
          </cell>
          <cell r="C982" t="str">
            <v>H</v>
          </cell>
          <cell r="D982">
            <v>0.28000000000000003</v>
          </cell>
        </row>
        <row r="983">
          <cell r="A983">
            <v>93230</v>
          </cell>
          <cell r="B983" t="str">
            <v>BETONEIRA CAPACIDADE NOMINAL 400 L, CAPACIDADE DE MISTURA 310 L, MOTOR A GASOLINA POTÊNCIA 5,5 HP, SEM CARREGADOR - JUROS. AF_02/2016</v>
          </cell>
          <cell r="C983" t="str">
            <v>H</v>
          </cell>
          <cell r="D983">
            <v>0.03</v>
          </cell>
        </row>
        <row r="984">
          <cell r="A984">
            <v>93231</v>
          </cell>
          <cell r="B984" t="str">
            <v>BETONEIRA CAPACIDADE NOMINAL 400 L, CAPACIDADE DE MISTURA 310 L, MOTOR A GASOLINA POTÊNCIA 5,5 HP, SEM CARREGADOR - MANUTENÇÃO. AF_02/2016</v>
          </cell>
          <cell r="C984" t="str">
            <v>H</v>
          </cell>
          <cell r="D984">
            <v>0.27</v>
          </cell>
        </row>
        <row r="985">
          <cell r="A985">
            <v>93232</v>
          </cell>
          <cell r="B985" t="str">
            <v>BETONEIRA CAPACIDADE NOMINAL 400 L, CAPACIDADE DE MISTURA 310 L, MOTOR A GASOLINA POTÊNCIA 5,5 HP, SEM CARREGADOR - MATERIAIS NA OPERAÇÃO. AF_02/2016</v>
          </cell>
          <cell r="C985" t="str">
            <v>H</v>
          </cell>
          <cell r="D985">
            <v>5.97</v>
          </cell>
        </row>
        <row r="986">
          <cell r="A986">
            <v>93235</v>
          </cell>
          <cell r="B986" t="str">
            <v>GRUPO GERADOR ESTACIONÁRIO, MOTOR DIESEL POTÊNCIA 170 KVA - JUROS. AF_02/2016</v>
          </cell>
          <cell r="C986" t="str">
            <v>H</v>
          </cell>
          <cell r="D986">
            <v>0.79</v>
          </cell>
        </row>
        <row r="987">
          <cell r="A987">
            <v>93238</v>
          </cell>
          <cell r="B987" t="str">
            <v>ROLO COMPACTADOR VIBRATÓRIO REBOCÁVEL, CILINDRO DE AÇO LISO, POTÊNCIA DE TRAÇÃO DE 65 CV, PESO 4,7 T, IMPACTO DINÂMICO 18,3 T, LARGURA DE TRABALHO 1,67 M - JUROS. AF_02/2016</v>
          </cell>
          <cell r="C987" t="str">
            <v>H</v>
          </cell>
          <cell r="D987">
            <v>0.66</v>
          </cell>
        </row>
        <row r="988">
          <cell r="A988">
            <v>93239</v>
          </cell>
          <cell r="B988" t="str">
            <v>ROLO COMPACTADOR VIBRATÓRIO PÉ DE CARNEIRO, OPERADO POR CONTROLE REMOTO, POTÊNCIA 12,5 KW, PESO OPERACIONAL 1,675 T, LARGURA DE TRABALHO 0,85 M - JUROS. AF_02/2016</v>
          </cell>
          <cell r="C988" t="str">
            <v>H</v>
          </cell>
          <cell r="D988">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v>6.92</v>
          </cell>
        </row>
        <row r="990">
          <cell r="A990">
            <v>93267</v>
          </cell>
          <cell r="B990" t="str">
            <v>GRUA ASCENCIONAL, LANÇA DE 30 M, CAPACIDADE DE 1,0 T A 30 M, ALTURA ATÉ 39 M  DEPRECIAÇÃO. AF_03/2016</v>
          </cell>
          <cell r="C990" t="str">
            <v>H</v>
          </cell>
          <cell r="D990">
            <v>25</v>
          </cell>
        </row>
        <row r="991">
          <cell r="A991">
            <v>93269</v>
          </cell>
          <cell r="B991" t="str">
            <v>GRUA ASCENCIONAL, LANÇA DE 30 M, CAPACIDADE DE 1,0 T A 30 M, ALTURA ATÉ 39 M   JUROS. AF_03/2016</v>
          </cell>
          <cell r="C991" t="str">
            <v>H</v>
          </cell>
          <cell r="D991">
            <v>2.96</v>
          </cell>
        </row>
        <row r="992">
          <cell r="A992">
            <v>93270</v>
          </cell>
          <cell r="B992" t="str">
            <v>GRUA ASCENCIONAL, LANÇA DE 30 M, CAPACIDADE DE 1,0 T A 30 M, ALTURA ATÉ 39 M   MANUTENÇÃO. AF_03/2016</v>
          </cell>
          <cell r="C992" t="str">
            <v>H</v>
          </cell>
          <cell r="D992">
            <v>27.34</v>
          </cell>
        </row>
        <row r="993">
          <cell r="A993">
            <v>93271</v>
          </cell>
          <cell r="B993" t="str">
            <v>GRUA ASCENCIONAL, LANÇA DE 30 M, CAPACIDADE DE 1,0 T A 30 M, ALTURA ATÉ 39 M   MATERIAIS NA OPERAÇÃO. AF_03/2016</v>
          </cell>
          <cell r="C993" t="str">
            <v>H</v>
          </cell>
          <cell r="D993">
            <v>7.57</v>
          </cell>
        </row>
        <row r="994">
          <cell r="A994">
            <v>93277</v>
          </cell>
          <cell r="B994" t="str">
            <v>GUINCHO ELÉTRICO DE COLUNA, CAPACIDADE 400 KG, COM MOTO FREIO, MOTOR TRIFÁSICO DE 1,25 CV - DEPRECIAÇÃO. AF_03/2016</v>
          </cell>
          <cell r="C994" t="str">
            <v>H</v>
          </cell>
          <cell r="D994">
            <v>0.28999999999999998</v>
          </cell>
        </row>
        <row r="995">
          <cell r="A995">
            <v>93278</v>
          </cell>
          <cell r="B995" t="str">
            <v>GUINCHO ELÉTRICO DE COLUNA, CAPACIDADE 400 KG, COM MOTO FREIO, MOTOR TRIFÁSICO DE 1,25 CV - JUROS. AF_03/2016</v>
          </cell>
          <cell r="C995" t="str">
            <v>H</v>
          </cell>
          <cell r="D995">
            <v>0.03</v>
          </cell>
        </row>
        <row r="996">
          <cell r="A996">
            <v>93279</v>
          </cell>
          <cell r="B996" t="str">
            <v>GUINCHO ELÉTRICO DE COLUNA, CAPACIDADE 400 KG, COM MOTO FREIO, MOTOR TRIFÁSICO DE 1,25 CV - MANUTENÇÃO. AF_03/2016</v>
          </cell>
          <cell r="C996" t="str">
            <v>H</v>
          </cell>
          <cell r="D996">
            <v>0.27</v>
          </cell>
        </row>
        <row r="997">
          <cell r="A997">
            <v>93280</v>
          </cell>
          <cell r="B997" t="str">
            <v>GUINCHO ELÉTRICO DE COLUNA, CAPACIDADE 400 KG, COM MOTO FREIO, MOTOR TRIFÁSICO DE 1,25 CV - MATERIAIS NA OPERAÇÃO. AF_03/2016</v>
          </cell>
          <cell r="C997" t="str">
            <v>H</v>
          </cell>
          <cell r="D997">
            <v>0.63</v>
          </cell>
        </row>
        <row r="998">
          <cell r="A998">
            <v>93283</v>
          </cell>
          <cell r="B998" t="str">
            <v>GUINDASTE HIDRÁULICO AUTOPROPELIDO, COM LANÇA TELESCÓPICA 40 M, CAPACIDADE MÁXIMA 60 T, POTÊNCIA 260 KW - DEPRECIAÇÃO. AF_03/2016</v>
          </cell>
          <cell r="C998" t="str">
            <v>H</v>
          </cell>
          <cell r="D998">
            <v>52.55</v>
          </cell>
        </row>
        <row r="999">
          <cell r="A999">
            <v>93284</v>
          </cell>
          <cell r="B999" t="str">
            <v>GUINDASTE HIDRÁULICO AUTOPROPELIDO, COM LANÇA TELESCÓPICA 40 M, CAPACIDADE MÁXIMA 60 T, POTÊNCIA 260 KW - JUROS. AF_03/2016</v>
          </cell>
          <cell r="C999" t="str">
            <v>H</v>
          </cell>
          <cell r="D999">
            <v>9.98</v>
          </cell>
        </row>
        <row r="1000">
          <cell r="A1000">
            <v>93285</v>
          </cell>
          <cell r="B1000" t="str">
            <v>GUINDASTE HIDRÁULICO AUTOPROPELIDO, COM LANÇA TELESCÓPICA 40 M, CAPACIDADE MÁXIMA 60 T, POTÊNCIA 260 KW - MANUTENÇÃO. AF_03/2016</v>
          </cell>
          <cell r="C1000" t="str">
            <v>H</v>
          </cell>
          <cell r="D1000">
            <v>84.47</v>
          </cell>
        </row>
        <row r="1001">
          <cell r="A1001">
            <v>93286</v>
          </cell>
          <cell r="B1001" t="str">
            <v>GUINDASTE HIDRÁULICO AUTOPROPELIDO, COM LANÇA TELESCÓPICA 40 M, CAPACIDADE MÁXIMA 60 T, POTÊNCIA 260 KW - MATERIAIS NA OPERAÇÃO. AF_03/2016</v>
          </cell>
          <cell r="C1001" t="str">
            <v>H</v>
          </cell>
          <cell r="D1001">
            <v>179.01</v>
          </cell>
        </row>
        <row r="1002">
          <cell r="A1002">
            <v>93296</v>
          </cell>
          <cell r="B1002" t="str">
            <v>GUINDASTE HIDRÁULICO AUTOPROPELIDO, COM LANÇA TELESCÓPICA 40 M, CAPACIDADE MÁXIMA 60 T, POTÊNCIA 260 KW - IMPOSTOS E SEGUROS. AF_03/2016</v>
          </cell>
          <cell r="C1002" t="str">
            <v>H</v>
          </cell>
          <cell r="D1002">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v>8.65</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v>1.81</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v>0.7</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v>16.239999999999998</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v>91.44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v>5.2</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v>6.5</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v>27.26</v>
          </cell>
        </row>
        <row r="1012">
          <cell r="A1012">
            <v>93411</v>
          </cell>
          <cell r="B1012" t="str">
            <v>GERADOR PORTÁTIL MONOFÁSICO, POTÊNCIA 5500 VA, MOTOR A GASOLINA, POTÊNCIA DO MOTOR 13 CV - DEPRECIAÇÃO. AF_03/2016</v>
          </cell>
          <cell r="C1012" t="str">
            <v>H</v>
          </cell>
          <cell r="D1012">
            <v>0.21</v>
          </cell>
        </row>
        <row r="1013">
          <cell r="A1013">
            <v>93412</v>
          </cell>
          <cell r="B1013" t="str">
            <v>GERADOR PORTÁTIL MONOFÁSICO, POTÊNCIA 5500 VA, MOTOR A GASOLINA, POTÊNCIA DO MOTOR 13 CV - JUROS. AF_03/2016</v>
          </cell>
          <cell r="C1013" t="str">
            <v>H</v>
          </cell>
          <cell r="D1013">
            <v>0.03</v>
          </cell>
        </row>
        <row r="1014">
          <cell r="A1014">
            <v>93413</v>
          </cell>
          <cell r="B1014" t="str">
            <v>GERADOR PORTÁTIL MONOFÁSICO, POTÊNCIA 5500 VA, MOTOR A GASOLINA, POTÊNCIA DO MOTOR 13 CV - MANUTENÇÃO. AF_03/2016</v>
          </cell>
          <cell r="C1014" t="str">
            <v>H</v>
          </cell>
          <cell r="D1014">
            <v>0.18</v>
          </cell>
        </row>
        <row r="1015">
          <cell r="A1015">
            <v>93414</v>
          </cell>
          <cell r="B1015" t="str">
            <v>GERADOR PORTÁTIL MONOFÁSICO, POTÊNCIA 5500 VA, MOTOR A GASOLINA, POTÊNCIA DO MOTOR 13 CV - MATERIAIS NA OPERAÇÃO. AF_03/2016</v>
          </cell>
          <cell r="C1015" t="str">
            <v>H</v>
          </cell>
          <cell r="D1015">
            <v>10.3</v>
          </cell>
        </row>
        <row r="1016">
          <cell r="A1016">
            <v>93417</v>
          </cell>
          <cell r="B1016" t="str">
            <v>GRUPO GERADOR REBOCÁVEL, POTÊNCIA 66 KVA, MOTOR A DIESEL - DEPRECIAÇÃO. AF_03/2016</v>
          </cell>
          <cell r="C1016" t="str">
            <v>H</v>
          </cell>
          <cell r="D1016">
            <v>2.76</v>
          </cell>
        </row>
        <row r="1017">
          <cell r="A1017">
            <v>93418</v>
          </cell>
          <cell r="B1017" t="str">
            <v>GRUPO GERADOR REBOCÁVEL, POTÊNCIA 66 KVA, MOTOR A DIESEL - JUROS. AF_03/2016</v>
          </cell>
          <cell r="C1017" t="str">
            <v>H</v>
          </cell>
          <cell r="D1017">
            <v>0.49</v>
          </cell>
        </row>
        <row r="1018">
          <cell r="A1018">
            <v>93419</v>
          </cell>
          <cell r="B1018" t="str">
            <v>GRUPO GERADOR REBOCÁVEL, POTÊNCIA 66 KVA, MOTOR A DIESEL - MANUTENÇÃO. AF_03/2016</v>
          </cell>
          <cell r="C1018" t="str">
            <v>H</v>
          </cell>
          <cell r="D1018">
            <v>2.46</v>
          </cell>
        </row>
        <row r="1019">
          <cell r="A1019">
            <v>93420</v>
          </cell>
          <cell r="B1019" t="str">
            <v>GRUPO GERADOR REBOCÁVEL, POTÊNCIA 66 KVA, MOTOR A DIESEL - MATERIAIS NA OPERAÇÃO. AF_03/2016</v>
          </cell>
          <cell r="C1019" t="str">
            <v>H</v>
          </cell>
          <cell r="D1019">
            <v>38.78</v>
          </cell>
        </row>
        <row r="1020">
          <cell r="A1020">
            <v>93423</v>
          </cell>
          <cell r="B1020" t="str">
            <v>GRUPO GERADOR ESTACIONÁRIO, POTÊNCIA 150 KVA, MOTOR A DIESEL- DEPRECIAÇÃO. AF_03/2016</v>
          </cell>
          <cell r="C1020" t="str">
            <v>H</v>
          </cell>
          <cell r="D1020">
            <v>3.91</v>
          </cell>
        </row>
        <row r="1021">
          <cell r="A1021">
            <v>93424</v>
          </cell>
          <cell r="B1021" t="str">
            <v>GRUPO GERADOR ESTACIONÁRIO, POTÊNCIA 150 KVA, MOTOR A DIESEL- JUROS. AF_03/2016</v>
          </cell>
          <cell r="C1021" t="str">
            <v>H</v>
          </cell>
          <cell r="D1021">
            <v>0.7</v>
          </cell>
        </row>
        <row r="1022">
          <cell r="A1022">
            <v>93425</v>
          </cell>
          <cell r="B1022" t="str">
            <v>GRUPO GERADOR ESTACIONÁRIO, POTÊNCIA 150 KVA, MOTOR A DIESEL- MANUTENÇÃO. AF_03/2016</v>
          </cell>
          <cell r="C1022" t="str">
            <v>H</v>
          </cell>
          <cell r="D1022">
            <v>3.48</v>
          </cell>
        </row>
        <row r="1023">
          <cell r="A1023">
            <v>93426</v>
          </cell>
          <cell r="B1023" t="str">
            <v>GRUPO GERADOR ESTACIONÁRIO, POTÊNCIA 150 KVA, MOTOR A DIESEL- MATERIAIS NA OPERAÇÃO. AF_03/2016</v>
          </cell>
          <cell r="C1023" t="str">
            <v>H</v>
          </cell>
          <cell r="D1023">
            <v>92.69</v>
          </cell>
        </row>
        <row r="1024">
          <cell r="A1024">
            <v>93429</v>
          </cell>
          <cell r="B1024" t="str">
            <v>USINA DE MISTURA ASFÁLTICA À QUENTE, TIPO CONTRA FLUXO, PROD 40 A 80 TON/HORA - DEPRECIAÇÃO. AF_03/2016</v>
          </cell>
          <cell r="C1024" t="str">
            <v>H</v>
          </cell>
          <cell r="D1024">
            <v>66</v>
          </cell>
        </row>
        <row r="1025">
          <cell r="A1025">
            <v>93430</v>
          </cell>
          <cell r="B1025" t="str">
            <v>USINA DE MISTURA ASFÁLTICA À QUENTE, TIPO CONTRA FLUXO, PROD 40 A 80 TON/HORA - JUROS. AF_03/2016</v>
          </cell>
          <cell r="C1025" t="str">
            <v>H</v>
          </cell>
          <cell r="D1025">
            <v>11.88</v>
          </cell>
        </row>
        <row r="1026">
          <cell r="A1026">
            <v>93431</v>
          </cell>
          <cell r="B1026" t="str">
            <v>USINA DE MISTURA ASFÁLTICA À QUENTE, TIPO CONTRA FLUXO, PROD 40 A 80 TON/HORA - MANUTENÇÃO. AF_03/2016</v>
          </cell>
          <cell r="C1026" t="str">
            <v>H</v>
          </cell>
          <cell r="D1026">
            <v>106.09</v>
          </cell>
        </row>
        <row r="1027">
          <cell r="A1027">
            <v>93432</v>
          </cell>
          <cell r="B1027" t="str">
            <v>USINA DE MISTURA ASFÁLTICA À QUENTE, TIPO CONTRA FLUXO, PROD 40 A 80 TON/HORA - MATERIAIS NA OPERAÇÃO. AF_03/2016</v>
          </cell>
          <cell r="C1027" t="str">
            <v>H</v>
          </cell>
          <cell r="D1027">
            <v>1660.8</v>
          </cell>
        </row>
        <row r="1028">
          <cell r="A1028">
            <v>93435</v>
          </cell>
          <cell r="B1028" t="str">
            <v>USINA DE ASFALTO À FRIO, CAPACIDADE DE 40 A 60 TON/HORA, ELÉTRICA POTÊNCIA 30 CV - DEPRECIAÇÃO. AF_03/2016</v>
          </cell>
          <cell r="C1028" t="str">
            <v>H</v>
          </cell>
          <cell r="D1028">
            <v>3.57</v>
          </cell>
        </row>
        <row r="1029">
          <cell r="A1029">
            <v>93436</v>
          </cell>
          <cell r="B1029" t="str">
            <v>USINA DE ASFALTO À FRIO, CAPACIDADE DE 40 A 60 TON/HORA, ELÉTRICA POTÊNCIA 30 CV - JUROS. AF_03/2016</v>
          </cell>
          <cell r="C1029" t="str">
            <v>H</v>
          </cell>
          <cell r="D1029">
            <v>0.75</v>
          </cell>
        </row>
        <row r="1030">
          <cell r="A1030">
            <v>93437</v>
          </cell>
          <cell r="B1030" t="str">
            <v>USINA DE ASFALTO À FRIO, CAPACIDADE DE 40 A 60 TON/HORA, ELÉTRICA POTÊNCIA 30 CV - MANUTENÇÃO. AF_03/2016</v>
          </cell>
          <cell r="C1030" t="str">
            <v>H</v>
          </cell>
          <cell r="D1030">
            <v>6.69</v>
          </cell>
        </row>
        <row r="1031">
          <cell r="A1031">
            <v>93438</v>
          </cell>
          <cell r="B1031" t="str">
            <v>USINA DE ASFALTO À FRIO, CAPACIDADE DE 40 A 60 TON/HORA, ELÉTRICA POTÊNCIA 30 CV - MATERIAIS NA OPERAÇÃO. AF_03/2016</v>
          </cell>
          <cell r="C1031" t="str">
            <v>H</v>
          </cell>
          <cell r="D1031">
            <v>17.16</v>
          </cell>
        </row>
        <row r="1032">
          <cell r="A1032">
            <v>95114</v>
          </cell>
          <cell r="B1032" t="str">
            <v>MARTELETE OU ROMPEDOR PNEUMÁTICO MANUAL, 28 KG, COM SILENCIADOR - DEPRECIAÇÃO. AF_07/2016</v>
          </cell>
          <cell r="C1032" t="str">
            <v>H</v>
          </cell>
          <cell r="D1032">
            <v>1.57</v>
          </cell>
        </row>
        <row r="1033">
          <cell r="A1033">
            <v>95115</v>
          </cell>
          <cell r="B1033" t="str">
            <v>MARTELETE OU ROMPEDOR PNEUMÁTICO MANUAL, 28 KG, COM SILENCIADOR - JUROS. AF_07/2016</v>
          </cell>
          <cell r="C1033" t="str">
            <v>H</v>
          </cell>
          <cell r="D1033">
            <v>0.18</v>
          </cell>
        </row>
        <row r="1034">
          <cell r="A1034">
            <v>95116</v>
          </cell>
          <cell r="B1034" t="str">
            <v>USINA DE CONCRETO FIXA, CAPACIDADE NOMINAL DE 90 A 120 M3/H, SEM SILO - DEPRECIAÇÃO. AF_07/2016</v>
          </cell>
          <cell r="C1034" t="str">
            <v>H</v>
          </cell>
          <cell r="D1034">
            <v>31.99</v>
          </cell>
        </row>
        <row r="1035">
          <cell r="A1035">
            <v>95117</v>
          </cell>
          <cell r="B1035" t="str">
            <v>USINA DE CONCRETO FIXA, CAPACIDADE NOMINAL DE 90 A 120 M3/H, SEM SILO - JUROS. AF_07/2016</v>
          </cell>
          <cell r="C1035" t="str">
            <v>H</v>
          </cell>
          <cell r="D1035">
            <v>5.04</v>
          </cell>
        </row>
        <row r="1036">
          <cell r="A1036">
            <v>95118</v>
          </cell>
          <cell r="B1036" t="str">
            <v>USINA MISTURADORA DE SOLOS, CAPACIDADE DE 200 A 500 TON/H, POTENCIA 75KW - DEPRECIAÇÃO. AF_07/2016</v>
          </cell>
          <cell r="C1036" t="str">
            <v>H</v>
          </cell>
          <cell r="D1036">
            <v>34.04</v>
          </cell>
        </row>
        <row r="1037">
          <cell r="A1037">
            <v>95119</v>
          </cell>
          <cell r="B1037" t="str">
            <v>USINA MISTURADORA DE SOLOS, CAPACIDADE DE 200 A 500 TON/H, POTENCIA 75KW - JUROS. AF_07/2016</v>
          </cell>
          <cell r="C1037" t="str">
            <v>H</v>
          </cell>
          <cell r="D1037">
            <v>6.12</v>
          </cell>
        </row>
        <row r="1038">
          <cell r="A1038">
            <v>95120</v>
          </cell>
          <cell r="B1038" t="str">
            <v>USINA MISTURADORA DE SOLOS, CAPACIDADE DE 200 A 500 TON/H, POTENCIA 75KW - MATERIAIS NA OPERAÇÃO. AF_07/2016</v>
          </cell>
          <cell r="C1038" t="str">
            <v>H</v>
          </cell>
          <cell r="D1038">
            <v>51.63</v>
          </cell>
        </row>
        <row r="1039">
          <cell r="A1039">
            <v>95123</v>
          </cell>
          <cell r="B1039" t="str">
            <v>DISTRIBUIDOR DE AGREGADOS AUTOPROPELIDO, CAP 3 M3, A DIESEL, POTÊNCIA 176CV - DEPRECIAÇÃO. AF_07/2016</v>
          </cell>
          <cell r="C1039" t="str">
            <v>H</v>
          </cell>
          <cell r="D1039">
            <v>11.4</v>
          </cell>
        </row>
        <row r="1040">
          <cell r="A1040">
            <v>95124</v>
          </cell>
          <cell r="B1040" t="str">
            <v>DISTRIBUIDOR DE AGREGADOS AUTOPROPELIDO, C/AP 3 M3, A DIESEL, POTÊNCIA 176CV - JUROS. AF_07/2016</v>
          </cell>
          <cell r="C1040" t="str">
            <v>H</v>
          </cell>
          <cell r="D1040">
            <v>1.79</v>
          </cell>
        </row>
        <row r="1041">
          <cell r="A1041">
            <v>95125</v>
          </cell>
          <cell r="B1041" t="str">
            <v>DISTRIBUIDOR DE AGREGADOS AUTOPROPELIDO, CAP 3 M3, A DIESEL, POTÊNCIA 176CV - MANUTENÇÃO. AF_07/2016</v>
          </cell>
          <cell r="C1041" t="str">
            <v>H</v>
          </cell>
          <cell r="D1041">
            <v>12.47</v>
          </cell>
        </row>
        <row r="1042">
          <cell r="A1042">
            <v>95126</v>
          </cell>
          <cell r="B1042" t="str">
            <v>DISTRIBUIDOR DE AGREGADOS AUTOPROPELIDO, CAP 3 M3, A DIESEL, POTÊNCIA 176CV  MATERIAIS NA OPERAÇÃO. AF_07/2016</v>
          </cell>
          <cell r="C1042" t="str">
            <v>H</v>
          </cell>
          <cell r="D1042">
            <v>85.15</v>
          </cell>
        </row>
        <row r="1043">
          <cell r="A1043">
            <v>95129</v>
          </cell>
          <cell r="B1043" t="str">
            <v>MÁQUINA DEMARCADORA DE FAIXA DE TRÁFEGO À FRIO, AUTOPROPELIDA, POTÊNCIA 38 HP - DEPRECIAÇÃO. AF_07/2016</v>
          </cell>
          <cell r="C1043" t="str">
            <v>H</v>
          </cell>
          <cell r="D1043">
            <v>20.23</v>
          </cell>
        </row>
        <row r="1044">
          <cell r="A1044">
            <v>95130</v>
          </cell>
          <cell r="B1044" t="str">
            <v>MÁQUINA DEMARCADORA DE FAIXA DE TRÁFEGO À FRIO, AUTOPROPELIDA, POTÊNCIA 38 HP - JUROS. AF_07/2016</v>
          </cell>
          <cell r="C1044" t="str">
            <v>H</v>
          </cell>
          <cell r="D1044">
            <v>3.64</v>
          </cell>
        </row>
        <row r="1045">
          <cell r="A1045">
            <v>95131</v>
          </cell>
          <cell r="B1045" t="str">
            <v>MÁQUINA DEMARCADORA DE FAIXA DE TRÁFEGO À FRIO, AUTOPROPELIDA, POTÊNCIA 38 HP - MANUTENÇÃO. AF_07/2016</v>
          </cell>
          <cell r="C1045" t="str">
            <v>H</v>
          </cell>
          <cell r="D1045">
            <v>37.94</v>
          </cell>
        </row>
        <row r="1046">
          <cell r="A1046">
            <v>95132</v>
          </cell>
          <cell r="B1046" t="str">
            <v>MÁQUINA DEMARCADORA DE FAIXA DE TRÁFEGO À FRIO, AUTOPROPELIDA, POTÊNCIA 38 HP - MATERIAIS NA OPERAÇÃO. AF_07/2016</v>
          </cell>
          <cell r="C1046" t="str">
            <v>H</v>
          </cell>
          <cell r="D1046">
            <v>18.64</v>
          </cell>
        </row>
        <row r="1047">
          <cell r="A1047">
            <v>95136</v>
          </cell>
          <cell r="B1047" t="str">
            <v>TALHA MANUAL DE CORRENTE, CAPACIDADE DE 2 TON. COM ELEVAÇÃO DE 3 M - DEPRECIAÇÃO. AF_07/2016</v>
          </cell>
          <cell r="C1047" t="str">
            <v>H</v>
          </cell>
          <cell r="D1047">
            <v>0.03</v>
          </cell>
        </row>
        <row r="1048">
          <cell r="A1048">
            <v>95137</v>
          </cell>
          <cell r="B1048" t="str">
            <v>TALHA MANUAL DE CORRENTE, CAPACIDADE DE 2 TON. COM ELEVAÇÃO DE 3 M - JUROS. AF_07/2016</v>
          </cell>
          <cell r="C1048" t="str">
            <v>H</v>
          </cell>
          <cell r="D1048">
            <v>0.01</v>
          </cell>
        </row>
        <row r="1049">
          <cell r="A1049">
            <v>95138</v>
          </cell>
          <cell r="B1049" t="str">
            <v>TALHA MANUAL DE CORRENTE, CAPACIDADE DE 2 TON. COM ELEVAÇÃO DE 3 M - MANUTENÇÃO. AF_07/2016</v>
          </cell>
          <cell r="C1049" t="str">
            <v>H</v>
          </cell>
          <cell r="D1049">
            <v>0.02</v>
          </cell>
        </row>
        <row r="1050">
          <cell r="A1050">
            <v>95208</v>
          </cell>
          <cell r="B1050" t="str">
            <v>GRUA ASCENCIONAL, LANÇA DE 42 M, CAPACIDADE DE 1,5 T A 30 M, ALTURA ATÉ 39 M  DEPRECIAÇÃO. AF_08/2016</v>
          </cell>
          <cell r="C1050" t="str">
            <v>H</v>
          </cell>
          <cell r="D1050">
            <v>28.32</v>
          </cell>
        </row>
        <row r="1051">
          <cell r="A1051">
            <v>95209</v>
          </cell>
          <cell r="B1051" t="str">
            <v>GRUA ASCENCIONAL, LANCA DE 42 M, CAPACIDADE DE 1,5 T A 30 M, ALTURA ATE 39 M  JUROS. AF_08/2016</v>
          </cell>
          <cell r="C1051" t="str">
            <v>H</v>
          </cell>
          <cell r="D1051">
            <v>3.36</v>
          </cell>
        </row>
        <row r="1052">
          <cell r="A1052">
            <v>95210</v>
          </cell>
          <cell r="B1052" t="str">
            <v>GRUA ASCENCIONAL, LANCA DE 42 M, CAPACIDADE DE 1,5 T A 30 M, ALTURA ATE 39 M  MANUTENÇÃO. AF_08/2016</v>
          </cell>
          <cell r="C1052" t="str">
            <v>H</v>
          </cell>
          <cell r="D1052">
            <v>30.98</v>
          </cell>
        </row>
        <row r="1053">
          <cell r="A1053">
            <v>95211</v>
          </cell>
          <cell r="B1053" t="str">
            <v>GRUA ASCENCIONAL, LANCA DE 42 M, CAPACIDADE DE 1,5 T A 30 M, ALTURA ATE 39 M  MATERIAIS NA OPERAÇÃO. AF_08/2016</v>
          </cell>
          <cell r="C1053" t="str">
            <v>H</v>
          </cell>
          <cell r="D1053">
            <v>7.57</v>
          </cell>
        </row>
        <row r="1054">
          <cell r="A1054">
            <v>95214</v>
          </cell>
          <cell r="B1054" t="str">
            <v>PULVERIZADOR DE TINTA ELÉTRICO/MÁQUINA DE PINTURA AIRLESS, VAZÃO 2 L/MIN - DEPRECIAÇÃO. AF_08/2016</v>
          </cell>
          <cell r="C1054" t="str">
            <v>H</v>
          </cell>
          <cell r="D1054">
            <v>0.45</v>
          </cell>
        </row>
        <row r="1055">
          <cell r="A1055">
            <v>95215</v>
          </cell>
          <cell r="B1055" t="str">
            <v>PULVERIZADOR DE TINTA ELÉTRICO/MÁQUINA DE PINTURA AIRLESS, VAZÃO 2 L/MIN - JUROS. AF_08/2016</v>
          </cell>
          <cell r="C1055" t="str">
            <v>H</v>
          </cell>
          <cell r="D1055">
            <v>0.04</v>
          </cell>
        </row>
        <row r="1056">
          <cell r="A1056">
            <v>95216</v>
          </cell>
          <cell r="B1056" t="str">
            <v>PULVERIZADOR DE TINTA ELÉTRICO/MÁQUINA DE PINTURA AIRLESS, VAZÃO 2 L/MIN - MANUTENÇÃO. AF_08/2016</v>
          </cell>
          <cell r="C1056" t="str">
            <v>H</v>
          </cell>
          <cell r="D1056">
            <v>0.31</v>
          </cell>
        </row>
        <row r="1057">
          <cell r="A1057">
            <v>95217</v>
          </cell>
          <cell r="B1057" t="str">
            <v>PULVERIZADOR DE TINTA ELÉTRICO/MÁQUINA DE PINTURA AIRLESS, VAZÃO 2 L/MIN - MATERIAIS NA OPERAÇÃO. AF_08/2016</v>
          </cell>
          <cell r="C1057" t="str">
            <v>H</v>
          </cell>
          <cell r="D1057">
            <v>0.51</v>
          </cell>
        </row>
        <row r="1058">
          <cell r="A1058">
            <v>95255</v>
          </cell>
          <cell r="B1058" t="str">
            <v>MARTELO DEMOLIDOR PNEUMÁTICO MANUAL, 32 KG - DEPRECIAÇÃO. AF_09/2016</v>
          </cell>
          <cell r="C1058" t="str">
            <v>H</v>
          </cell>
          <cell r="D1058">
            <v>1.39</v>
          </cell>
        </row>
        <row r="1059">
          <cell r="A1059">
            <v>95256</v>
          </cell>
          <cell r="B1059" t="str">
            <v>MARTELO DEMOLIDOR PNEUMÁTICO MANUAL, 32 KG - JUROS. AF_09/2016</v>
          </cell>
          <cell r="C1059" t="str">
            <v>H</v>
          </cell>
          <cell r="D1059">
            <v>0.16</v>
          </cell>
        </row>
        <row r="1060">
          <cell r="A1060">
            <v>95257</v>
          </cell>
          <cell r="B1060" t="str">
            <v>MARTELO DEMOLIDOR PNEUMÁTICO MANUAL, 32 KG - MANUTENÇÃO. AF_09/2016</v>
          </cell>
          <cell r="C1060" t="str">
            <v>H</v>
          </cell>
          <cell r="D1060">
            <v>1.74</v>
          </cell>
        </row>
        <row r="1061">
          <cell r="A1061">
            <v>95260</v>
          </cell>
          <cell r="B1061" t="str">
            <v>COMPACTADOR DE SOLOS DE PERCUSÃO (SOQUETE) COM MOTOR A GASOLINA, POTÊNCIA 3 CV - DEPRECIAÇÃO. AF_09/2016</v>
          </cell>
          <cell r="C1061" t="str">
            <v>H</v>
          </cell>
          <cell r="D1061">
            <v>0.41</v>
          </cell>
        </row>
        <row r="1062">
          <cell r="A1062">
            <v>95261</v>
          </cell>
          <cell r="B1062" t="str">
            <v>COMPACTADOR DE SOLOS DE PERCUSÃO (SOQUETE) COM MOTOR A GASOLINA, POTÊNCIA 3 CV - JUROS. AF_09/2016</v>
          </cell>
          <cell r="C1062" t="str">
            <v>H</v>
          </cell>
          <cell r="D1062">
            <v>0.16</v>
          </cell>
        </row>
        <row r="1063">
          <cell r="A1063">
            <v>95262</v>
          </cell>
          <cell r="B1063" t="str">
            <v>COMPACTADOR DE SOLOS DE PERCUSÃO (SOQUETE) COM MOTOR A GASOLINA, POTÊNCIA 3 CV - MANUTENÇÃO. AF_09/2016</v>
          </cell>
          <cell r="C1063" t="str">
            <v>H</v>
          </cell>
          <cell r="D1063">
            <v>1.45</v>
          </cell>
        </row>
        <row r="1064">
          <cell r="A1064">
            <v>95263</v>
          </cell>
          <cell r="B1064" t="str">
            <v>COMPACTADOR DE SOLOS DE PERCUSÃO (SOQUETE) COM MOTOR A GASOLINA, POTÊNCIA 3 CV - MATERIAIS NA OPERAÇÃO. AF_09/2016</v>
          </cell>
          <cell r="C1064" t="str">
            <v>H</v>
          </cell>
          <cell r="D1064">
            <v>3.19</v>
          </cell>
        </row>
        <row r="1065">
          <cell r="A1065">
            <v>95266</v>
          </cell>
          <cell r="B1065" t="str">
            <v>RÉGUA VIBRATÓRIA DUPLA PARA CONCRETO, PESO DE 60KG, COMPRIMENTO 4 M, COM MOTOR A GASOLINA, POTÊNCIA 5,5 HP - DEPRECIAÇÃO. AF_09/2016</v>
          </cell>
          <cell r="C1065" t="str">
            <v>H</v>
          </cell>
          <cell r="D1065">
            <v>0.41</v>
          </cell>
        </row>
        <row r="1066">
          <cell r="A1066">
            <v>95267</v>
          </cell>
          <cell r="B1066" t="str">
            <v>RÉGUA VIBRATÓRIA DUPLA PARA CONCRETO, PESO DE 60KG, COMPRIMENTO 4 M, COM MOTOR A GASOLINA, POTÊNCIA 5,5 HP - JUROS. AF_09/2016</v>
          </cell>
          <cell r="C1066" t="str">
            <v>H</v>
          </cell>
          <cell r="D1066">
            <v>0.04</v>
          </cell>
        </row>
        <row r="1067">
          <cell r="A1067">
            <v>95268</v>
          </cell>
          <cell r="B1067" t="str">
            <v>RÉGUA VIBRATÓRIA DUPLA PARA CONCRETO, PESO DE 60KG, COMPRIMENTO 4 M, COM MOTOR A GASOLINA, POTÊNCIA 5,5 HP - MANUTENÇÃO. AF_09/2016</v>
          </cell>
          <cell r="C1067" t="str">
            <v>H</v>
          </cell>
          <cell r="D1067">
            <v>0.4</v>
          </cell>
        </row>
        <row r="1068">
          <cell r="A1068">
            <v>95269</v>
          </cell>
          <cell r="B1068" t="str">
            <v>RÉGUA VIBRATÓRIA DUPLA PARA CONCRETO, PESO DE 60KG, COMPRIMENTO 4 M, COM MOTOR A GASOLINA, POTÊNCIA 5,5 HP  MATERIAIS NA OPERAÇÃO. AF_09/2016</v>
          </cell>
          <cell r="C1068" t="str">
            <v>H</v>
          </cell>
          <cell r="D1068">
            <v>5.97</v>
          </cell>
        </row>
        <row r="1069">
          <cell r="A1069">
            <v>95272</v>
          </cell>
          <cell r="B1069" t="str">
            <v>POLIDORA DE PISO (POLITRIZ), PESO DE 100KG, DIÂMETRO 450 MM, MOTOR ELÉTRICO, POTÊNCIA 4 HP - DEPRECIAÇÃO. AF_09/2016</v>
          </cell>
          <cell r="C1069" t="str">
            <v>H</v>
          </cell>
          <cell r="D1069">
            <v>0.4</v>
          </cell>
        </row>
        <row r="1070">
          <cell r="A1070">
            <v>95273</v>
          </cell>
          <cell r="B1070" t="str">
            <v>POLIDORA DE PISO (POLITRIZ), PESO DE 100KG, DIÂMETRO 450 MM, MOTOR ELÉTRICO, POTÊNCIA 4 HP - JUROS. AF_09/2016</v>
          </cell>
          <cell r="C1070" t="str">
            <v>H</v>
          </cell>
          <cell r="D1070">
            <v>0.04</v>
          </cell>
        </row>
        <row r="1071">
          <cell r="A1071">
            <v>95274</v>
          </cell>
          <cell r="B1071" t="str">
            <v>POLIDORA DE PISO (POLITRIZ), PESO DE 100KG, DIÂMETRO 450 MM, MOTOR ELÉTRICO, POTÊNCIA 4 HP - MANUTENÇÃO. AF_09/2016</v>
          </cell>
          <cell r="C1071" t="str">
            <v>H</v>
          </cell>
          <cell r="D1071">
            <v>0.31</v>
          </cell>
        </row>
        <row r="1072">
          <cell r="A1072">
            <v>95275</v>
          </cell>
          <cell r="B1072" t="str">
            <v>POLIDORA DE PISO (POLITRIZ), PESO DE 100KG, DIÂMETRO 450 MM, MOTOR ELÉTRICO, POTÊNCIA 4 HP  MATERIAIS NA OPERAÇÃO. AF_09/2016</v>
          </cell>
          <cell r="C1072" t="str">
            <v>H</v>
          </cell>
          <cell r="D1072">
            <v>2.0499999999999998</v>
          </cell>
        </row>
        <row r="1073">
          <cell r="A1073">
            <v>95278</v>
          </cell>
          <cell r="B1073" t="str">
            <v>DESEMPENADEIRA DE CONCRETO, PESO DE 75KG, 4 PÁS, MOTOR A GASOLINA, POTÊNCIA 5,5 HP - DEPRECIAÇÃO. AF_09/2016</v>
          </cell>
          <cell r="C1073" t="str">
            <v>H</v>
          </cell>
          <cell r="D1073">
            <v>0.44</v>
          </cell>
        </row>
        <row r="1074">
          <cell r="A1074">
            <v>95279</v>
          </cell>
          <cell r="B1074" t="str">
            <v>DESEMPENADEIRA DE CONCRETO, PESO DE 75KG, 4 PÁS, MOTOR A GASOLINA, POTÊNCIA 5,5 HP - JUROS. AF_09/2016</v>
          </cell>
          <cell r="C1074" t="str">
            <v>H</v>
          </cell>
          <cell r="D1074">
            <v>0.05</v>
          </cell>
        </row>
        <row r="1075">
          <cell r="A1075">
            <v>95280</v>
          </cell>
          <cell r="B1075" t="str">
            <v>DESEMPENADEIRA DE CONCRETO, PESO DE 75KG, 4 PÁS, MOTOR A GASOLINA, POTÊNCIA 5,5 HP - MANUTENÇÃO. AF_09/2016</v>
          </cell>
          <cell r="C1075" t="str">
            <v>H</v>
          </cell>
          <cell r="D1075">
            <v>0.34</v>
          </cell>
        </row>
        <row r="1076">
          <cell r="A1076">
            <v>95281</v>
          </cell>
          <cell r="B1076" t="str">
            <v>DESEMPENADEIRA DE CONCRETO, PESO DE 75KG, 4 PÁS, MOTOR A GASOLINA, POTÊNCIA 5,5 HP  MATERIAIS NA OPERAÇÃO. AF_09/2016</v>
          </cell>
          <cell r="C1076" t="str">
            <v>H</v>
          </cell>
          <cell r="D1076">
            <v>5.97</v>
          </cell>
        </row>
        <row r="1077">
          <cell r="A1077">
            <v>95617</v>
          </cell>
          <cell r="B1077" t="str">
            <v>PERFURATRIZ PNEUMATICA MANUAL DE PESO MEDIO, MARTELETE, 18KG, COMPRIMENTO MÁXIMO DE CURSO DE 6 M, DIAMETRO DO PISTAO DE 5,5 CM - DEPRECIAÇÃO. AF_11/2016</v>
          </cell>
          <cell r="C1077" t="str">
            <v>H</v>
          </cell>
          <cell r="D1077">
            <v>1.1399999999999999</v>
          </cell>
        </row>
        <row r="1078">
          <cell r="A1078">
            <v>95618</v>
          </cell>
          <cell r="B1078" t="str">
            <v>PERFURATRIZ PNEUMATICA MANUAL DE PESO MEDIO, MARTELETE, 18KG, COMPRIMENTO MÁXIMO DE CURSO DE 6 M, DIAMETRO DO PISTAO DE 5,5 CM - JUROS. AF_11/2016</v>
          </cell>
          <cell r="C1078" t="str">
            <v>H</v>
          </cell>
          <cell r="D1078">
            <v>0.13</v>
          </cell>
        </row>
        <row r="1079">
          <cell r="A1079">
            <v>95619</v>
          </cell>
          <cell r="B1079" t="str">
            <v>PERFURATRIZ PNEUMATICA MANUAL DE PESO MEDIO, MARTELETE, 18KG, COMPRIMENTO MÁXIMO DE CURSO DE 6 M, DIAMETRO DO PISTAO DE 5,5 CM - MANUTENÇÃO. AF_11/2016</v>
          </cell>
          <cell r="C1079" t="str">
            <v>H</v>
          </cell>
          <cell r="D1079">
            <v>1.43</v>
          </cell>
        </row>
        <row r="1080">
          <cell r="A1080">
            <v>95627</v>
          </cell>
          <cell r="B1080" t="str">
            <v>ROLO COMPACTADOR VIBRATORIO TANDEM, ACO LISO, POTENCIA 125 HP, PESO SEM/COM LASTRO 10,20/11,65 T, LARGURA DE TRABALHO 1,73 M - DEPRECIAÇÃO. AF_11/2016</v>
          </cell>
          <cell r="C1080" t="str">
            <v>H</v>
          </cell>
          <cell r="D1080">
            <v>23.81</v>
          </cell>
        </row>
        <row r="1081">
          <cell r="A1081">
            <v>95628</v>
          </cell>
          <cell r="B1081" t="str">
            <v>ROLO COMPACTADOR VIBRATORIO TANDEM, ACO LISO, POTENCIA 125 HP, PESO SEM/COM LASTRO 10,20/11,65 T, LARGURA DE TRABALHO 1,73 M - JUROS. AF_11/2016</v>
          </cell>
          <cell r="C1081" t="str">
            <v>H</v>
          </cell>
          <cell r="D1081">
            <v>3.3</v>
          </cell>
        </row>
        <row r="1082">
          <cell r="A1082">
            <v>95629</v>
          </cell>
          <cell r="B1082" t="str">
            <v>ROLO COMPACTADOR VIBRATORIO TANDEM, ACO LISO, POTENCIA 125 HP, PESO SEM/COM LASTRO 10,20/11,65 T, LARGURA DE TRABALHO 1,73 M - MANUTENÇÃO. AF_11/2016</v>
          </cell>
          <cell r="C1082" t="str">
            <v>H</v>
          </cell>
          <cell r="D1082">
            <v>29.79</v>
          </cell>
        </row>
        <row r="1083">
          <cell r="A1083">
            <v>95630</v>
          </cell>
          <cell r="B1083" t="str">
            <v>ROLO COMPACTADOR VIBRATORIO TANDEM, ACO LISO, POTENCIA 125 HP, PESO SEM/COM LASTRO 10,20/11,65 T, LARGURA DE TRABALHO 1,73 M - MATERIAIS NA OPERAÇÃO. AF_11/2016</v>
          </cell>
          <cell r="C1083" t="str">
            <v>H</v>
          </cell>
          <cell r="D1083">
            <v>51.62</v>
          </cell>
        </row>
        <row r="1084">
          <cell r="A1084">
            <v>95698</v>
          </cell>
          <cell r="B1084" t="str">
            <v>PERFURATRIZ MANUAL, TORQUE MAXIMO 55 KGF.M, POTENCIA 5 CV, COM DIAMETRO MAXIMO 8 1/2" - DEPRECIAÇÃO. AF_11/2016</v>
          </cell>
          <cell r="C1084" t="str">
            <v>H</v>
          </cell>
          <cell r="D1084">
            <v>4.6399999999999997</v>
          </cell>
        </row>
        <row r="1085">
          <cell r="A1085">
            <v>95699</v>
          </cell>
          <cell r="B1085" t="str">
            <v>PERFURATRIZ MANUAL, TORQUE MAXIMO 55 KGF.M, POTENCIA 5 CV, COM DIAMETRO MAXIMO 8 1/2" - JUROS. AF_11/2016</v>
          </cell>
          <cell r="C1085" t="str">
            <v>H</v>
          </cell>
          <cell r="D1085">
            <v>0.55000000000000004</v>
          </cell>
        </row>
        <row r="1086">
          <cell r="A1086">
            <v>95700</v>
          </cell>
          <cell r="B1086" t="str">
            <v>PERFURATRIZ MANUAL, TORQUE MAXIMO 55 KGF.M, POTENCIA 5 CV, COM DIAMETRO MAXIMO 8 1/2" - MANUTENÇÃO. AF_11/2016</v>
          </cell>
          <cell r="C1086" t="str">
            <v>H</v>
          </cell>
          <cell r="D1086">
            <v>5.8</v>
          </cell>
        </row>
        <row r="1087">
          <cell r="A1087">
            <v>95701</v>
          </cell>
          <cell r="B1087" t="str">
            <v>PERFURATRIZ MANUAL, TORQUE MAXIMO 55 KGF.M, POTENCIA 5 CV, COM DIAMETRO MAXIMO 8 1/2" - MATERIAIS NA OPERAÇÃO. AF_11/2016</v>
          </cell>
          <cell r="C1087" t="str">
            <v>H</v>
          </cell>
          <cell r="D1087">
            <v>2.5299999999999998</v>
          </cell>
        </row>
        <row r="1088">
          <cell r="A1088">
            <v>95704</v>
          </cell>
          <cell r="B1088" t="str">
            <v>PERFURATRIZ SOBRE ESTEIRA, TORQUE MÁXIMO 600 KGF, POTÊNCIA ENTRE 50 E 60 HP, DIÂMETRO MÁXIMO 10 - DEPRECIAÇÃO. AF_11/2016</v>
          </cell>
          <cell r="C1088" t="str">
            <v>H</v>
          </cell>
          <cell r="D1088">
            <v>24.58</v>
          </cell>
        </row>
        <row r="1089">
          <cell r="A1089">
            <v>95705</v>
          </cell>
          <cell r="B1089" t="str">
            <v>PERFURATRIZ SOBRE ESTEIRA, TORQUE MÁXIMO 600 KGF, POTÊNCIA ENTRE 50 E 60 HP, DIÂMETRO MÁXIMO 10 - JUROS. AF_11/2016</v>
          </cell>
          <cell r="C1089" t="str">
            <v>H</v>
          </cell>
          <cell r="D1089">
            <v>3.5</v>
          </cell>
        </row>
        <row r="1090">
          <cell r="A1090">
            <v>95706</v>
          </cell>
          <cell r="B1090" t="str">
            <v>PERFURATRIZ SOBRE ESTEIRA, TORQUE MÁXIMO 600 KGF, POTÊNCIA ENTRE 50 E 60 HP, DIÂMETRO MÁXIMO 10 - MANUTENÇÃO. AF_11/2016</v>
          </cell>
          <cell r="C1090" t="str">
            <v>H</v>
          </cell>
          <cell r="D1090">
            <v>30.76</v>
          </cell>
        </row>
        <row r="1091">
          <cell r="A1091">
            <v>95707</v>
          </cell>
          <cell r="B1091" t="str">
            <v>PERFURATRIZ SOBRE ESTEIRA, TORQUE MÁXIMO 600 KGF, POTÊNCIA ENTRE 50 E 60 HP, DIÂMETRO MÁXIMO 10 - MATERIAIS NA OPERAÇÃO. AF_11/2016</v>
          </cell>
          <cell r="C1091" t="str">
            <v>H</v>
          </cell>
          <cell r="D1091">
            <v>28.25</v>
          </cell>
        </row>
        <row r="1092">
          <cell r="A1092">
            <v>95710</v>
          </cell>
          <cell r="B1092" t="str">
            <v>ESCAVADEIRA HIDRAULICA SOBRE ESTEIRA, COM GARRA GIRATORIA DE MANDIBULAS, PESO OPERACIONAL ENTRE 22,00 E 25,50 TON, POTENCIA LIQUIDA ENTRE 150 E 160 HP - DEPRECIAÇÃO. AF_11/2016</v>
          </cell>
          <cell r="C1092" t="str">
            <v>H</v>
          </cell>
          <cell r="D1092">
            <v>29.54</v>
          </cell>
        </row>
        <row r="1093">
          <cell r="A1093">
            <v>95711</v>
          </cell>
          <cell r="B1093" t="str">
            <v>ESCAVADEIRA HIDRAULICA SOBRE ESTEIRA, COM GARRA GIRATORIA DE MANDIBULAS, PESO OPERACIONAL ENTRE 22,00 E 25,50 TON, POTENCIA LIQUIDA ENTRE 150 E 160 HP - JUROS. AF_11/2016</v>
          </cell>
          <cell r="C1093" t="str">
            <v>H</v>
          </cell>
          <cell r="D1093">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v>52</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v>35.549999999999997</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v>52</v>
          </cell>
        </row>
        <row r="1100">
          <cell r="A1100">
            <v>95869</v>
          </cell>
          <cell r="B1100" t="str">
            <v>GRUPO GERADOR COM CARENAGEM, MOTOR DIESEL POTÊNCIA STANDART ENTRE 250 E 260 KVA - JUROS. AF_12/2016</v>
          </cell>
          <cell r="C1100" t="str">
            <v>H</v>
          </cell>
          <cell r="D1100">
            <v>1.1200000000000001</v>
          </cell>
        </row>
        <row r="1101">
          <cell r="A1101">
            <v>95870</v>
          </cell>
          <cell r="B1101" t="str">
            <v>GRUPO GERADOR COM CARENAGEM, MOTOR DIESEL POTÊNCIA STANDART ENTRE 250 E 260 KVA - MANUTENÇÃO. AF_12/2016</v>
          </cell>
          <cell r="C1101" t="str">
            <v>H</v>
          </cell>
          <cell r="D1101">
            <v>5.57</v>
          </cell>
        </row>
        <row r="1102">
          <cell r="A1102">
            <v>95871</v>
          </cell>
          <cell r="B1102" t="str">
            <v>GRUPO GERADOR COM CARENAGEM, MOTOR DIESEL POTÊNCIA STANDART ENTRE 250 E 260 KVA - MATERIAIS NA OPERAÇÃO. AF_12/2016</v>
          </cell>
          <cell r="C1102" t="str">
            <v>H</v>
          </cell>
          <cell r="D1102">
            <v>157.91</v>
          </cell>
        </row>
        <row r="1103">
          <cell r="A1103">
            <v>95874</v>
          </cell>
          <cell r="B1103" t="str">
            <v>GRUPO GERADOR COM CARENAGEM, MOTOR DIESEL POTÊNCIA STANDART ENTRE 250 E 260 KVA - DEPRECIAÇÃO. AF_12/2016</v>
          </cell>
          <cell r="C1103" t="str">
            <v>H</v>
          </cell>
          <cell r="D1103">
            <v>6.24</v>
          </cell>
        </row>
        <row r="1104">
          <cell r="A1104">
            <v>96008</v>
          </cell>
          <cell r="B1104" t="str">
            <v>TRATOR DE PNEUS COM POTÊNCIA DE 122 CV, TRAÇÃO 4X4, COM VASSOURA MECÂNICA ACOPLADA - DEPRECIAÇÃO. AF_02/2017</v>
          </cell>
          <cell r="C1104" t="str">
            <v>H</v>
          </cell>
          <cell r="D1104">
            <v>11.72</v>
          </cell>
        </row>
        <row r="1105">
          <cell r="A1105">
            <v>96009</v>
          </cell>
          <cell r="B1105" t="str">
            <v>TRATOR DE PNEUS COM POTÊNCIA DE 122 CV, TRAÇÃO 4X4, COM VASSOURA MECÂNICA ACOPLADA - JUROS. AF_02/2017</v>
          </cell>
          <cell r="C1105" t="str">
            <v>H</v>
          </cell>
          <cell r="D1105">
            <v>1.62</v>
          </cell>
        </row>
        <row r="1106">
          <cell r="A1106">
            <v>96011</v>
          </cell>
          <cell r="B1106" t="str">
            <v>TRATOR DE PNEUS COM POTÊNCIA DE 122 CV, TRAÇÃO 4X4, COM VASSOURA MECÂNICA ACOPLADA - MANUTENÇÃO. AF_02/2017</v>
          </cell>
          <cell r="C1106" t="str">
            <v>H</v>
          </cell>
          <cell r="D1106">
            <v>12.82</v>
          </cell>
        </row>
        <row r="1107">
          <cell r="A1107">
            <v>96012</v>
          </cell>
          <cell r="B1107" t="str">
            <v>TRATOR DE PNEUS COM POTÊNCIA DE 122 CV, TRAÇÃO 4X4, COM VASSOURA MECÂNICA ACOPLADA - MATERIAIS NA OPERAÇÃO. AF_02/2017</v>
          </cell>
          <cell r="C1107" t="str">
            <v>H</v>
          </cell>
          <cell r="D1107">
            <v>99.4</v>
          </cell>
        </row>
        <row r="1108">
          <cell r="A1108">
            <v>96015</v>
          </cell>
          <cell r="B1108" t="str">
            <v>TRATOR DE PNEUS COM POTÊNCIA DE 122 CV, TRAÇÃO 4X4, COM GRADE DE DISCOS ACOPLADA - DEPRECIAÇÃO. AF_02/2017</v>
          </cell>
          <cell r="C1108" t="str">
            <v>H</v>
          </cell>
          <cell r="D1108">
            <v>11.61</v>
          </cell>
        </row>
        <row r="1109">
          <cell r="A1109">
            <v>96016</v>
          </cell>
          <cell r="B1109" t="str">
            <v>TRATOR DE PNEUS COM POTÊNCIA DE 122 CV, TRAÇÃO 4X4, COM GRADE DE DISCOS ACOPLADA - JUROS. AF_02/2017</v>
          </cell>
          <cell r="C1109" t="str">
            <v>H</v>
          </cell>
          <cell r="D1109">
            <v>1.61</v>
          </cell>
        </row>
        <row r="1110">
          <cell r="A1110">
            <v>96018</v>
          </cell>
          <cell r="B1110" t="str">
            <v>TRATOR DE PNEUS COM POTÊNCIA DE 122 CV, TRAÇÃO 4X4, COM GRADE DE DISCOS ACOPLADA - MANUTENÇÃO. AF_02/2017</v>
          </cell>
          <cell r="C1110" t="str">
            <v>H</v>
          </cell>
          <cell r="D1110">
            <v>12.7</v>
          </cell>
        </row>
        <row r="1111">
          <cell r="A1111">
            <v>96019</v>
          </cell>
          <cell r="B1111" t="str">
            <v>TRATOR DE PNEUS COM POTÊNCIA DE 122 CV, TRAÇÃO 4X4, COM GRADE DE DISCOS ACOPLADA - MATERIAIS NA OPERAÇÃO. AF_02/2017</v>
          </cell>
          <cell r="C1111" t="str">
            <v>H</v>
          </cell>
          <cell r="D1111">
            <v>99.4</v>
          </cell>
        </row>
        <row r="1112">
          <cell r="A1112">
            <v>96023</v>
          </cell>
          <cell r="B1112" t="str">
            <v>TRATOR DE PNEUS COM POTÊNCIA DE 85 CV, TRAÇÃO 4X4, COM GRADE DE DISCOS ACOPLADA - DEPRECIAÇÃO. AF_02/2017</v>
          </cell>
          <cell r="C1112" t="str">
            <v>H</v>
          </cell>
          <cell r="D1112">
            <v>8.99</v>
          </cell>
        </row>
        <row r="1113">
          <cell r="A1113">
            <v>96024</v>
          </cell>
          <cell r="B1113" t="str">
            <v>TRATOR DE PNEUS COM POTÊNCIA DE 85 CV, TRAÇÃO 4X4, COM GRADE DE DISCOS ACOPLADA - JUROS. AF_02/2017</v>
          </cell>
          <cell r="C1113" t="str">
            <v>H</v>
          </cell>
          <cell r="D1113">
            <v>1.24</v>
          </cell>
        </row>
        <row r="1114">
          <cell r="A1114">
            <v>96026</v>
          </cell>
          <cell r="B1114" t="str">
            <v>TRATOR DE PNEUS COM POTÊNCIA DE 85 CV, TRAÇÃO 4X4, COM GRADE DE DISCOS ACOPLADA - MANUTENÇÃO. AF_02/2017</v>
          </cell>
          <cell r="C1114" t="str">
            <v>H</v>
          </cell>
          <cell r="D1114">
            <v>9.84</v>
          </cell>
        </row>
        <row r="1115">
          <cell r="A1115">
            <v>96027</v>
          </cell>
          <cell r="B1115" t="str">
            <v>TRATOR DE PNEUS COM POTÊNCIA DE 85 CV, TRAÇÃO 4X4, COM GRADE DE DISCOS ACOPLADA - MATERIAIS NA OPERAÇÃO. AF_02/2017</v>
          </cell>
          <cell r="C1115" t="str">
            <v>H</v>
          </cell>
          <cell r="D1115">
            <v>69.260000000000005</v>
          </cell>
        </row>
        <row r="1116">
          <cell r="A1116">
            <v>96030</v>
          </cell>
          <cell r="B1116" t="str">
            <v>CAMINHÃO BASCULANTE 10 M3, TRUCADO, POTÊNCIA 230 CV, INCLUSIVE CAÇAMBA METÁLICA, COM DISTRIBUIDOR DE AGREGADOS ACOPLADO - DEPRECIAÇÃO. AF_02/2017</v>
          </cell>
          <cell r="C1116" t="str">
            <v>H</v>
          </cell>
          <cell r="D1116">
            <v>15.83</v>
          </cell>
        </row>
        <row r="1117">
          <cell r="A1117">
            <v>96031</v>
          </cell>
          <cell r="B1117" t="str">
            <v>CAMINHÃO BASCULANTE 10 M3, TRUCADO, POTÊNCIA 230 CV, INCLUSIVE CAÇAMBA METÁLICA, COM DISTRIBUIDOR DE AGREGADOS ACOPLADO - JUROS. AF_02/2017</v>
          </cell>
          <cell r="C1117" t="str">
            <v>H</v>
          </cell>
          <cell r="D1117">
            <v>2.92</v>
          </cell>
        </row>
        <row r="1118">
          <cell r="A1118">
            <v>96032</v>
          </cell>
          <cell r="B1118" t="str">
            <v>CAMINHÃO BASCULANTE 10 M3, TRUCADO, POTÊNCIA 230 CV, INCLUSIVE CAÇAMBA METÁLICA, COM DISTRIBUIDOR DE AGREGADOS ACOPLADO - IMPOSTOS E SEGUROS. AF_02/2017</v>
          </cell>
          <cell r="C1118" t="str">
            <v>H</v>
          </cell>
          <cell r="D1118">
            <v>1.1399999999999999</v>
          </cell>
        </row>
        <row r="1119">
          <cell r="A1119">
            <v>96033</v>
          </cell>
          <cell r="B1119" t="str">
            <v>CAMINHÃO BASCULANTE 10 M3, TRUCADO, POTÊNCIA 230 CV, INCLUSIVE CAÇAMBA METÁLICA, COM DISTRIBUIDOR DE AGREGADOS ACOPLADO - MANUTENÇÃO. AF_02/2017</v>
          </cell>
          <cell r="C1119" t="str">
            <v>H</v>
          </cell>
          <cell r="D1119">
            <v>29.69</v>
          </cell>
        </row>
        <row r="1120">
          <cell r="A1120">
            <v>96034</v>
          </cell>
          <cell r="B1120" t="str">
            <v>CAMINHÃO BASCULANTE 10 M3, TRUCADO, POTÊNCIA 230 CV, INCLUSIVE CAÇAMBA METÁLICA, COM DISTRIBUIDOR DE AGREGADOS ACOPLADO - MATERIAIS NA OPERAÇÃO. AF_02/2017</v>
          </cell>
          <cell r="C1120" t="str">
            <v>H</v>
          </cell>
          <cell r="D1120">
            <v>82</v>
          </cell>
        </row>
        <row r="1121">
          <cell r="A1121">
            <v>96053</v>
          </cell>
          <cell r="B1121" t="str">
            <v>TRATOR DE PNEUS COM POTÊNCIA DE 85 CV, TRAÇÃO 4X4, COM VASSOURA MECÂNICA ACOPLADA - DEPRECIAÇÃO. AF_03/2017</v>
          </cell>
          <cell r="C1121" t="str">
            <v>H</v>
          </cell>
          <cell r="D1121">
            <v>9.1</v>
          </cell>
        </row>
        <row r="1122">
          <cell r="A1122">
            <v>96054</v>
          </cell>
          <cell r="B1122" t="str">
            <v>MINICARREGADEIRA SOBRE RODAS POTENCIA 47HP CAPACIDADE OPERACAO 646 KG, COM VASSOURA MECÂNICA ACOPLADA - DEPRECIAÇÃO. AF_03/2017</v>
          </cell>
          <cell r="C1122" t="str">
            <v>H</v>
          </cell>
          <cell r="D1122">
            <v>16.53</v>
          </cell>
        </row>
        <row r="1123">
          <cell r="A1123">
            <v>96055</v>
          </cell>
          <cell r="B1123" t="str">
            <v>TRATOR DE PNEUS COM POTÊNCIA DE 85 CV, TRAÇÃO 4X4, COM VASSOURA MECÂNICA ACOPLADA - JUROS. AF_03/2017</v>
          </cell>
          <cell r="C1123" t="str">
            <v>H</v>
          </cell>
          <cell r="D1123">
            <v>1.25</v>
          </cell>
        </row>
        <row r="1124">
          <cell r="A1124">
            <v>96056</v>
          </cell>
          <cell r="B1124" t="str">
            <v>TRATOR DE PNEUS COM POTÊNCIA DE 85 CV, TRAÇÃO 4X4, COM VASSOURA MECÂNICA ACOPLADA - MANUTENÇÃO. AF_03/2017</v>
          </cell>
          <cell r="C1124" t="str">
            <v>H</v>
          </cell>
          <cell r="D1124">
            <v>9.9600000000000009</v>
          </cell>
        </row>
        <row r="1125">
          <cell r="A1125">
            <v>96057</v>
          </cell>
          <cell r="B1125" t="str">
            <v>TRATOR DE PNEUS COM POTÊNCIA DE 85 CV, TRAÇÃO 4X4, COM VASSOURA MECÂNICA ACOPLADA - MATERIAIS NA OPERAÇÃO. AF_03/2017</v>
          </cell>
          <cell r="C1125" t="str">
            <v>H</v>
          </cell>
          <cell r="D1125">
            <v>69.260000000000005</v>
          </cell>
        </row>
        <row r="1126">
          <cell r="A1126">
            <v>96060</v>
          </cell>
          <cell r="B1126" t="str">
            <v>MINICARREGADEIRA SOBRE RODAS POTENCIA 47HP CAPACIDADE OPERACAO 646 KG, COM VASSOURA MECÂNICA ACOPLADA - JUROS. AF_03/2017</v>
          </cell>
          <cell r="C1126" t="str">
            <v>H</v>
          </cell>
          <cell r="D1126">
            <v>1.67</v>
          </cell>
        </row>
        <row r="1127">
          <cell r="A1127">
            <v>96061</v>
          </cell>
          <cell r="B1127" t="str">
            <v>MINICARREGADEIRA SOBRE RODAS POTENCIA 47HP CAPACIDADE OPERACAO 646 KG, COM VASSOURA MECÂNICA ACOPLADA - MANUTENÇÃO. AF_03/2017</v>
          </cell>
          <cell r="C1127" t="str">
            <v>H</v>
          </cell>
          <cell r="D1127">
            <v>20.67</v>
          </cell>
        </row>
        <row r="1128">
          <cell r="A1128">
            <v>96062</v>
          </cell>
          <cell r="B1128" t="str">
            <v>MINICARREGADEIRA SOBRE RODAS POTENCIA 47HP CAPACIDADE OPERACAO 646 KG, COM VASSOURA MECÂNICA ACOPLADA - MATERIAIS NA OPERAÇÃO. AF_03/2017</v>
          </cell>
          <cell r="C1128" t="str">
            <v>H</v>
          </cell>
          <cell r="D1128">
            <v>30.3</v>
          </cell>
        </row>
        <row r="1129">
          <cell r="A1129">
            <v>96241</v>
          </cell>
          <cell r="B1129" t="str">
            <v>MINIESCAVADEIRA SOBRE ESTEIRAS, POTENCIA LIQUIDA DE *30* HP, PESO OPERACIONAL DE *3.500* KG - DEPRECIACAO. AF_04/2017</v>
          </cell>
          <cell r="C1129" t="str">
            <v>H</v>
          </cell>
          <cell r="D1129">
            <v>14.52</v>
          </cell>
        </row>
        <row r="1130">
          <cell r="A1130">
            <v>96242</v>
          </cell>
          <cell r="B1130" t="str">
            <v>MINIESCAVADEIRA SOBRE ESTEIRAS, POTENCIA LIQUIDA DE *30* HP, PESO OPERACIONAL DE *3.500* KG - JUROS. AF_04/2017</v>
          </cell>
          <cell r="C1130" t="str">
            <v>H</v>
          </cell>
          <cell r="D1130">
            <v>1.97</v>
          </cell>
        </row>
        <row r="1131">
          <cell r="A1131">
            <v>96243</v>
          </cell>
          <cell r="B1131" t="str">
            <v>MINIESCAVADEIRA SOBRE ESTEIRAS, POTENCIA LIQUIDA DE *30* HP, PESO OPERACIONAL DE *3.500* KG - MANUTENCAO. AF_04/2017</v>
          </cell>
          <cell r="C1131" t="str">
            <v>H</v>
          </cell>
          <cell r="D1131">
            <v>18.149999999999999</v>
          </cell>
        </row>
        <row r="1132">
          <cell r="A1132">
            <v>96244</v>
          </cell>
          <cell r="B1132" t="str">
            <v>MINIESCAVADEIRA SOBRE ESTEIRAS, POTENCIA LIQUIDA DE *30* HP, PESO OPERACIONAL DE *3.500* KG - MATERIAIS NA OPERACAO. AF_04/2017</v>
          </cell>
          <cell r="C1132" t="str">
            <v>H</v>
          </cell>
          <cell r="D1132">
            <v>10.06</v>
          </cell>
        </row>
        <row r="1133">
          <cell r="A1133">
            <v>96298</v>
          </cell>
          <cell r="B1133" t="str">
            <v>PERFURATRIZ ROTATIVA SOBRE ESTEIRA, TORQUE MAXIMO 2500 KGM, POTENCIA 110 HP, MOTOR DIESEL - DEPRECIAÇÃO. AF_05/2017</v>
          </cell>
          <cell r="C1133" t="str">
            <v>H</v>
          </cell>
          <cell r="D1133">
            <v>38.380000000000003</v>
          </cell>
        </row>
        <row r="1134">
          <cell r="A1134">
            <v>96299</v>
          </cell>
          <cell r="B1134" t="str">
            <v>PERFURATRIZ ROTATIVA SOBRE ESTEIRA, TORQUE MAXIMO 2500 KGM, POTENCIA 110 HP, MOTOR DIESEL - JUROS. AF_05/2017</v>
          </cell>
          <cell r="C1134" t="str">
            <v>H</v>
          </cell>
          <cell r="D1134">
            <v>5.32</v>
          </cell>
        </row>
        <row r="1135">
          <cell r="A1135">
            <v>96300</v>
          </cell>
          <cell r="B1135" t="str">
            <v>PERFURATRIZ ROTATIVA SOBRE ESTEIRA, TORQUE MAXIMO 2500 KGM, POTENCIA 110 HP, MOTOR DIESEL - MANUTENÇÃO. AF_05/2017</v>
          </cell>
          <cell r="C1135" t="str">
            <v>H</v>
          </cell>
          <cell r="D1135">
            <v>48.03</v>
          </cell>
        </row>
        <row r="1136">
          <cell r="A1136">
            <v>96301</v>
          </cell>
          <cell r="B1136" t="str">
            <v>PERFURATRIZ ROTATIVA SOBRE ESTEIRA, TORQUE MAXIMO 2500 KGM, POTENCIA 110 HP, MOTOR DIESEL - MATERIAIS NA OPERAÇÃO. AF_05/2017</v>
          </cell>
          <cell r="C1136" t="str">
            <v>H</v>
          </cell>
          <cell r="D1136">
            <v>28.4</v>
          </cell>
        </row>
        <row r="1137">
          <cell r="A1137">
            <v>96304</v>
          </cell>
          <cell r="B1137" t="str">
            <v>COMPRESSOR DE AR, VAZAO DE 10 PCM, RESERVATORIO 100 L, PRESSAO DE TRABALHO ENTRE 6,9 E 9,7 BAR,  POTENCIA 2 HP, TENSAO 110/220 V - DEPRECIAÇÃO. AF_05/2017</v>
          </cell>
          <cell r="C1137" t="str">
            <v>H</v>
          </cell>
          <cell r="D1137">
            <v>0.13</v>
          </cell>
        </row>
        <row r="1138">
          <cell r="A1138">
            <v>96305</v>
          </cell>
          <cell r="B1138" t="str">
            <v>COMPRESSOR DE AR, VAZAO DE 10 PCM, RESERVATORIO 100 L, PRESSAO DE TRABALHO ENTRE 6,9 E 9,7 BAR,  POTENCIA 2 HP, TENSAO 110/220 V - JUROS. AF_05/2017</v>
          </cell>
          <cell r="C1138" t="str">
            <v>H</v>
          </cell>
          <cell r="D1138">
            <v>0.01</v>
          </cell>
        </row>
        <row r="1139">
          <cell r="A1139">
            <v>96306</v>
          </cell>
          <cell r="B1139" t="str">
            <v>COMPRESSOR DE AR, VAZAO DE 10 PCM, RESERVATORIO 100 L, PRESSAO DE TRABALHO ENTRE 6,9 E 9,7 BAR,  POTENCIA 2 HP, TENSAO 110/220 V - MANUTENÇÃO. AF_05/2017</v>
          </cell>
          <cell r="C1139" t="str">
            <v>H</v>
          </cell>
          <cell r="D1139">
            <v>0.17</v>
          </cell>
        </row>
        <row r="1140">
          <cell r="A1140">
            <v>96307</v>
          </cell>
          <cell r="B1140" t="str">
            <v>COMPRESSOR DE AR, VAZAO DE 10 PCM, RESERVATORIO 100 L, PRESSAO DE TRABALHO ENTRE 6,9 E 9,7 BAR, POTENCIA 2 HP, TENSAO 110/220 V - MATERIAIS NA OPERAÇÃO. AF_05/2017</v>
          </cell>
          <cell r="C1140" t="str">
            <v>H</v>
          </cell>
          <cell r="D1140">
            <v>1.02</v>
          </cell>
        </row>
        <row r="1141">
          <cell r="A1141">
            <v>96457</v>
          </cell>
          <cell r="B1141" t="str">
            <v>ROLO COMPACTADOR DE PNEUS, ESTATICO, PRESSAO VARIAVEL, POTENCIA 110 HP, PESO SEM/COM LASTRO 10,8/27 T, LARGURA DE ROLAGEM 2,30 M - MATERIAIS NA OPERACAO. AF_06/2017</v>
          </cell>
          <cell r="C1141" t="str">
            <v>H</v>
          </cell>
          <cell r="D1141">
            <v>36.909999999999997</v>
          </cell>
        </row>
        <row r="1142">
          <cell r="A1142">
            <v>96458</v>
          </cell>
          <cell r="B1142" t="str">
            <v>ROLO COMPACTADOR DE PNEUS, ESTATICO, PRESSAO VARIAVEL, POTENCIA 110 HP, PESO SEM/COM LASTRO 10,8/27 T, LARGURA DE ROLAGEM 2,30 M - MANUTENCAO. AF_06/2017</v>
          </cell>
          <cell r="C1142" t="str">
            <v>H</v>
          </cell>
          <cell r="D1142">
            <v>33.04</v>
          </cell>
        </row>
        <row r="1143">
          <cell r="A1143">
            <v>96459</v>
          </cell>
          <cell r="B1143" t="str">
            <v>ROLO COMPACTADOR DE PNEUS, ESTATICO, PRESSAO VARIAVEL, POTENCIA 110 HP, PESO SEM/COM LASTRO 10,8/27 T, LARGURA DE ROLAGEM 2,30 M - JUROS. AF_06/2017</v>
          </cell>
          <cell r="C1143" t="str">
            <v>H</v>
          </cell>
          <cell r="D1143">
            <v>3.66</v>
          </cell>
        </row>
        <row r="1144">
          <cell r="A1144">
            <v>96460</v>
          </cell>
          <cell r="B1144" t="str">
            <v>ROLO COMPACTADOR DE PNEUS, ESTATICO, PRESSAO VARIAVEL, POTENCIA 110 HP, PESO SEM/COM LASTRO 10,8/27 T, LARGURA DE ROLAGEM 2,30 M - DEPRECIAÇÃO. AF_06/2017</v>
          </cell>
          <cell r="C1144" t="str">
            <v>H</v>
          </cell>
          <cell r="D1144">
            <v>26.4</v>
          </cell>
        </row>
        <row r="1145">
          <cell r="A1145">
            <v>98760</v>
          </cell>
          <cell r="B1145" t="str">
            <v>INVERSOR DE SOLDA MONOFÁSICO DE 160 A, POTÊNCIA DE 5400 W, TENSÃO DE 220 V, PARA SOLDA COM ELETRODOS DE 2,0 A 4,0 MM E PROCESSO TIG - DEPRECIAÇÃO. AF_06/2018</v>
          </cell>
          <cell r="C1145" t="str">
            <v>H</v>
          </cell>
          <cell r="D1145">
            <v>0.11</v>
          </cell>
        </row>
        <row r="1146">
          <cell r="A1146">
            <v>98761</v>
          </cell>
          <cell r="B1146" t="str">
            <v>INVERSOR DE SOLDA MONOFÁSICO DE 160 A, POTÊNCIA DE 5400 W, TENSÃO DE 220 V, PARA SOLDA COM ELETRODOS DE 2,0 A 4,0 MM E PROCESSO TIG - JUROS. AF_06/2018</v>
          </cell>
          <cell r="C1146" t="str">
            <v>H</v>
          </cell>
          <cell r="D1146">
            <v>0.02</v>
          </cell>
        </row>
        <row r="1147">
          <cell r="A1147">
            <v>98762</v>
          </cell>
          <cell r="B1147" t="str">
            <v>INVERSOR DE SOLDA MONOFÁSICO DE 160 A, POTÊNCIA DE 5400 W, TENSÃO DE 220 V, PARA SOLDA COM ELETRODOS DE 2,0 A 4,0 MM E PROCESSO TIG - MANUTENÇÃO. AF_06/2018</v>
          </cell>
          <cell r="C1147" t="str">
            <v>H</v>
          </cell>
          <cell r="D1147">
            <v>0.13</v>
          </cell>
        </row>
        <row r="1148">
          <cell r="A1148">
            <v>98763</v>
          </cell>
          <cell r="B1148" t="str">
            <v>INVERSOR DE SOLDA MONOFÁSICO DE 160 A, POTÊNCIA DE 5400 W, TENSÃO DE 220 V, PARA SOLDA COM ELETRODOS DE 2,0 A 4,0 MM E PROCESSO TIG - MATERIAIS NA OPERAÇÃO. AF_06/2018</v>
          </cell>
          <cell r="C1148" t="str">
            <v>H</v>
          </cell>
          <cell r="D1148">
            <v>3.71</v>
          </cell>
        </row>
        <row r="1149">
          <cell r="A1149">
            <v>99829</v>
          </cell>
          <cell r="B1149" t="str">
            <v>LAVADORA DE ALTA PRESSAO (LAVA-JATO) PARA AGUA FRIA, PRESSAO DE OPERACAO ENTRE 1400 E 1900 LIB/POL2, VAZAO MAXIMA ENTRE 400 E 700 L/H - DEPRECIAÇÃO. AF_04/2019</v>
          </cell>
          <cell r="C1149" t="str">
            <v>H</v>
          </cell>
          <cell r="D1149">
            <v>0.24</v>
          </cell>
        </row>
        <row r="1150">
          <cell r="A1150">
            <v>99830</v>
          </cell>
          <cell r="B1150" t="str">
            <v>LAVADORA DE ALTA PRESSAO (LAVA-JATO) PARA AGUA FRIA, PRESSAO DE OPERACAO ENTRE 1400 E 1900 LIB/POL2, VAZAO MAXIMA ENTRE 400 E 700 L/H - JUROS. AF_04/2019</v>
          </cell>
          <cell r="C1150" t="str">
            <v>H</v>
          </cell>
          <cell r="D1150">
            <v>0.02</v>
          </cell>
        </row>
        <row r="1151">
          <cell r="A1151">
            <v>99831</v>
          </cell>
          <cell r="B1151" t="str">
            <v>LAVADORA DE ALTA PRESSAO (LAVA-JATO) PARA AGUA FRIA, PRESSAO DE OPERACAO ENTRE 1400 E 1900 LIB/POL2, VAZAO MAXIMA ENTRE 400 E 700 L/H - MANUTENÇÃO. AF_04/2019</v>
          </cell>
          <cell r="C1151" t="str">
            <v>H</v>
          </cell>
          <cell r="D1151">
            <v>0.34</v>
          </cell>
        </row>
        <row r="1152">
          <cell r="A1152">
            <v>99832</v>
          </cell>
          <cell r="B1152" t="str">
            <v>LAVADORA DE ALTA PRESSAO (LAVA-JATO) PARA AGUA FRIA, PRESSAO DE OPERACAO ENTRE 1400 E 1900 LIB/POL2, VAZAO MAXIMA ENTRE 400 E 700 L/H - MATERIAIS NA OPERAÇÃO. AF_04/2019</v>
          </cell>
          <cell r="C1152" t="str">
            <v>H</v>
          </cell>
          <cell r="D1152">
            <v>0.96</v>
          </cell>
        </row>
        <row r="1153">
          <cell r="A1153">
            <v>100637</v>
          </cell>
          <cell r="B1153" t="str">
            <v>USINA DE MISTURA ASFÁLTICA À QUENTE, TIPO CONTRA FLUXO, PROD 100 A 140 TON/HORA - DEPRECIAÇÃO. AF_12/2019</v>
          </cell>
          <cell r="C1153" t="str">
            <v>H</v>
          </cell>
          <cell r="D1153">
            <v>81.06</v>
          </cell>
        </row>
        <row r="1154">
          <cell r="A1154">
            <v>100638</v>
          </cell>
          <cell r="B1154" t="str">
            <v>USINA DE MISTURA ASFÁLTICA À QUENTE, TIPO CONTRA FLUXO, PROD 100 A 140 TON/HORA - JUROS. AF_12/2019</v>
          </cell>
          <cell r="C1154" t="str">
            <v>H</v>
          </cell>
          <cell r="D1154">
            <v>14.59</v>
          </cell>
        </row>
        <row r="1155">
          <cell r="A1155">
            <v>100639</v>
          </cell>
          <cell r="B1155" t="str">
            <v>USINA DE MISTURA ASFÁLTICA À QUENTE, TIPO CONTRA FLUXO, PROD 100 A 140 TON/HORA - MANUTENÇÃO. AF_12/2019</v>
          </cell>
          <cell r="C1155" t="str">
            <v>H</v>
          </cell>
          <cell r="D1155">
            <v>130.31</v>
          </cell>
        </row>
        <row r="1156">
          <cell r="A1156">
            <v>100640</v>
          </cell>
          <cell r="B1156" t="str">
            <v>USINA DE MISTURA ASFÁLTICA À QUENTE, TIPO CONTRA FLUXO, PROD 100 A 140 TON/HORA - MATERIAIS NA OPERAÇÃO. AF_12/2019</v>
          </cell>
          <cell r="C1156" t="str">
            <v>H</v>
          </cell>
          <cell r="D1156">
            <v>192.78</v>
          </cell>
        </row>
        <row r="1157">
          <cell r="A1157">
            <v>100643</v>
          </cell>
          <cell r="B1157" t="str">
            <v>USINA DE ASFALTO, TIPO GRAVIMÉTRICA, PROD 150 TON/HORA - DEPRECIAÇÃO. AF_12/2019</v>
          </cell>
          <cell r="C1157" t="str">
            <v>H</v>
          </cell>
          <cell r="D1157">
            <v>213.45</v>
          </cell>
        </row>
        <row r="1158">
          <cell r="A1158">
            <v>100644</v>
          </cell>
          <cell r="B1158" t="str">
            <v>USINA DE ASFALTO, TIPO GRAVIMÉTRICA, PROD 150 TON/HORA - JUROS. AF_12/2019</v>
          </cell>
          <cell r="C1158" t="str">
            <v>H</v>
          </cell>
          <cell r="D1158">
            <v>38.42</v>
          </cell>
        </row>
        <row r="1159">
          <cell r="A1159">
            <v>100645</v>
          </cell>
          <cell r="B1159" t="str">
            <v>USINA DE ASFALTO, TIPO GRAVIMÉTRICA, PROD 150 TON/HORA - MANUTENÇÃO. AF_12/2019</v>
          </cell>
          <cell r="C1159" t="str">
            <v>H</v>
          </cell>
          <cell r="D1159">
            <v>343.12</v>
          </cell>
        </row>
        <row r="1160">
          <cell r="A1160">
            <v>100646</v>
          </cell>
          <cell r="B1160" t="str">
            <v>USINA DE ASFALTO, TIPO GRAVIMÉTRICA, PROD 150 TON/HORA - MATERIAIS NA OPERAÇÃO. AF_12/2019</v>
          </cell>
          <cell r="C1160" t="str">
            <v>H</v>
          </cell>
          <cell r="D1160">
            <v>275.39999999999998</v>
          </cell>
        </row>
        <row r="1161">
          <cell r="A1161">
            <v>55960</v>
          </cell>
          <cell r="B1161" t="str">
            <v>IMUNIZACAO DE MADEIRAMENTO PARA COBERTURA UTILIZANDO CUPINICIDA INCOLOR</v>
          </cell>
          <cell r="C1161" t="str">
            <v>M2</v>
          </cell>
          <cell r="D1161">
            <v>4.8499999999999996</v>
          </cell>
        </row>
        <row r="1162">
          <cell r="A1162">
            <v>92259</v>
          </cell>
          <cell r="B1162" t="str">
            <v>INSTALAÇÃO DE TESOURA (INTEIRA OU MEIA), BIAPOIADA, EM MADEIRA NÃO APARELHADA, PARA VÃOS MAIORES OU IGUAIS A 3,0 M E MENORES QUE 6,0 M, INCLUSO IÇAMENTO. AF_07/2019</v>
          </cell>
          <cell r="C1162" t="str">
            <v>UN</v>
          </cell>
          <cell r="D1162">
            <v>257.42</v>
          </cell>
        </row>
        <row r="1163">
          <cell r="A1163">
            <v>92260</v>
          </cell>
          <cell r="B1163" t="str">
            <v>INSTALAÇÃO DE TESOURA (INTEIRA OU MEIA), BIAPOIADA, EM MADEIRA NÃO APARELHADA, PARA VÃOS MAIORES OU IGUAIS A 6,0 M E MENORES QUE 8,0 M, INCLUSO IÇAMENTO. AF_07/2019</v>
          </cell>
          <cell r="C1163" t="str">
            <v>UN</v>
          </cell>
          <cell r="D1163">
            <v>304.35000000000002</v>
          </cell>
        </row>
        <row r="1164">
          <cell r="A1164">
            <v>92261</v>
          </cell>
          <cell r="B1164" t="str">
            <v>INSTALAÇÃO DE TESOURA (INTEIRA OU MEIA), BIAPOIADA, EM MADEIRA NÃO APARELHADA, PARA VÃOS MAIORES OU IGUAIS A 8,0 M E MENORES QUE 10,0 M, INCLUSO IÇAMENTO. AF_07/2019</v>
          </cell>
          <cell r="C1164" t="str">
            <v>UN</v>
          </cell>
          <cell r="D1164">
            <v>349.86</v>
          </cell>
        </row>
        <row r="1165">
          <cell r="A1165">
            <v>92262</v>
          </cell>
          <cell r="B1165" t="str">
            <v>INSTALAÇÃO DE TESOURA (INTEIRA OU MEIA), BIAPOIADA, EM MADEIRA NÃO APARELHADA, PARA VÃOS MAIORES OU IGUAIS A 10,0 M E MENORES QUE 12,0 M, INCLUSO IÇAMENTO. AF_07/2019</v>
          </cell>
          <cell r="C1165" t="str">
            <v>UN</v>
          </cell>
          <cell r="D1165">
            <v>423.12</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v>39.89</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v>46.75</v>
          </cell>
        </row>
        <row r="1168">
          <cell r="A1168">
            <v>92541</v>
          </cell>
          <cell r="B1168" t="str">
            <v>TRAMA DE MADEIRA COMPOSTA POR RIPAS, CAIBROS E TERÇAS PARA TELHADOS DE ATÉ 2 ÁGUAS PARA TELHA CERÂMICA CAPA-CANAL, INCLUSO TRANSPORTE VERTICAL. AF_07/2019</v>
          </cell>
          <cell r="C1168" t="str">
            <v>M2</v>
          </cell>
          <cell r="D1168">
            <v>42.52</v>
          </cell>
        </row>
        <row r="1169">
          <cell r="A1169">
            <v>92542</v>
          </cell>
          <cell r="B1169" t="str">
            <v>TRAMA DE MADEIRA COMPOSTA POR RIPAS, CAIBROS E TERÇAS PARA TELHADOS DE MAIS QUE 2 ÁGUAS PARA TELHA CERÂMICA CAPA-CANAL, INCLUSO TRANSPORTE VERTICAL. AF_07/2019</v>
          </cell>
          <cell r="C1169" t="str">
            <v>M2</v>
          </cell>
          <cell r="D1169">
            <v>52.83</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v>10.92</v>
          </cell>
        </row>
        <row r="1171">
          <cell r="A1171">
            <v>92544</v>
          </cell>
          <cell r="B1171" t="str">
            <v>TRAMA DE MADEIRA COMPOSTA POR TERÇAS PARA TELHADOS DE ATÉ 2 ÁGUAS PARA TELHA ESTRUTURAL DE FIBROCIMENTO, INCLUSO TRANSPORTE VERTICAL. AF_07/2019</v>
          </cell>
          <cell r="C1171" t="str">
            <v>M2</v>
          </cell>
          <cell r="D1171">
            <v>9.19</v>
          </cell>
        </row>
        <row r="1172">
          <cell r="A1172">
            <v>92545</v>
          </cell>
          <cell r="B1172" t="str">
            <v>FABRICAÇÃO E INSTALAÇÃO DE TESOURA INTEIRA EM MADEIRA NÃO APARELHADA, VÃO DE 3 M, PARA TELHA CERÂMICA OU DE CONCRETO, INCLUSO IÇAMENTO. AF_07/2019</v>
          </cell>
          <cell r="C1172" t="str">
            <v>UN</v>
          </cell>
          <cell r="D1172">
            <v>562.70000000000005</v>
          </cell>
        </row>
        <row r="1173">
          <cell r="A1173">
            <v>92546</v>
          </cell>
          <cell r="B1173" t="str">
            <v>FABRICAÇÃO E INSTALAÇÃO DE TESOURA INTEIRA EM MADEIRA NÃO APARELHADA, VÃO DE 4 M, PARA TELHA CERÂMICA OU DE CONCRETO, INCLUSO IÇAMENTO. AF_07/2019</v>
          </cell>
          <cell r="C1173" t="str">
            <v>UN</v>
          </cell>
          <cell r="D1173">
            <v>694.11</v>
          </cell>
        </row>
        <row r="1174">
          <cell r="A1174">
            <v>92547</v>
          </cell>
          <cell r="B1174" t="str">
            <v>FABRICAÇÃO E INSTALAÇÃO DE TESOURA INTEIRA EM MADEIRA NÃO APARELHADA, VÃO DE 5 M, PARA TELHA CERÂMICA OU DE CONCRETO, INCLUSO IÇAMENTO. AF_07/2019</v>
          </cell>
          <cell r="C1174" t="str">
            <v>UN</v>
          </cell>
          <cell r="D1174">
            <v>723.03</v>
          </cell>
        </row>
        <row r="1175">
          <cell r="A1175">
            <v>92548</v>
          </cell>
          <cell r="B1175" t="str">
            <v>FABRICAÇÃO E INSTALAÇÃO DE TESOURA INTEIRA EM MADEIRA NÃO APARELHADA, VÃO DE 6 M, PARA TELHA CERÂMICA OU DE CONCRETO, INCLUSO IÇAMENTO. AF_07/2019</v>
          </cell>
          <cell r="C1175" t="str">
            <v>UN</v>
          </cell>
          <cell r="D1175">
            <v>804.44</v>
          </cell>
        </row>
        <row r="1176">
          <cell r="A1176">
            <v>92549</v>
          </cell>
          <cell r="B1176" t="str">
            <v>FABRICAÇÃO E INSTALAÇÃO DE TESOURA INTEIRA EM MADEIRA NÃO APARELHADA, VÃO DE 7 M, PARA TELHA CERÂMICA OU DE CONCRETO, INCLUSO IÇAMENTO. AF_07/2019</v>
          </cell>
          <cell r="C1176" t="str">
            <v>UN</v>
          </cell>
          <cell r="D1176">
            <v>1032.67</v>
          </cell>
        </row>
        <row r="1177">
          <cell r="A1177">
            <v>92550</v>
          </cell>
          <cell r="B1177" t="str">
            <v>FABRICAÇÃO E INSTALAÇÃO DE TESOURA INTEIRA EM MADEIRA NÃO APARELHADA, VÃO DE 8 M, PARA TELHA CERÂMICA OU DE CONCRETO, INCLUSO IÇAMENTO. AF_07/2019</v>
          </cell>
          <cell r="C1177" t="str">
            <v>UN</v>
          </cell>
          <cell r="D1177">
            <v>1296.0899999999999</v>
          </cell>
        </row>
        <row r="1178">
          <cell r="A1178">
            <v>92551</v>
          </cell>
          <cell r="B1178" t="str">
            <v>FABRICAÇÃO E INSTALAÇÃO DE TESOURA INTEIRA EM MADEIRA NÃO APARELHADA, VÃO DE 9 M, PARA TELHA CERÂMICA OU DE CONCRETO, INCLUSO IÇAMENTO. AF_07/2019</v>
          </cell>
          <cell r="C1178" t="str">
            <v>UN</v>
          </cell>
          <cell r="D1178">
            <v>1334.19</v>
          </cell>
        </row>
        <row r="1179">
          <cell r="A1179">
            <v>92552</v>
          </cell>
          <cell r="B1179" t="str">
            <v>FABRICAÇÃO E INSTALAÇÃO DE TESOURA INTEIRA EM MADEIRA NÃO APARELHADA, VÃO DE 10 M, PARA TELHA CERÂMICA OU DE CONCRETO, INCLUSO IÇAMENTO. AF_07/2019</v>
          </cell>
          <cell r="C1179" t="str">
            <v>UN</v>
          </cell>
          <cell r="D1179">
            <v>1451.12</v>
          </cell>
        </row>
        <row r="1180">
          <cell r="A1180">
            <v>92553</v>
          </cell>
          <cell r="B1180" t="str">
            <v>FABRICAÇÃO E INSTALAÇÃO DE TESOURA INTEIRA EM MADEIRA NÃO APARELHADA, VÃO DE 11 M, PARA TELHA CERÂMICA OU DE CONCRETO, INCLUSO IÇAMENTO. AF_07/2019</v>
          </cell>
          <cell r="C1180" t="str">
            <v>UN</v>
          </cell>
          <cell r="D1180">
            <v>1686.92</v>
          </cell>
        </row>
        <row r="1181">
          <cell r="A1181">
            <v>92554</v>
          </cell>
          <cell r="B1181" t="str">
            <v>FABRICAÇÃO E INSTALAÇÃO DE TESOURA INTEIRA EM MADEIRA NÃO APARELHADA, VÃO DE 12 M, PARA TELHA CERÂMICA OU DE CONCRETO, INCLUSO IÇAMENTO. AF_07/2019</v>
          </cell>
          <cell r="C1181" t="str">
            <v>UN</v>
          </cell>
          <cell r="D1181">
            <v>1730.19</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v>557.15</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v>684.94</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v>713.85</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v>798.88</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v>1022.89</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v>1281.18</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v>1319.94</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v>1427.7</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v>1658.44</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v>1695.56</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20.97</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11.8</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18.28</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v>20.97</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v>28.78</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v>32.94</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v>13</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v>13.93</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v>18.28</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v>24.13</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v>29.47</v>
          </cell>
        </row>
        <row r="1203">
          <cell r="A1203">
            <v>100388</v>
          </cell>
          <cell r="B1203" t="str">
            <v>RETIRADA E RECOLOCAÇÃO DE RIPA EM TELHADOS DE ATÉ 2 ÁGUAS COM TELHA CERÂMICA OU DE CONCRETO DE ENCAIXE, INCLUSO TRANSPORTE VERTICAL. AF_07/2019</v>
          </cell>
          <cell r="C1203" t="str">
            <v>M2</v>
          </cell>
          <cell r="D1203">
            <v>12.05</v>
          </cell>
        </row>
        <row r="1204">
          <cell r="A1204">
            <v>100389</v>
          </cell>
          <cell r="B1204" t="str">
            <v>RETIRADA E RECOLOCAÇÃO DE CAIBRO EM TELHADOS DE ATÉ 2 ÁGUAS COM TELHA CERÂMICA OU DE CONCRETO DE ENCAIXE, INCLUSO TRANSPORTE VERTICAL. AF_07/2019</v>
          </cell>
          <cell r="C1204" t="str">
            <v>M2</v>
          </cell>
          <cell r="D1204">
            <v>10.94</v>
          </cell>
        </row>
        <row r="1205">
          <cell r="A1205">
            <v>100390</v>
          </cell>
          <cell r="B1205" t="str">
            <v>RETIRADA E RECOLOCAÇÃO DE RIPA EM TELHADOS DE MAIS DE 2 ÁGUAS COM TELHA CERÂMICA OU DE CONCRETO DE ENCAIXE, INCLUSO TRANSPORTE VERTICAL. AF_07/2019</v>
          </cell>
          <cell r="C1205" t="str">
            <v>M2</v>
          </cell>
          <cell r="D1205">
            <v>14.82</v>
          </cell>
        </row>
        <row r="1206">
          <cell r="A1206">
            <v>100391</v>
          </cell>
          <cell r="B1206" t="str">
            <v>RETIRADA E RECOLOCAÇÃO DE CAIBRO EM TELHADOS DE MAIS DE 2 ÁGUAS COM TELHA CERÂMICA OU DE CONCRETO DE ENCAIXE, INCLUSO TRANSPORTE VERTICAL. AF_07/2019</v>
          </cell>
          <cell r="C1206" t="str">
            <v>M2</v>
          </cell>
          <cell r="D1206">
            <v>12.84</v>
          </cell>
        </row>
        <row r="1207">
          <cell r="A1207">
            <v>100392</v>
          </cell>
          <cell r="B1207" t="str">
            <v>RETIRADA E RECOLOCAÇÃO DE RIPA EM TELHADOS DE ATÉ 2 ÁGUAS COM TELHA CERÂMICA CAPA-CANAL, INCLUSO TRANSPORTE VERTICAL. AF_07/2019</v>
          </cell>
          <cell r="C1207" t="str">
            <v>M2</v>
          </cell>
          <cell r="D1207">
            <v>9.49</v>
          </cell>
        </row>
        <row r="1208">
          <cell r="A1208">
            <v>100393</v>
          </cell>
          <cell r="B1208" t="str">
            <v>RETIRADA E RECOLOCAÇÃO DE CAIBRO EM TELHADOS DE ATÉ 2 ÁGUAS COM TELHA CERÂMICA CAPA-CANAL, INCLUSO TRANSPORTE VERTICAL. AF_07/2019</v>
          </cell>
          <cell r="C1208" t="str">
            <v>M2</v>
          </cell>
          <cell r="D1208">
            <v>12.57</v>
          </cell>
        </row>
        <row r="1209">
          <cell r="A1209">
            <v>100394</v>
          </cell>
          <cell r="B1209" t="str">
            <v>RETIRADA E RECOLOCAÇÃO DE RIPA EM TELHADOS DE MAIS DE 2 ÁGUAS COM TELHA CERÂMICA CAPA-CANAL, INCLUSO TRANSPORTE VERTICAL. AF_07/2019</v>
          </cell>
          <cell r="C1209" t="str">
            <v>M2</v>
          </cell>
          <cell r="D1209">
            <v>11.67</v>
          </cell>
        </row>
        <row r="1210">
          <cell r="A1210">
            <v>100395</v>
          </cell>
          <cell r="B1210" t="str">
            <v>RETIRADA E RECOLOCAÇÃO DE CAIBRO EM TELHADOS DE MAIS DE 2 ÁGUAS COM TELHA CERÂMICA CAPA-CANAL, INCLUSO TRANSPORTE VERTICAL. AF_07/2019</v>
          </cell>
          <cell r="C1210" t="str">
            <v>M2</v>
          </cell>
          <cell r="D1210">
            <v>15.34</v>
          </cell>
        </row>
        <row r="1211">
          <cell r="A1211">
            <v>94189</v>
          </cell>
          <cell r="B1211" t="str">
            <v>TELHAMENTO COM TELHA DE CONCRETO DE ENCAIXE, COM ATÉ 2 ÁGUAS, INCLUSO TRANSPORTE VERTICAL. AF_07/2019</v>
          </cell>
          <cell r="C1211" t="str">
            <v>M2</v>
          </cell>
          <cell r="D1211">
            <v>27.4</v>
          </cell>
        </row>
        <row r="1212">
          <cell r="A1212">
            <v>94192</v>
          </cell>
          <cell r="B1212" t="str">
            <v>TELHAMENTO COM TELHA DE CONCRETO DE ENCAIXE, COM MAIS DE 2 ÁGUAS, INCLUSO TRANSPORTE VERTICAL. AF_07/2019</v>
          </cell>
          <cell r="C1212" t="str">
            <v>M2</v>
          </cell>
          <cell r="D1212">
            <v>29.39</v>
          </cell>
        </row>
        <row r="1213">
          <cell r="A1213">
            <v>94195</v>
          </cell>
          <cell r="B1213" t="str">
            <v>TELHAMENTO COM TELHA CERÂMICA DE ENCAIXE, TIPO PORTUGUESA, COM ATÉ 2 ÁGUAS, INCLUSO TRANSPORTE VERTICAL. AF_07/2019</v>
          </cell>
          <cell r="C1213" t="str">
            <v>M2</v>
          </cell>
          <cell r="D1213">
            <v>38.72</v>
          </cell>
        </row>
        <row r="1214">
          <cell r="A1214">
            <v>94198</v>
          </cell>
          <cell r="B1214" t="str">
            <v>TELHAMENTO COM TELHA CERÂMICA DE ENCAIXE, TIPO PORTUGUESA, COM MAIS DE 2 ÁGUAS, INCLUSO TRANSPORTE VERTICAL. AF_07/2019</v>
          </cell>
          <cell r="C1214" t="str">
            <v>M2</v>
          </cell>
          <cell r="D1214">
            <v>41.36</v>
          </cell>
        </row>
        <row r="1215">
          <cell r="A1215">
            <v>94201</v>
          </cell>
          <cell r="B1215" t="str">
            <v>TELHAMENTO COM TELHA CERÂMICA CAPA-CANAL, TIPO COLONIAL, COM ATÉ 2 ÁGUAS, INCLUSO TRANSPORTE VERTICAL. AF_07/2019</v>
          </cell>
          <cell r="C1215" t="str">
            <v>M2</v>
          </cell>
          <cell r="D1215">
            <v>54.46</v>
          </cell>
        </row>
        <row r="1216">
          <cell r="A1216">
            <v>94204</v>
          </cell>
          <cell r="B1216" t="str">
            <v>TELHAMENTO COM TELHA CERÂMICA CAPA-CANAL, TIPO COLONIAL, COM MAIS DE 2 ÁGUAS, INCLUSO TRANSPORTE VERTICAL. AF_07/2019</v>
          </cell>
          <cell r="C1216" t="str">
            <v>M2</v>
          </cell>
          <cell r="D1216">
            <v>58.94</v>
          </cell>
        </row>
        <row r="1217">
          <cell r="A1217">
            <v>94224</v>
          </cell>
          <cell r="B1217" t="str">
            <v>EMBOÇAMENTO COM ARGAMASSA TRAÇO 1:2:9 (CIMENTO, CAL E AREIA). AF_07/2019</v>
          </cell>
          <cell r="C1217" t="str">
            <v>M</v>
          </cell>
          <cell r="D1217">
            <v>19.16</v>
          </cell>
        </row>
        <row r="1218">
          <cell r="A1218">
            <v>94225</v>
          </cell>
          <cell r="B1218" t="str">
            <v>ISOLAMENTO TERMOACÚSTICO COM LÃ MINERAL NA SUBCOBERTURA, INCLUSO TRANSPORTE VERTICAL. AF_07/2019</v>
          </cell>
          <cell r="C1218" t="str">
            <v>M2</v>
          </cell>
          <cell r="D1218">
            <v>23.74</v>
          </cell>
        </row>
        <row r="1219">
          <cell r="A1219">
            <v>94226</v>
          </cell>
          <cell r="B1219" t="str">
            <v>SUBCOBERTURA COM MANTA PLÁSTICA REVESTIDA POR PELÍCULA DE ALUMÍNO, INCLUSO TRANSPORTE VERTICAL. AF_07/2019</v>
          </cell>
          <cell r="C1219" t="str">
            <v>M2</v>
          </cell>
          <cell r="D1219">
            <v>16.86</v>
          </cell>
        </row>
        <row r="1220">
          <cell r="A1220">
            <v>94232</v>
          </cell>
          <cell r="B1220" t="str">
            <v>AMARRAÇÃO DE TELHAS CERÂMICAS OU DE CONCRETO. AF_07/2019</v>
          </cell>
          <cell r="C1220" t="str">
            <v>UN</v>
          </cell>
          <cell r="D1220">
            <v>2.23</v>
          </cell>
        </row>
        <row r="1221">
          <cell r="A1221">
            <v>94440</v>
          </cell>
          <cell r="B1221" t="str">
            <v>TELHAMENTO COM TELHA CERÂMICA DE ENCAIXE, TIPO FRANCESA, COM ATÉ 2 ÁGUAS, INCLUSO TRANSPORTE VERTICAL. AF_07/2019</v>
          </cell>
          <cell r="C1221" t="str">
            <v>M2</v>
          </cell>
          <cell r="D1221">
            <v>38.72</v>
          </cell>
        </row>
        <row r="1222">
          <cell r="A1222">
            <v>94441</v>
          </cell>
          <cell r="B1222" t="str">
            <v>TELHAMENTO COM TELHA CERÂMICA DE ENCAIXE, TIPO FRANCESA, COM MAIS DE 2 ÁGUAS, INCLUSO TRANSPORTE VERTICAL. AF_07/2019</v>
          </cell>
          <cell r="C1222" t="str">
            <v>M2</v>
          </cell>
          <cell r="D1222">
            <v>41.36</v>
          </cell>
        </row>
        <row r="1223">
          <cell r="A1223">
            <v>94442</v>
          </cell>
          <cell r="B1223" t="str">
            <v>TELHAMENTO COM TELHA CERÂMICA DE ENCAIXE, TIPO ROMANA, COM ATÉ 2 ÁGUAS, INCLUSO TRANSPORTE VERTICAL. AF_07/2019</v>
          </cell>
          <cell r="C1223" t="str">
            <v>M2</v>
          </cell>
          <cell r="D1223">
            <v>38.72</v>
          </cell>
        </row>
        <row r="1224">
          <cell r="A1224">
            <v>94443</v>
          </cell>
          <cell r="B1224" t="str">
            <v>TELHAMENTO COM TELHA CERÂMICA DE ENCAIXE, TIPO ROMANA, COM MAIS DE 2 ÁGUAS, INCLUSO TRANSPORTE VERTICAL. AF_07/2019</v>
          </cell>
          <cell r="C1224" t="str">
            <v>M2</v>
          </cell>
          <cell r="D1224">
            <v>41.36</v>
          </cell>
        </row>
        <row r="1225">
          <cell r="A1225">
            <v>94445</v>
          </cell>
          <cell r="B1225" t="str">
            <v>TELHAMENTO COM TELHA CERÂMICA CAPA-CANAL, TIPO PLAN, COM ATÉ 2 ÁGUAS, INCLUSO TRANSPORTE VERTICAL. AF_07/2019</v>
          </cell>
          <cell r="C1225" t="str">
            <v>M2</v>
          </cell>
          <cell r="D1225">
            <v>54.46</v>
          </cell>
        </row>
        <row r="1226">
          <cell r="A1226">
            <v>94446</v>
          </cell>
          <cell r="B1226" t="str">
            <v>TELHAMENTO COM TELHA CERÂMICA CAPA-CANAL, TIPO PLAN, COM MAIS DE 2 ÁGUAS, INCLUSO TRANSPORTE VERTICAL. AF_07/2019</v>
          </cell>
          <cell r="C1226" t="str">
            <v>M2</v>
          </cell>
          <cell r="D1226">
            <v>58.94</v>
          </cell>
        </row>
        <row r="1227">
          <cell r="A1227">
            <v>94447</v>
          </cell>
          <cell r="B1227" t="str">
            <v>TELHAMENTO COM TELHA CERÂMICA CAPA-CANAL, TIPO PAULISTA, COM ATÉ 2 ÁGUAS, INCLUSO TRANSPORTE VERTICAL. AF_07/2019</v>
          </cell>
          <cell r="C1227" t="str">
            <v>M2</v>
          </cell>
          <cell r="D1227">
            <v>54.46</v>
          </cell>
        </row>
        <row r="1228">
          <cell r="A1228">
            <v>94448</v>
          </cell>
          <cell r="B1228" t="str">
            <v>TELHAMENTO COM TELHA CERÂMICA CAPA-CANAL, TIPO PAULISTA, COM MAIS DE 2 ÁGUAS, INCLUSO TRANSPORTE VERTICAL. AF_07/2019</v>
          </cell>
          <cell r="C1228" t="str">
            <v>M2</v>
          </cell>
          <cell r="D1228">
            <v>58.94</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v>34.26</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v>36.47</v>
          </cell>
        </row>
        <row r="1231">
          <cell r="A1231">
            <v>94218</v>
          </cell>
          <cell r="B1231" t="str">
            <v>TELHAMENTO COM TELHA ESTRUTURAL DE FIBROCIMENTO E= 6 MM, COM ATÉ 2 ÁGUAS, INCLUSO IÇAMENTO. AF_07/2019</v>
          </cell>
          <cell r="C1231" t="str">
            <v>M2</v>
          </cell>
          <cell r="D1231">
            <v>75.45</v>
          </cell>
        </row>
        <row r="1232">
          <cell r="A1232">
            <v>94213</v>
          </cell>
          <cell r="B1232" t="str">
            <v>TELHAMENTO COM TELHA DE AÇO/ALUMÍNIO E = 0,5 MM, COM ATÉ 2 ÁGUAS, INCLUSO IÇAMENTO. AF_07/2019</v>
          </cell>
          <cell r="C1232" t="str">
            <v>M2</v>
          </cell>
          <cell r="D1232">
            <v>44.08</v>
          </cell>
        </row>
        <row r="1233">
          <cell r="A1233">
            <v>94216</v>
          </cell>
          <cell r="B1233" t="str">
            <v>TELHAMENTO COM TELHA METÁLICA TERMOACÚSTICA E = 30 MM, COM ATÉ 2 ÁGUAS, INCLUSO IÇAMENTO. AF_07/2019</v>
          </cell>
          <cell r="C1233" t="str">
            <v>M2</v>
          </cell>
          <cell r="D1233">
            <v>124.99</v>
          </cell>
        </row>
        <row r="1234">
          <cell r="A1234">
            <v>94219</v>
          </cell>
          <cell r="B1234" t="str">
            <v>CUMEEIRA E ESPIGÃO PARA TELHA CERÂMICA EMBOÇADA COM ARGAMASSA TRAÇO 1:2:9 (CIMENTO, CAL E AREIA), PARA TELHADOS COM MAIS DE 2 ÁGUAS, INCLUSO TRANSPORTE VERTICAL. AF_07/2019</v>
          </cell>
          <cell r="C1234" t="str">
            <v>M</v>
          </cell>
          <cell r="D1234">
            <v>28.51</v>
          </cell>
        </row>
        <row r="1235">
          <cell r="A1235">
            <v>94220</v>
          </cell>
          <cell r="B1235" t="str">
            <v>CUMEEIRA E ESPIGÃO PARA TELHA DE CONCRETO EMBOÇADA COM ARGAMASSA TRAÇO 1:2:9 (CIMENTO, CAL E AREIA), PARA TELHADOS COM MAIS DE 2 ÁGUAS, INCLUSO TRANSPORTE VERTICAL. AF_07/2019</v>
          </cell>
          <cell r="C1235" t="str">
            <v>M</v>
          </cell>
          <cell r="D1235">
            <v>38.29</v>
          </cell>
        </row>
        <row r="1236">
          <cell r="A1236">
            <v>94221</v>
          </cell>
          <cell r="B1236" t="str">
            <v>CUMEEIRA PARA TELHA CERÂMICA EMBOÇADA COM ARGAMASSA TRAÇO 1:2:9 (CIMENTO, CAL E AREIA) PARA TELHADOS COM ATÉ 2 ÁGUAS, INCLUSO TRANSPORTE VERTICAL. AF_07/2019</v>
          </cell>
          <cell r="C1236" t="str">
            <v>M</v>
          </cell>
          <cell r="D1236">
            <v>23.3</v>
          </cell>
        </row>
        <row r="1237">
          <cell r="A1237">
            <v>94222</v>
          </cell>
          <cell r="B1237" t="str">
            <v>CUMEEIRA PARA TELHA DE CONCRETO EMBOÇADA COM ARGAMASSA TRAÇO 1:2:9 (CIMENTO, CAL E AREIA) PARA TELHADOS COM ATÉ 2 ÁGUAS, INCLUSO TRANSPORTE VERTICAL. AF_07/2019</v>
          </cell>
          <cell r="C1237" t="str">
            <v>M</v>
          </cell>
          <cell r="D1237">
            <v>33.08</v>
          </cell>
        </row>
        <row r="1238">
          <cell r="A1238">
            <v>94223</v>
          </cell>
          <cell r="B1238" t="str">
            <v>CUMEEIRA PARA TELHA DE FIBROCIMENTO ONDULADA E = 6 MM, INCLUSO ACESSÓRIOS DE FIXAÇÃO E IÇAMENTO. AF_07/2019</v>
          </cell>
          <cell r="C1238" t="str">
            <v>M</v>
          </cell>
          <cell r="D1238">
            <v>42.74</v>
          </cell>
        </row>
        <row r="1239">
          <cell r="A1239">
            <v>94451</v>
          </cell>
          <cell r="B1239" t="str">
            <v>CUMEEIRA PARA TELHA DE FIBROCIMENTO ESTRUTURAL E = 6 MM, INCLUSO ACESSÓRIOS DE FIXAÇÃO E IÇAMENTO. AF_07/2019</v>
          </cell>
          <cell r="C1239" t="str">
            <v>M</v>
          </cell>
          <cell r="D1239">
            <v>97.53</v>
          </cell>
        </row>
        <row r="1240">
          <cell r="A1240">
            <v>100325</v>
          </cell>
          <cell r="B1240" t="str">
            <v>CUMEEIRA SHED PARA TELHA ONDULADA DE FIBROCIMENTO, E = 6 MM, INCLUSO ACESSÓRIOS DE FIXAÇÃO E IÇAMENTO. AF_07/2019</v>
          </cell>
          <cell r="C1240" t="str">
            <v>M</v>
          </cell>
          <cell r="D1240">
            <v>41.03</v>
          </cell>
        </row>
        <row r="1241">
          <cell r="A1241">
            <v>100327</v>
          </cell>
          <cell r="B1241" t="str">
            <v>RUFO EXTERNO/INTERNO EM CHAPA DE AÇO GALVANIZADO NÚMERO 26, CORTE DE 33 CM, INCLUSO IÇAMENTO. AF_07/2019</v>
          </cell>
          <cell r="C1241" t="str">
            <v>M</v>
          </cell>
          <cell r="D1241">
            <v>40.92</v>
          </cell>
        </row>
        <row r="1242">
          <cell r="A1242">
            <v>100328</v>
          </cell>
          <cell r="B1242" t="str">
            <v>RETIRADA E RECOLOCAÇÃO DE  TELHA CERÂMICA DE ENCAIXE, COM ATÉ DUAS ÁGUAS, INCLUSO IÇAMENTO. AF_07/2019</v>
          </cell>
          <cell r="C1242" t="str">
            <v>M2</v>
          </cell>
          <cell r="D1242">
            <v>12.83</v>
          </cell>
        </row>
        <row r="1243">
          <cell r="A1243">
            <v>100329</v>
          </cell>
          <cell r="B1243" t="str">
            <v>RETIRADA E RECOLOCAÇÃO DE  TELHA CERÂMICA DE ENCAIXE, COM MAIS DE DUAS ÁGUAS, INCLUSO IÇAMENTO. AF_07/2019</v>
          </cell>
          <cell r="C1243" t="str">
            <v>M2</v>
          </cell>
          <cell r="D1243">
            <v>15.47</v>
          </cell>
        </row>
        <row r="1244">
          <cell r="A1244">
            <v>100330</v>
          </cell>
          <cell r="B1244" t="str">
            <v>RETIRADA E RECOLOCAÇÃO DE  TELHA CERÂMICA CAPA-CANAL, COM ATÉ DUAS ÁGUAS, INCLUSO IÇAMENTO. AF_07/2019</v>
          </cell>
          <cell r="C1244" t="str">
            <v>M2</v>
          </cell>
          <cell r="D1244">
            <v>17.43</v>
          </cell>
        </row>
        <row r="1245">
          <cell r="A1245">
            <v>100331</v>
          </cell>
          <cell r="B1245" t="str">
            <v>RETIRADA E RECOLOCAÇÃO DE  TELHA CERÂMICA CAPA-CANAL, COM MAIS DE DUAS ÁGUAS, INCLUSO IÇAMENTO. AF_07/2019</v>
          </cell>
          <cell r="C1245" t="str">
            <v>M2</v>
          </cell>
          <cell r="D1245">
            <v>21.94</v>
          </cell>
        </row>
        <row r="1246">
          <cell r="A1246">
            <v>100434</v>
          </cell>
          <cell r="B1246" t="str">
            <v>CALHA DE BEIRAL, SEMICIRCULAR DE PVC, DIAMETRO 125 MM, INCLUINDO CABECEIRAS, EMENDAS, BOCAIS, SUPORTES E VEDAÇÕES, EXCLUINDO CONDUTORES, INCLUSO TRANSPORTE VERTICAL. AF_07/2019</v>
          </cell>
          <cell r="C1246" t="str">
            <v>M</v>
          </cell>
          <cell r="D1246">
            <v>48.47</v>
          </cell>
        </row>
        <row r="1247">
          <cell r="A1247">
            <v>100435</v>
          </cell>
          <cell r="B1247" t="str">
            <v>RUFO EM FIBROCIMENTO PARA TELHA ONDULADA E = 6 MM, ABA DE 26 CM, INCLUSO TRANSPORTE VERTICAL, EXCETO CONTRARRUFO. AF_07/2019</v>
          </cell>
          <cell r="C1247" t="str">
            <v>M</v>
          </cell>
          <cell r="D1247">
            <v>23.19</v>
          </cell>
        </row>
        <row r="1248">
          <cell r="A1248">
            <v>94227</v>
          </cell>
          <cell r="B1248" t="str">
            <v>CALHA EM CHAPA DE AÇO GALVANIZADO NÚMERO 24, DESENVOLVIMENTO DE 33 CM, INCLUSO TRANSPORTE VERTICAL. AF_07/2019</v>
          </cell>
          <cell r="C1248" t="str">
            <v>M</v>
          </cell>
          <cell r="D1248">
            <v>45.82</v>
          </cell>
        </row>
        <row r="1249">
          <cell r="A1249">
            <v>94228</v>
          </cell>
          <cell r="B1249" t="str">
            <v>CALHA EM CHAPA DE AÇO GALVANIZADO NÚMERO 24, DESENVOLVIMENTO DE 50 CM, INCLUSO TRANSPORTE VERTICAL. AF_07/2019</v>
          </cell>
          <cell r="C1249" t="str">
            <v>M</v>
          </cell>
          <cell r="D1249">
            <v>61.47</v>
          </cell>
        </row>
        <row r="1250">
          <cell r="A1250">
            <v>94229</v>
          </cell>
          <cell r="B1250" t="str">
            <v>CALHA EM CHAPA DE AÇO GALVANIZADO NÚMERO 24, DESENVOLVIMENTO DE 100 CM, INCLUSO TRANSPORTE VERTICAL. AF_07/2019</v>
          </cell>
          <cell r="C1250" t="str">
            <v>M</v>
          </cell>
          <cell r="D1250">
            <v>118.62</v>
          </cell>
        </row>
        <row r="1251">
          <cell r="A1251">
            <v>94231</v>
          </cell>
          <cell r="B1251" t="str">
            <v>RUFO EM CHAPA DE AÇO GALVANIZADO NÚMERO 24, CORTE DE 25 CM, INCLUSO TRANSPORTE VERTICAL. AF_07/2019</v>
          </cell>
          <cell r="C1251" t="str">
            <v>M</v>
          </cell>
          <cell r="D1251">
            <v>36.81</v>
          </cell>
        </row>
        <row r="1252">
          <cell r="A1252">
            <v>94449</v>
          </cell>
          <cell r="B1252" t="str">
            <v>TELHAMENTO COM TELHA ONDULADA DE FIBRA DE VIDRO E = 0,6 MM, PARA TELHADO COM INCLINAÇÃO MAIOR QUE 10°, COM ATÉ 2 ÁGUAS, INCLUSO IÇAMENTO. AF_07/2019</v>
          </cell>
          <cell r="C1252" t="str">
            <v>M2</v>
          </cell>
          <cell r="D1252">
            <v>50.07</v>
          </cell>
        </row>
        <row r="1253">
          <cell r="A1253">
            <v>92255</v>
          </cell>
          <cell r="B1253" t="str">
            <v>INSTALAÇÃO DE TESOURA (INTEIRA OU MEIA), EM AÇO, PARA VÃOS MAIORES OU IGUAIS A 3,0 M E MENORES QUE 6,0 M, INCLUSO IÇAMENTO. AF_07/2019</v>
          </cell>
          <cell r="C1253" t="str">
            <v>UN</v>
          </cell>
          <cell r="D1253">
            <v>130.66</v>
          </cell>
        </row>
        <row r="1254">
          <cell r="A1254">
            <v>92256</v>
          </cell>
          <cell r="B1254" t="str">
            <v>INSTALAÇÃO DE TESOURA (INTEIRA OU MEIA), EM AÇO, PARA VÃOS MAIORES OU IGUAIS A 6,0 M E MENORES QUE 8,0 M, INCLUSO IÇAMENTO. AF_07/2019</v>
          </cell>
          <cell r="C1254" t="str">
            <v>UN</v>
          </cell>
          <cell r="D1254">
            <v>157.32</v>
          </cell>
        </row>
        <row r="1255">
          <cell r="A1255">
            <v>92257</v>
          </cell>
          <cell r="B1255" t="str">
            <v>INSTALAÇÃO DE TESOURA (INTEIRA OU MEIA), EM AÇO, PARA VÃOS MAIORES OU IGUAIS A 8,0 M E MENORES QUE 10,0 M, INCLUSO IÇAMENTO. AF_07/2019</v>
          </cell>
          <cell r="C1255" t="str">
            <v>UN</v>
          </cell>
          <cell r="D1255">
            <v>183.8</v>
          </cell>
        </row>
        <row r="1256">
          <cell r="A1256">
            <v>92258</v>
          </cell>
          <cell r="B1256" t="str">
            <v>INSTALAÇÃO DE TESOURA (INTEIRA OU MEIA), EM AÇO, PARA VÃOS MAIORES OU IGUAIS A 10,0 M E MENORES QUE 12,0 M, INCLUSO IÇAMENTO. AF_07/2019</v>
          </cell>
          <cell r="C1256" t="str">
            <v>UN</v>
          </cell>
          <cell r="D1256">
            <v>226.4</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74.63</v>
          </cell>
        </row>
        <row r="1258">
          <cell r="A1258">
            <v>92569</v>
          </cell>
          <cell r="B1258" t="str">
            <v>TRAMA DE AÇO COMPOSTA POR RIPAS E CAIBROS PARA TELHADOS DE ATÉ 2 ÁGUAS PARA TELHA DE ENCAIXE DE CERÂMICA OU DE CONCRETO, INCLUSO TRANSPORTE VERTICAL. AF_07/2019</v>
          </cell>
          <cell r="C1258" t="str">
            <v>M2</v>
          </cell>
          <cell r="D1258">
            <v>41.13</v>
          </cell>
        </row>
        <row r="1259">
          <cell r="A1259">
            <v>92570</v>
          </cell>
          <cell r="B1259" t="str">
            <v>TRAMA DE AÇO COMPOSTA POR RIPAS PARA TELHADOS DE ATÉ 2 ÁGUAS PARA TELHA DE ENCAIXE DE CERÂMICA OU DE CONCRETO, INCLUSO TRANSPORTE VERTICAL. AF_07/2019</v>
          </cell>
          <cell r="C1259" t="str">
            <v>M2</v>
          </cell>
          <cell r="D1259">
            <v>25.75</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79.8</v>
          </cell>
        </row>
        <row r="1261">
          <cell r="A1261">
            <v>92572</v>
          </cell>
          <cell r="B1261" t="str">
            <v>TRAMA DE AÇO COMPOSTA POR RIPAS E CAIBROS PARA TELHADOS DE MAIS DE 2 ÁGUAS PARA TELHA DE ENCAIXE DE CERÂMICA OU DE CONCRETO, INCLUSO TRANSPORTE VERTICAL. AF_07/2019</v>
          </cell>
          <cell r="C1261" t="str">
            <v>M2</v>
          </cell>
          <cell r="D1261">
            <v>47.32</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27.96</v>
          </cell>
        </row>
        <row r="1263">
          <cell r="A1263">
            <v>92574</v>
          </cell>
          <cell r="B1263" t="str">
            <v>TRAMA DE AÇO COMPOSTA POR RIPAS, CAIBROS E TERÇAS PARA TELHADOS DE ATÉ 2 ÁGUAS PARA TELHA CERÂMICA CAPA-CANAL, INCLUSO TRANSPORTE VERTICAL. AF_07/2019</v>
          </cell>
          <cell r="C1263" t="str">
            <v>M2</v>
          </cell>
          <cell r="D1263">
            <v>75.92</v>
          </cell>
        </row>
        <row r="1264">
          <cell r="A1264">
            <v>92575</v>
          </cell>
          <cell r="B1264" t="str">
            <v>TRAMA DE AÇO COMPOSTA POR RIPAS E CAIBROS PARA TELHADOS DE ATÉ 2 ÁGUAS PARA TELHA CERÂMICA CAPA-CANAL, INCLUSO TRANSPORTE VERTICAL. AF_07/2019</v>
          </cell>
          <cell r="C1264" t="str">
            <v>M2</v>
          </cell>
          <cell r="D1264">
            <v>37.729999999999997</v>
          </cell>
        </row>
        <row r="1265">
          <cell r="A1265">
            <v>92576</v>
          </cell>
          <cell r="B1265" t="str">
            <v>TRAMA DE AÇO COMPOSTA POR RIPAS PARA TELHADOS DE ATÉ 2 ÁGUAS PARA TELHA CERÂMICA CAPA-CANAL, INCLUSO TRANSPORTE VERTICAL. AF_07/2019</v>
          </cell>
          <cell r="C1265" t="str">
            <v>M2</v>
          </cell>
          <cell r="D1265">
            <v>20.39</v>
          </cell>
        </row>
        <row r="1266">
          <cell r="A1266">
            <v>92577</v>
          </cell>
          <cell r="B1266" t="str">
            <v>TRAMA DE AÇO COMPOSTA POR RIPAS, CAIBROS E TERÇAS PARA TELHADOS DE MAIS DE 2 ÁGUAS PARA TELHA CERÂMICA CAPA-CANAL, INCLUSO TRANSPORTE VERTICAL. AF_07/2019</v>
          </cell>
          <cell r="C1266" t="str">
            <v>M2</v>
          </cell>
          <cell r="D1266">
            <v>81.319999999999993</v>
          </cell>
        </row>
        <row r="1267">
          <cell r="A1267">
            <v>92578</v>
          </cell>
          <cell r="B1267" t="str">
            <v>TRAMA DE AÇO COMPOSTA POR RIPAS E CAIBROS PARA TELHADOS DE MAIS DE 2 ÁGUAS PARA TELHA CERÂMICA CAPA-CANAL, INCLUSO TRANSPORTE VERTICAL. AF_07/2019</v>
          </cell>
          <cell r="C1267" t="str">
            <v>M2</v>
          </cell>
          <cell r="D1267">
            <v>40.75</v>
          </cell>
        </row>
        <row r="1268">
          <cell r="A1268">
            <v>92579</v>
          </cell>
          <cell r="B1268" t="str">
            <v>TRAMA DE AÇO COMPOSTA POR RIPAS PARA TELHADOS DE MAIS DE 2 ÁGUAS PARA TELHA CERÂMICA CAPA-CANAL, INCLUSO TRANSPORTE VERTICAL. AF_07/2019</v>
          </cell>
          <cell r="C1268" t="str">
            <v>M2</v>
          </cell>
          <cell r="D1268">
            <v>22.15</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27.74</v>
          </cell>
        </row>
        <row r="1270">
          <cell r="A1270">
            <v>92581</v>
          </cell>
          <cell r="B1270" t="str">
            <v>TRAMA DE AÇO COMPOSTA POR TERÇAS PARA TELHADOS DE ATÉ 2 ÁGUAS PARA TELHA ESTRUTURAL DE FIBROCIMENTO, INCLUSO TRANSPORTE VERTICAL. AF_07/2019</v>
          </cell>
          <cell r="C1270" t="str">
            <v>M2</v>
          </cell>
          <cell r="D1270">
            <v>28.86</v>
          </cell>
        </row>
        <row r="1271">
          <cell r="A1271">
            <v>92582</v>
          </cell>
          <cell r="B1271" t="str">
            <v>FABRICAÇÃO E INSTALAÇÃO DE TESOURA INTEIRA EM AÇO, VÃO DE 3 M, PARA TELHA CERÂMICA OU DE CONCRETO, INCLUSO IÇAMENTO. AF_12/2015</v>
          </cell>
          <cell r="C1271" t="str">
            <v>UN</v>
          </cell>
          <cell r="D1271">
            <v>422.77</v>
          </cell>
        </row>
        <row r="1272">
          <cell r="A1272">
            <v>92584</v>
          </cell>
          <cell r="B1272" t="str">
            <v>FABRICAÇÃO E INSTALAÇÃO DE TESOURA INTEIRA EM AÇO, VÃO DE 4 M, PARA TELHA CERÂMICA OU DE CONCRETO, INCLUSO IÇAMENTO. AF_12/2015</v>
          </cell>
          <cell r="C1272" t="str">
            <v>UN</v>
          </cell>
          <cell r="D1272">
            <v>490.63</v>
          </cell>
        </row>
        <row r="1273">
          <cell r="A1273">
            <v>92586</v>
          </cell>
          <cell r="B1273" t="str">
            <v>FABRICAÇÃO E INSTALAÇÃO DE TESOURA INTEIRA EM AÇO, VÃO DE 5 M, PARA TELHA CERÂMICA OU DE CONCRETO, INCLUSO IÇAMENTO. AF_12/2015</v>
          </cell>
          <cell r="C1273" t="str">
            <v>UN</v>
          </cell>
          <cell r="D1273">
            <v>558.47</v>
          </cell>
        </row>
        <row r="1274">
          <cell r="A1274">
            <v>92588</v>
          </cell>
          <cell r="B1274" t="str">
            <v>FABRICAÇÃO E INSTALAÇÃO DE TESOURA INTEIRA EM AÇO, VÃO DE 6 M, PARA TELHA CERÂMICA OU DE CONCRETO, INCLUSO IÇAMENTO. AF_12/2015</v>
          </cell>
          <cell r="C1274" t="str">
            <v>UN</v>
          </cell>
          <cell r="D1274">
            <v>701.94</v>
          </cell>
        </row>
        <row r="1275">
          <cell r="A1275">
            <v>92590</v>
          </cell>
          <cell r="B1275" t="str">
            <v>FABRICAÇÃO E INSTALAÇÃO DE TESOURA INTEIRA EM AÇO, VÃO DE 7 M, PARA TELHA CERÂMICA OU DE CONCRETO, INCLUSO IÇAMENTO. AF_12/2015</v>
          </cell>
          <cell r="C1275" t="str">
            <v>UN</v>
          </cell>
          <cell r="D1275">
            <v>769.78</v>
          </cell>
        </row>
        <row r="1276">
          <cell r="A1276">
            <v>92592</v>
          </cell>
          <cell r="B1276" t="str">
            <v>FABRICAÇÃO E INSTALAÇÃO DE TESOURA INTEIRA EM AÇO, VÃO DE 8 M, PARA TELHA CERÂMICA OU DE CONCRETO, INCLUSO IÇAMENTO. AF_12/2015</v>
          </cell>
          <cell r="C1276" t="str">
            <v>UN</v>
          </cell>
          <cell r="D1276">
            <v>864.11</v>
          </cell>
        </row>
        <row r="1277">
          <cell r="A1277">
            <v>92593</v>
          </cell>
          <cell r="B1277" t="str">
            <v>(COMPOSIÇÃO REPRESENTATIVA) FABRICAÇÃO E INSTALAÇÃO DE TESOURA INTEIRA EM AÇO, PARA VÃOS DE 3 A 12 M E PARA QUALQUER TIPO DE TELHA, INCLUSO IÇAMENTO. AF_12/2015</v>
          </cell>
          <cell r="C1277" t="str">
            <v>KG</v>
          </cell>
          <cell r="D1277">
            <v>6.53</v>
          </cell>
        </row>
        <row r="1278">
          <cell r="A1278">
            <v>92594</v>
          </cell>
          <cell r="B1278" t="str">
            <v>FABRICAÇÃO E INSTALAÇÃO DE TESOURA INTEIRA EM AÇO, VÃO DE 9 M, PARA TELHA CERÂMICA OU DE CONCRETO, INCLUSO IÇAMENTO. AF_12/2015</v>
          </cell>
          <cell r="C1278" t="str">
            <v>UN</v>
          </cell>
          <cell r="D1278">
            <v>998.09</v>
          </cell>
        </row>
        <row r="1279">
          <cell r="A1279">
            <v>92596</v>
          </cell>
          <cell r="B1279" t="str">
            <v>FABRICAÇÃO E INSTALAÇÃO DE TESOURA INTEIRA EM AÇO, VÃO DE 10 M, PARA TELHA CERÂMICA OU DE CONCRETO, INCLUSO IÇAMENTO. AF_12/2015</v>
          </cell>
          <cell r="C1279" t="str">
            <v>UN</v>
          </cell>
          <cell r="D1279">
            <v>1111.44</v>
          </cell>
        </row>
        <row r="1280">
          <cell r="A1280">
            <v>92598</v>
          </cell>
          <cell r="B1280" t="str">
            <v>FABRICAÇÃO E INSTALAÇÃO DE TESOURA INTEIRA EM AÇO, VÃO DE 11 M, PARA TELHA CERÂMICA OU DE CONCRETO, INCLUSO IÇAMENTO. AF_12/2015</v>
          </cell>
          <cell r="C1280" t="str">
            <v>UN</v>
          </cell>
          <cell r="D1280">
            <v>1179.3</v>
          </cell>
        </row>
        <row r="1281">
          <cell r="A1281">
            <v>92600</v>
          </cell>
          <cell r="B1281" t="str">
            <v>FABRICAÇÃO E INSTALAÇÃO DE TESOURA INTEIRA EM AÇO, VÃO DE 12 M, PARA TELHA CERÂMICA OU DE CONCRETO, INCLUSO IÇAMENTO. AF_12/2015</v>
          </cell>
          <cell r="C1281" t="str">
            <v>UN</v>
          </cell>
          <cell r="D1281">
            <v>1264.31</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422.77</v>
          </cell>
        </row>
        <row r="1283">
          <cell r="A1283">
            <v>92604</v>
          </cell>
          <cell r="B1283" t="str">
            <v>FABRICAÇÃO E INSTALAÇÃO DE TESOURA INTEIRA EM AÇO, VÃO DE 4 M, PARA TELHA ONDULADA DE FIBROCIMENTO, METÁLICA, PLÁSTICA OU TERMOACÚSTICA, INCLUSO IÇAMENTO. AF_12/2015</v>
          </cell>
          <cell r="C1283" t="str">
            <v>UN</v>
          </cell>
          <cell r="D1283">
            <v>473.46</v>
          </cell>
        </row>
        <row r="1284">
          <cell r="A1284">
            <v>92606</v>
          </cell>
          <cell r="B1284" t="str">
            <v>FABRICAÇÃO E INSTALAÇÃO DE TESOURA INTEIRA EM AÇO, VÃO DE 5 M, PARA TELHA ONDULADA DE FIBROCIMENTO, METÁLICA, PLÁSTICA OU TERMOACÚSTICA, INCLUSO IÇAMENTO. AF_12/2015</v>
          </cell>
          <cell r="C1284" t="str">
            <v>UN</v>
          </cell>
          <cell r="D1284">
            <v>541.30999999999995</v>
          </cell>
        </row>
        <row r="1285">
          <cell r="A1285">
            <v>92608</v>
          </cell>
          <cell r="B1285" t="str">
            <v>FABRICAÇÃO E INSTALAÇÃO DE TESOURA INTEIRA EM AÇO, VÃO DE 6 M, PARA TELHA ONDULADA DE FIBROCIMENTO, METÁLICA, PLÁSTICA OU TERMOACÚSTICA, INCLUSO IÇAMENTO. AF_12/2015</v>
          </cell>
          <cell r="C1285" t="str">
            <v>UN</v>
          </cell>
          <cell r="D1285">
            <v>667.61</v>
          </cell>
        </row>
        <row r="1286">
          <cell r="A1286">
            <v>92610</v>
          </cell>
          <cell r="B1286" t="str">
            <v>FABRICAÇÃO E INSTALAÇÃO DE TESOURA INTEIRA EM AÇO, VÃO DE 7 M, PARA TELHA ONDULADA DE FIBROCIMENTO, METÁLICA, PLÁSTICA OU TERMOACÚSTICA, INCLUSO IÇAMENTO. AF_12/2015</v>
          </cell>
          <cell r="C1286" t="str">
            <v>UN</v>
          </cell>
          <cell r="D1286">
            <v>735.45</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829.78</v>
          </cell>
        </row>
        <row r="1288">
          <cell r="A1288">
            <v>92614</v>
          </cell>
          <cell r="B1288" t="str">
            <v>FABRICAÇÃO E INSTALAÇÃO DE TESOURA INTEIRA EM AÇO, VÃO DE 9 M, PARA TELHA ONDULADA DE FIBROCIMENTO, METÁLICA, PLÁSTICA OU TERMOACÚSTICA, INCLUSO IÇAMENTO. AF_12/2015</v>
          </cell>
          <cell r="C1288" t="str">
            <v>UN</v>
          </cell>
          <cell r="D1288">
            <v>929.43</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1059.95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1127.8</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1195.6500000000001</v>
          </cell>
        </row>
        <row r="1292">
          <cell r="A1292">
            <v>100357</v>
          </cell>
          <cell r="B1292" t="str">
            <v>FABRICAÇÃO E INSTALAÇÃO DE MEIA TESOURA DE MADEIRA NÃO APARELHADA, COM VÃO DE 3 M, PARA TELHA CERÂMICA OU DE CONCRETO, INCLUSO IÇAMENTO. AF_07/2019</v>
          </cell>
          <cell r="C1292" t="str">
            <v>UN</v>
          </cell>
          <cell r="D1292">
            <v>575.52</v>
          </cell>
        </row>
        <row r="1293">
          <cell r="A1293">
            <v>100358</v>
          </cell>
          <cell r="B1293" t="str">
            <v>FABRICAÇÃO E INSTALAÇÃO DE MEIA TESOURA DE MADEIRA NÃO APARELHADA, COM VÃO DE 4 M, PARA TELHA CERÂMICA OU DE CONCRETO, INCLUSO IÇAMENTO. AF_07/2019</v>
          </cell>
          <cell r="C1293" t="str">
            <v>UN</v>
          </cell>
          <cell r="D1293">
            <v>806.43</v>
          </cell>
        </row>
        <row r="1294">
          <cell r="A1294">
            <v>100359</v>
          </cell>
          <cell r="B1294" t="str">
            <v>FABRICAÇÃO E INSTALAÇÃO DE MEIA TESOURA DE MADEIRA NÃO APARELHADA, COM VÃO DE 5 M, PARA TELHA CERÂMICA OU DE CONCRETO, INCLUSO IÇAMENTO. AF_07/2019</v>
          </cell>
          <cell r="C1294" t="str">
            <v>UN</v>
          </cell>
          <cell r="D1294">
            <v>836.04</v>
          </cell>
        </row>
        <row r="1295">
          <cell r="A1295">
            <v>100360</v>
          </cell>
          <cell r="B1295" t="str">
            <v>FABRICAÇÃO E INSTALAÇÃO DE MEIA TESOURA DE MADEIRA NÃO APARELHADA, COM VÃO DE 6 M, PARA TELHA CERÂMICA OU DE CONCRETO, INCLUSO IÇAMENTO. AF_07/2019</v>
          </cell>
          <cell r="C1295" t="str">
            <v>UN</v>
          </cell>
          <cell r="D1295">
            <v>923.03</v>
          </cell>
        </row>
        <row r="1296">
          <cell r="A1296">
            <v>100361</v>
          </cell>
          <cell r="B1296" t="str">
            <v>FABRICAÇÃO E INSTALAÇÃO DE MEIA TESOURA DE MADEIRA NÃO APARELHADA, COM VÃO DE 7 M, PARA TELHA CERÂMICA OU DE CONCRETO, INCLUSO IÇAMENTO. AF_07/2019</v>
          </cell>
          <cell r="C1296" t="str">
            <v>UN</v>
          </cell>
          <cell r="D1296">
            <v>1166.23</v>
          </cell>
        </row>
        <row r="1297">
          <cell r="A1297">
            <v>100362</v>
          </cell>
          <cell r="B1297" t="str">
            <v>FABRICAÇÃO E INSTALAÇÃO DE MEIA TESOURA DE MADEIRA NÃO APARELHADA, COM VÃO DE 8 M, PARA TELHA CERÂMICA OU DE CONCRETO, INCLUSO IÇAMENTO. AF_07/2019</v>
          </cell>
          <cell r="C1297" t="str">
            <v>UN</v>
          </cell>
          <cell r="D1297">
            <v>1591.27</v>
          </cell>
        </row>
        <row r="1298">
          <cell r="A1298">
            <v>100363</v>
          </cell>
          <cell r="B1298" t="str">
            <v>FABRICAÇÃO E INSTALAÇÃO DE MEIA TESOURA DE MADEIRA NÃO APARELHADA, COM VÃO DE 9 M, PARA TELHA CERÂMICA OU DE CONCRETO, INCLUSO IÇAMENTO. AF_07/2019</v>
          </cell>
          <cell r="C1298" t="str">
            <v>UN</v>
          </cell>
          <cell r="D1298">
            <v>1635.47</v>
          </cell>
        </row>
        <row r="1299">
          <cell r="A1299">
            <v>100364</v>
          </cell>
          <cell r="B1299" t="str">
            <v>FABRICAÇÃO E INSTALAÇÃO DE MEIA TESOURA DE MADEIRA NÃO APARELHADA, COM VÃO DE 10 M, PARA TELHA CERÂMICA OU DE CONCRETO, INCLUSO IÇAMENTO. AF_07/2019</v>
          </cell>
          <cell r="C1299" t="str">
            <v>UN</v>
          </cell>
          <cell r="D1299">
            <v>1771.88</v>
          </cell>
        </row>
        <row r="1300">
          <cell r="A1300">
            <v>100365</v>
          </cell>
          <cell r="B1300" t="str">
            <v>FABRICAÇÃO E INSTALAÇÃO DE MEIA TESOURA DE MADEIRA NÃO APARELHADA, COM VÃO DE 11 M, PARA TELHA CERÂMICA OU DE CONCRETO, INCLUSO IÇAMENTO. AF_07/2019</v>
          </cell>
          <cell r="C1300" t="str">
            <v>UN</v>
          </cell>
          <cell r="D1300">
            <v>2040.23</v>
          </cell>
        </row>
        <row r="1301">
          <cell r="A1301">
            <v>100366</v>
          </cell>
          <cell r="B1301" t="str">
            <v>FABRICAÇÃO E INSTALAÇÃO DE MEIA TESOURA DE MADEIRA NÃO APARELHADA, COM VÃO DE 12 M, PARA TELHA CERÂMICA OU DE CONCRETO, INCLUSO IÇAMENTO. AF_07/2019</v>
          </cell>
          <cell r="C1301" t="str">
            <v>UN</v>
          </cell>
          <cell r="D1301">
            <v>2143.11</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564.41</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792.18</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821.8</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950.71</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1127.81</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1529.82</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1566.1</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1678.17</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1904.72</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1867.79</v>
          </cell>
        </row>
        <row r="1312">
          <cell r="A1312">
            <v>100377</v>
          </cell>
          <cell r="B1312" t="str">
            <v>FABRICAÇÃO E INSTALAÇÃO DE TESOURA (INTEIRA OU MEIA) EM AÇO, VÃOS MAIORES OU IGUAIS A 3,0 M E MENORES OU IGUAL A 6,0 M, INCLUSO IÇAMENTO. AF_07/2019</v>
          </cell>
          <cell r="C1312" t="str">
            <v>KG</v>
          </cell>
          <cell r="D1312">
            <v>6.9</v>
          </cell>
        </row>
        <row r="1313">
          <cell r="A1313">
            <v>100378</v>
          </cell>
          <cell r="B1313" t="str">
            <v>FABRICAÇÃO E INSTALAÇÃO DE TESOURA (INTEIRA OU MEIA) EM AÇO, VÃOS MAIORES QUE 6,0 M E MENORES QUE 12,0 M, INCLUSO IÇAMENTO. AF_07/2019</v>
          </cell>
          <cell r="C1313" t="str">
            <v>KG</v>
          </cell>
          <cell r="D1313">
            <v>6.3</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11.8</v>
          </cell>
        </row>
        <row r="1315">
          <cell r="A1315">
            <v>94444</v>
          </cell>
          <cell r="B1315" t="str">
            <v>TELHAMENTO COM TELHA DE ENCAIXE, TIPO FRANCESA DE VIDRO, COM ATÉ 2 ÁGUAS, INCLUSO TRANSPORTE VERTICAL. AF_07/2019</v>
          </cell>
          <cell r="C1315" t="str">
            <v>M2</v>
          </cell>
          <cell r="D1315">
            <v>697.39</v>
          </cell>
        </row>
        <row r="1316">
          <cell r="A1316" t="str">
            <v>73816/1</v>
          </cell>
          <cell r="B1316" t="str">
            <v>EXECUCAO DE DRENO COM TUBOS DE PVC CORRUGADO FLEXIVEL PERFURADO - DN 100</v>
          </cell>
          <cell r="C1316" t="str">
            <v>M</v>
          </cell>
          <cell r="D1316">
            <v>28.93</v>
          </cell>
        </row>
        <row r="1317">
          <cell r="A1317" t="str">
            <v>73881/1</v>
          </cell>
          <cell r="B1317" t="str">
            <v>EXECUCAO DE DRENO COM MANTA GEOTEXTIL 200 G/M2</v>
          </cell>
          <cell r="C1317" t="str">
            <v>M2</v>
          </cell>
          <cell r="D1317">
            <v>5.37</v>
          </cell>
        </row>
        <row r="1318">
          <cell r="A1318" t="str">
            <v>73881/3</v>
          </cell>
          <cell r="B1318" t="str">
            <v>EXECUCAO DE DRENO COM MANTA GEOTEXTIL 400 G/M2</v>
          </cell>
          <cell r="C1318" t="str">
            <v>M2</v>
          </cell>
          <cell r="D1318">
            <v>10.47</v>
          </cell>
        </row>
        <row r="1319">
          <cell r="A1319" t="str">
            <v>73883/1</v>
          </cell>
          <cell r="B1319" t="str">
            <v>EXECUCAO DE DRENO FRANCES COM AREIA MEDIA</v>
          </cell>
          <cell r="C1319" t="str">
            <v>M3</v>
          </cell>
          <cell r="D1319">
            <v>95.68</v>
          </cell>
        </row>
        <row r="1320">
          <cell r="A1320" t="str">
            <v>73883/2</v>
          </cell>
          <cell r="B1320" t="str">
            <v>EXECUCAO DE DRENO FRANCES COM BRITA NUM 2</v>
          </cell>
          <cell r="C1320" t="str">
            <v>M3</v>
          </cell>
          <cell r="D1320">
            <v>123.82</v>
          </cell>
        </row>
        <row r="1321">
          <cell r="A1321" t="str">
            <v>73883/3</v>
          </cell>
          <cell r="B1321" t="str">
            <v>EXECUCAO DE DRENO FRANCES COM CASCALHO</v>
          </cell>
          <cell r="C1321" t="str">
            <v>M3</v>
          </cell>
          <cell r="D1321">
            <v>76.430000000000007</v>
          </cell>
        </row>
        <row r="1322">
          <cell r="A1322" t="str">
            <v>73969/1</v>
          </cell>
          <cell r="B1322" t="str">
            <v>EXECUCAO DE DRENOS DE CHORUME EM TUBOS DRENANTES DE CONCRETO, DIAM=200MM, ENVOLTOS EM BRITA E GEOTEXTIL</v>
          </cell>
          <cell r="C1322" t="str">
            <v>M</v>
          </cell>
          <cell r="D1322">
            <v>64.680000000000007</v>
          </cell>
        </row>
        <row r="1323">
          <cell r="A1323" t="str">
            <v>74017/1</v>
          </cell>
          <cell r="B1323" t="str">
            <v>EXECUCAO DE DRENOS DE CHORUME EM TUBOS DRENANTES, PVC, DIAM=100 MM, ENVOLTOS EM BRITA E GEOTEXTIL</v>
          </cell>
          <cell r="C1323" t="str">
            <v>M</v>
          </cell>
          <cell r="D1323">
            <v>47.42</v>
          </cell>
        </row>
        <row r="1324">
          <cell r="A1324" t="str">
            <v>74017/2</v>
          </cell>
          <cell r="B1324" t="str">
            <v>EXECUCAO DE DRENOS DE CHORUME EM TUBOS DRENANTES, PVC, DIAM=150 MM, ENVOLTOS EM BRITA E GEOTEXTIL</v>
          </cell>
          <cell r="C1324" t="str">
            <v>M</v>
          </cell>
          <cell r="D1324">
            <v>63.32</v>
          </cell>
        </row>
        <row r="1325">
          <cell r="A1325" t="str">
            <v>75029/1</v>
          </cell>
          <cell r="B1325" t="str">
            <v>TUBO PVC CORRUGADO RIGIDO PERFURADO DN 150 PARA DRENAGEM - FORNECIMENTO E INSTALACAO</v>
          </cell>
          <cell r="C1325" t="str">
            <v>M</v>
          </cell>
          <cell r="D1325">
            <v>41.51</v>
          </cell>
        </row>
        <row r="1326">
          <cell r="A1326">
            <v>83651</v>
          </cell>
          <cell r="B1326" t="str">
            <v>TUBO PVC CORRUGADO PERFURADO 100 MM C/ JUNTA ELASTICA PARA DRENAGEM.</v>
          </cell>
          <cell r="C1326" t="str">
            <v>M</v>
          </cell>
          <cell r="D1326">
            <v>32.17</v>
          </cell>
        </row>
        <row r="1327">
          <cell r="A1327">
            <v>83658</v>
          </cell>
          <cell r="B1327" t="str">
            <v>EXECUCAO DRENO PROFUNDO, COM CORTE TRAPEZOIDAL EM SOLO, DE 70X80X150CM EXCL TUBO INCL MATERIAL EXECUCAO, COM SELO ENCHIMENTO MATERIAL DRENANTE E ESCAVACAO</v>
          </cell>
          <cell r="C1327" t="str">
            <v>M</v>
          </cell>
          <cell r="D1327">
            <v>165.36</v>
          </cell>
        </row>
        <row r="1328">
          <cell r="A1328">
            <v>83661</v>
          </cell>
          <cell r="B1328" t="str">
            <v>EXECUCAO DE DRENO PROFUNDO, CORTE EM SOLO, COM TUBO POROSO D=0,20M</v>
          </cell>
          <cell r="C1328" t="str">
            <v>M</v>
          </cell>
          <cell r="D1328">
            <v>102.85</v>
          </cell>
        </row>
        <row r="1329">
          <cell r="A1329">
            <v>83662</v>
          </cell>
          <cell r="B1329" t="str">
            <v>EXECUCAO DE DRENO CEGO</v>
          </cell>
          <cell r="C1329" t="str">
            <v>M3</v>
          </cell>
          <cell r="D1329">
            <v>111.38</v>
          </cell>
        </row>
        <row r="1330">
          <cell r="A1330">
            <v>83664</v>
          </cell>
          <cell r="B1330" t="str">
            <v>EXECUCAO DE DRENO DE TUBO DE CONRETO SIMPLES POROSO D=0,20 M (0,5MX0,5M) PARA GALERIAS DE AGUAS PLUVIAIS</v>
          </cell>
          <cell r="C1330" t="str">
            <v>M</v>
          </cell>
          <cell r="D1330">
            <v>60.36</v>
          </cell>
        </row>
        <row r="1331">
          <cell r="A1331">
            <v>83670</v>
          </cell>
          <cell r="B1331" t="str">
            <v>TUBO PVC DN 75 MM PARA DRENAGEM - FORNECIMENTO E INSTALACAO</v>
          </cell>
          <cell r="C1331" t="str">
            <v>M</v>
          </cell>
          <cell r="D1331">
            <v>48.58</v>
          </cell>
        </row>
        <row r="1332">
          <cell r="A1332">
            <v>83671</v>
          </cell>
          <cell r="B1332" t="str">
            <v>TUBO PVC DN 100 MM PARA DRENAGEM - FORNECIMENTO E INSTALACAO</v>
          </cell>
          <cell r="C1332" t="str">
            <v>M</v>
          </cell>
          <cell r="D1332">
            <v>52.21</v>
          </cell>
        </row>
        <row r="1333">
          <cell r="A1333">
            <v>83679</v>
          </cell>
          <cell r="B1333" t="str">
            <v>TUBO PVC D=2 COM MATERIAL DRENANTE PARA DRENO/BARBACA - FORNECIMENTO E INSTALACAO</v>
          </cell>
          <cell r="C1333" t="str">
            <v>M</v>
          </cell>
          <cell r="D1333">
            <v>14.79</v>
          </cell>
        </row>
        <row r="1334">
          <cell r="A1334">
            <v>83680</v>
          </cell>
          <cell r="B1334" t="str">
            <v>TUBO PVC D=3" COM MATERIAL DRENANTE PARA DRENO/BARBACA - FORNECIMENTO E INSTALACAO</v>
          </cell>
          <cell r="C1334" t="str">
            <v>M</v>
          </cell>
          <cell r="D1334">
            <v>17.87</v>
          </cell>
        </row>
        <row r="1335">
          <cell r="A1335">
            <v>83681</v>
          </cell>
          <cell r="B1335" t="str">
            <v>TUBO PVC D=4" COM MATERIAL DRENANTE PARA DRENO/BARBACA - FORNECIMENTO E INSTALACAO</v>
          </cell>
          <cell r="C1335" t="str">
            <v>M</v>
          </cell>
          <cell r="D1335">
            <v>19.28</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v>507.52</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v>495.86</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v>628.05999999999995</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v>583.94000000000005</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v>696.72</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v>634.4</v>
          </cell>
        </row>
        <row r="1342">
          <cell r="A1342">
            <v>92749</v>
          </cell>
          <cell r="B1342" t="str">
            <v>MURO DE GABIÃO, ENCHIMENTO COM PEDRA DE MÃO TIPO RACHÃO, COM SOLO REFORÇADO, PARA MUROS COM ALTURA MENOR OU IGUAL A 4 M   FORNECIMENTO E EXECUÇÃO. AF_12/2015</v>
          </cell>
          <cell r="C1342" t="str">
            <v>M3</v>
          </cell>
          <cell r="D1342">
            <v>724.97</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v>1245.29</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v>1548.1</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v>1849.86</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v>465.55</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v>426.91</v>
          </cell>
        </row>
        <row r="1348">
          <cell r="A1348">
            <v>92755</v>
          </cell>
          <cell r="B1348" t="str">
            <v>PROTEÇÃO SUPERFICIAL DE CANAL EM GABIÃO TIPO COLCHÃO, ALTURA DE 17 CENTÍMETROS, ENCHIMENTO COM PEDRA DE MÃO TIPO RACHÃO - FORNECIMENTO E EXECUÇÃO. AF_12/2015</v>
          </cell>
          <cell r="C1348" t="str">
            <v>M2</v>
          </cell>
          <cell r="D1348">
            <v>183.04</v>
          </cell>
        </row>
        <row r="1349">
          <cell r="A1349">
            <v>92756</v>
          </cell>
          <cell r="B1349" t="str">
            <v>PROTEÇÃO SUPERFICIAL DE CANAL EM GABIÃO TIPO COLCHÃO, ALTURA DE 23 CENTÍMETROS, ENCHIMENTO COM PEDRA DE MÃO TIPO RACHÃO - FORNECIMENTO E EXECUÇÃO. AF_12/2015</v>
          </cell>
          <cell r="C1349" t="str">
            <v>M2</v>
          </cell>
          <cell r="D1349">
            <v>208.02</v>
          </cell>
        </row>
        <row r="1350">
          <cell r="A1350">
            <v>92757</v>
          </cell>
          <cell r="B1350" t="str">
            <v>PROTEÇÃO SUPERFICIAL DE CANAL EM GABIÃO TIPO COLCHÃO, ALTURA DE 30 CENTÍMETROS, ENCHIMENTO COM PEDRA DE MÃO TIPO RACHÃO - FORNECIMENTO E EXECUÇÃO. AF_12/2015</v>
          </cell>
          <cell r="C1350" t="str">
            <v>M2</v>
          </cell>
          <cell r="D1350">
            <v>238.32</v>
          </cell>
        </row>
        <row r="1351">
          <cell r="A1351">
            <v>92758</v>
          </cell>
          <cell r="B1351" t="str">
            <v>PROTEÇÃO SUPERFICIAL DE CANAL EM GABIÃO TIPO SACO, DIÂMETRO DE 65 CENTÍMETROS, ENCHIMENTO MANUAL COM PEDRA DE MÃO TIPO RACHÃO - FORNECIMENTO E EXECUÇÃO. AF_12/2015</v>
          </cell>
          <cell r="C1351" t="str">
            <v>M3</v>
          </cell>
          <cell r="D1351">
            <v>592.92999999999995</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v>80.62</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v>89.53</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v>111.1</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v>120.01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v>91.07</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v>101.06</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v>123.54</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v>133.58000000000001</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v>89.72</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v>105.27</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v>94.2</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v>109.63</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v>101.41</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v>117.93</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v>109.34</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v>125.69</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v>88.4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v>97.54</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v>120.05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v>129.33000000000001</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v>97.38</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v>107.75</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v>130.62</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v>141.26</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v>94.42</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v>110.28</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v>96.8</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v>112.56</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v>105.97</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v>122.83</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v>112.4</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v>129.22</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v>156.69</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v>145.72999999999999</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v>139.15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v>134.51</v>
          </cell>
        </row>
        <row r="1388">
          <cell r="A1388">
            <v>93956</v>
          </cell>
          <cell r="B1388" t="str">
            <v>EXECUÇÃO DE GRAMPO PARA SOLO GRAMPEADO COM COMPRIMENTO MAIOR QUE 10 M, DIÂMETRO DE 10 CM, PERFURAÇÃO COM EQUIPAMENTO MANUAL E ARMADURA COM DIÂMETRO DE 16 MM. AF_05/2016</v>
          </cell>
          <cell r="C1388" t="str">
            <v>M</v>
          </cell>
          <cell r="D1388">
            <v>130.86000000000001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v>165.45</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v>153.85</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v>146.97999999999999</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v>142.13</v>
          </cell>
        </row>
        <row r="1393">
          <cell r="A1393">
            <v>93961</v>
          </cell>
          <cell r="B1393" t="str">
            <v>EXECUÇÃO DE GRAMPO PARA SOLO GRAMPEADO COM COMPRIMENTO MAIOR QUE 10 M, DIÂMETRO DE 10 CM, PERFURAÇÃO COM EQUIPAMENTO MANUAL E ARMADURA COM DIÂMETRO DE 20 MM. AF_05/2016</v>
          </cell>
          <cell r="C1393" t="str">
            <v>M</v>
          </cell>
          <cell r="D1393">
            <v>138.36000000000001</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v>147.49</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v>136.55000000000001</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v>130.02000000000001</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v>123.93</v>
          </cell>
        </row>
        <row r="1398">
          <cell r="A1398">
            <v>93966</v>
          </cell>
          <cell r="B1398" t="str">
            <v>EXECUÇÃO DE GRAMPO PARA SOLO GRAMPEADO COM COMPRIMENTO MAIOR QUE 10 M, DIÂMETRO DE 7 CM, PERFURAÇÃO COM EQUIPAMENTO MANUAL E ARMADURA COM DIÂMETRO DE 16 MM. AF_05/2016</v>
          </cell>
          <cell r="C1398" t="str">
            <v>M</v>
          </cell>
          <cell r="D1398">
            <v>121.79</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v>156.26</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v>144.71</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v>137.83000000000001</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v>133.06</v>
          </cell>
        </row>
        <row r="1403">
          <cell r="A1403">
            <v>93971</v>
          </cell>
          <cell r="B1403" t="str">
            <v>EXECUÇÃO DE GRAMPO PARA SOLO GRAMPEADO COM COMPRIMENTO MAIOR QUE 10 M, DIÂMETRO DE 7 CM, PERFURAÇÃO COM EQUIPAMENTO MANUAL E ARMADURA COM DIÂMETRO DE 20 MM. AF_05/2016</v>
          </cell>
          <cell r="C1403" t="str">
            <v>M</v>
          </cell>
          <cell r="D1403">
            <v>125.82</v>
          </cell>
        </row>
        <row r="1404">
          <cell r="A1404">
            <v>95108</v>
          </cell>
          <cell r="B1404" t="str">
            <v>EXECUÇÃO DE PROTEÇÃO DA CABEÇA DO TIRANTE COM USO DE FÔRMAS EM CHAPA COMPENSADA PLASTIFICADA DE MADEIRA E CONCRETO FCK =15 MPA. AF_07/2016</v>
          </cell>
          <cell r="C1404" t="str">
            <v>UN</v>
          </cell>
          <cell r="D1404">
            <v>23.01</v>
          </cell>
        </row>
        <row r="1405">
          <cell r="A1405">
            <v>100332</v>
          </cell>
          <cell r="B1405" t="str">
            <v>CONTENÇÃO EM PERFIL PRANCHADO COM PRANCHÃO DE MADEIRA, PERFIS ESPAÇADOS A 1,5 M PARA 1 SUBSOLO. AF_07/2019</v>
          </cell>
          <cell r="C1405" t="str">
            <v>M2</v>
          </cell>
          <cell r="D1405">
            <v>525.15</v>
          </cell>
        </row>
        <row r="1406">
          <cell r="A1406">
            <v>100333</v>
          </cell>
          <cell r="B1406" t="str">
            <v>CONTENÇÃO EM PERFIL PRANCHADO COM PRANCHÃO DE MADEIRA, PERFIS ESPAÇADOS A 1,5 M PARA 2 OU MAIS SUBSOLOS. AF_07/2019</v>
          </cell>
          <cell r="C1406" t="str">
            <v>M2</v>
          </cell>
          <cell r="D1406">
            <v>339.99</v>
          </cell>
        </row>
        <row r="1407">
          <cell r="A1407">
            <v>100334</v>
          </cell>
          <cell r="B1407" t="str">
            <v>CONTENÇÃO EM PERFIL PRANCHADO COM PRANCHÃO DE MADEIRA, PERFIS ESPAÇADOS A 2 M PARA 1 SUBSOLO. AF_07/2019</v>
          </cell>
          <cell r="C1407" t="str">
            <v>M2</v>
          </cell>
          <cell r="D1407">
            <v>424.4</v>
          </cell>
        </row>
        <row r="1408">
          <cell r="A1408">
            <v>100335</v>
          </cell>
          <cell r="B1408" t="str">
            <v>CONTENÇÃO EM PERFIL PRANCHADO COM PRANCHÃO DE MADEIRA, PERFIS ESPAÇADOS A 2 M PARA 2 OU MAIS SUBSOLOS. AF_07/2019</v>
          </cell>
          <cell r="C1408" t="str">
            <v>M2</v>
          </cell>
          <cell r="D1408">
            <v>285.52999999999997</v>
          </cell>
        </row>
        <row r="1409">
          <cell r="A1409">
            <v>100341</v>
          </cell>
          <cell r="B1409" t="str">
            <v>FABRICAÇÃO, MONTAGEM E DESMONTAGEM DE FÔRMA PARA CORTINA DE CONTENÇÃO, EM CHAPA DE MADEIRA COMPENSADA PLASTIFICADA, E = 18 MM, 10 UTILIZAÇÕES. AF_07/2019</v>
          </cell>
          <cell r="C1409" t="str">
            <v>M2</v>
          </cell>
          <cell r="D1409">
            <v>24.89</v>
          </cell>
        </row>
        <row r="1410">
          <cell r="A1410">
            <v>100342</v>
          </cell>
          <cell r="B1410" t="str">
            <v>ARMAÇÃO DE CORTINA DE CONTENÇÃO EM CONCRETO ARMADO, COM AÇO CA-50 DE 6,3 MM - MONTAGEM. AF_07/2019</v>
          </cell>
          <cell r="C1410" t="str">
            <v>KG</v>
          </cell>
          <cell r="D1410">
            <v>9.93</v>
          </cell>
        </row>
        <row r="1411">
          <cell r="A1411">
            <v>100343</v>
          </cell>
          <cell r="B1411" t="str">
            <v>ARMAÇÃO DE CORTINA DE CONTENÇÃO EM CONCRETO ARMADO, COM AÇO CA-50 DE 8 MM - MONTAGEM. AF_07/2019</v>
          </cell>
          <cell r="C1411" t="str">
            <v>KG</v>
          </cell>
          <cell r="D1411">
            <v>9.15</v>
          </cell>
        </row>
        <row r="1412">
          <cell r="A1412">
            <v>100344</v>
          </cell>
          <cell r="B1412" t="str">
            <v>ARMAÇÃO DE CORTINA DE CONTENÇÃO EM CONCRETO ARMADO, COM AÇO CA-50 DE 10 MM - MONTAGEM. AF_07/2019</v>
          </cell>
          <cell r="C1412" t="str">
            <v>KG</v>
          </cell>
          <cell r="D1412">
            <v>8.08</v>
          </cell>
        </row>
        <row r="1413">
          <cell r="A1413">
            <v>100345</v>
          </cell>
          <cell r="B1413" t="str">
            <v>ARMAÇÃO DE CORTINA DE CONTENÇÃO EM CONCRETO ARMADO, COM AÇO CA-50 DE 12,5 MM - MONTAGEM. AF_07/2019</v>
          </cell>
          <cell r="C1413" t="str">
            <v>KG</v>
          </cell>
          <cell r="D1413">
            <v>6.77</v>
          </cell>
        </row>
        <row r="1414">
          <cell r="A1414">
            <v>100346</v>
          </cell>
          <cell r="B1414" t="str">
            <v>ARMAÇÃO DE CORTINA DE CONTENÇÃO EM CONCRETO ARMADO, COM AÇO CA-50 DE 16 MM - MONTAGEM. AF_07/2019</v>
          </cell>
          <cell r="C1414" t="str">
            <v>KG</v>
          </cell>
          <cell r="D1414">
            <v>6.36</v>
          </cell>
        </row>
        <row r="1415">
          <cell r="A1415">
            <v>100347</v>
          </cell>
          <cell r="B1415" t="str">
            <v>ARMAÇÃO DE CORTINA DE CONTENÇÃO EM CONCRETO ARMADO, COM AÇO CA-50 DE 20 MM - MONTAGEM. AF_07/2019</v>
          </cell>
          <cell r="C1415" t="str">
            <v>KG</v>
          </cell>
          <cell r="D1415">
            <v>7.04</v>
          </cell>
        </row>
        <row r="1416">
          <cell r="A1416">
            <v>100348</v>
          </cell>
          <cell r="B1416" t="str">
            <v>ARMAÇÃO DE CORTINA DE CONTENÇÃO EM CONCRETO ARMADO, COM AÇO CA-50 DE 25 MM - MONTAGEM. AF_07/2019</v>
          </cell>
          <cell r="C1416" t="str">
            <v>KG</v>
          </cell>
          <cell r="D1416">
            <v>6.84</v>
          </cell>
        </row>
        <row r="1417">
          <cell r="A1417">
            <v>100349</v>
          </cell>
          <cell r="B1417" t="str">
            <v>CONCRETAGEM DE CORTINA DE CONTENÇÃO, ATRAVÉS DE BOMBA   LANÇAMENTO, ADENSAMENTO E ACABAMENTO. AF_07/2019</v>
          </cell>
          <cell r="C1417" t="str">
            <v>M3</v>
          </cell>
          <cell r="D1417">
            <v>493.83</v>
          </cell>
        </row>
        <row r="1418">
          <cell r="A1418" t="str">
            <v>73799/1</v>
          </cell>
          <cell r="B1418" t="str">
            <v>GRELHA EM FERRO FUNDIDO SIMPLES COM REQUADRO, CARGA MÁXIMA 12,5 T,  300 X 1000 MM, E = 15 MM, FORNECIDA E ASSENTADA COM ARGAMASSA 1:4 CIMENTO:AREIA.</v>
          </cell>
          <cell r="C1418" t="str">
            <v>UN</v>
          </cell>
          <cell r="D1418">
            <v>344.96</v>
          </cell>
        </row>
        <row r="1419">
          <cell r="A1419" t="str">
            <v>73856/1</v>
          </cell>
          <cell r="B1419" t="str">
            <v>BOCA P/BUEIRO SIMPLES TUBULAR D=0,40M EM CONCRETO CICLOPICO, INCLINDO FORMAS, ESCAVACAO, REATERRO E MATERIAIS, EXCLUINDO MATERIAL REATERRO JAZIDA E TRANSPORTE</v>
          </cell>
          <cell r="C1419" t="str">
            <v>UN</v>
          </cell>
          <cell r="D1419">
            <v>555.20000000000005</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v>910.74</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v>1365.94</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v>1927.49</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v>2600.7399999999998</v>
          </cell>
        </row>
        <row r="1424">
          <cell r="A1424" t="str">
            <v>73856/6</v>
          </cell>
          <cell r="B1424" t="str">
            <v>BOCA PARA BUEIRO DUPLO TUBULAR, DIAMETRO =0,40M, EM CONCRETO CICLOPICO, INCLUINDO FORMAS, ESCAVACAO, REATERRO E MATERIAIS, EXCLUINDO MATERIAL REATERRO JAZIDA E TRANSPORTE.</v>
          </cell>
          <cell r="C1424" t="str">
            <v>UN</v>
          </cell>
          <cell r="D1424">
            <v>784.55</v>
          </cell>
        </row>
        <row r="1425">
          <cell r="A1425" t="str">
            <v>73856/7</v>
          </cell>
          <cell r="B1425" t="str">
            <v>BOCA PARA BUEIRO DUPLO TUBULAR, DIAMETRO =0,60M, EM CONCRETO CICLOPICO, INCLUINDO FORMAS, ESCAVACAO, REATERRO E MATERIAIS, EXCLUINDO MATERIAL REATERRO JAZIDA E TRANSPORTE.</v>
          </cell>
          <cell r="C1425" t="str">
            <v>UN</v>
          </cell>
          <cell r="D1425">
            <v>1294.45</v>
          </cell>
        </row>
        <row r="1426">
          <cell r="A1426" t="str">
            <v>73856/8</v>
          </cell>
          <cell r="B1426" t="str">
            <v>BOCA PARA BUEIRO DUPLO TUBULAR, DIAMETRO =0,80M, EM CONCRETO CICLOPICO, INCLUINDO FORMAS, ESCAVACAO, REATERRO E MATERIAIS, EXCLUINDO MATERIAL REATERRO JAZIDA E TRANSPORTE.</v>
          </cell>
          <cell r="C1426" t="str">
            <v>UN</v>
          </cell>
          <cell r="D1426">
            <v>1944.68</v>
          </cell>
        </row>
        <row r="1427">
          <cell r="A1427" t="str">
            <v>73856/9</v>
          </cell>
          <cell r="B1427" t="str">
            <v>BOCA PARA BUEIRO DUPLO TUBULAR, DIAMETRO =1,00M, EM CONCRETO CICLOPICO, INCLUINDO FORMAS, ESCAVACAO, REATERRO E MATERIAIS, EXCLUINDO MATERIAL REATERRO JAZIDA E TRANSPORTE.</v>
          </cell>
          <cell r="C1427" t="str">
            <v>UN</v>
          </cell>
          <cell r="D1427">
            <v>2419.6999999999998</v>
          </cell>
        </row>
        <row r="1428">
          <cell r="A1428" t="str">
            <v>73856/10</v>
          </cell>
          <cell r="B1428" t="str">
            <v>BOCA PARA BUEIRO DUPLOTUBULAR, DIAMETRO =1,20M, EM CONCRETO CICLOPICO, INCLUINDO FORMAS, ESCAVACAO, REATERRO E MATERIAIS, EXCLUINDO MATERIAL REATERRO JAZIDA E TRANSPORTE.</v>
          </cell>
          <cell r="C1428" t="str">
            <v>UN</v>
          </cell>
          <cell r="D1428">
            <v>3695.64</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v>1013.46</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v>1677.67</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v>2523.0700000000002</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v>3558.03</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v>4790.6499999999996</v>
          </cell>
        </row>
        <row r="1434">
          <cell r="A1434" t="str">
            <v>74224/1</v>
          </cell>
          <cell r="B1434" t="str">
            <v>POCO DE VISITA PARA DRENAGEM PLUVIAL, EM CONCRETO ESTRUTURAL, DIMENSOES INTERNAS DE 90X150X80CM (LARGXCOMPXALT), PARA REDE DE 600 MM, EXCLUSOS TAMPAO E CHAMINE.</v>
          </cell>
          <cell r="C1434" t="str">
            <v>UN</v>
          </cell>
          <cell r="D1434">
            <v>1436.84</v>
          </cell>
        </row>
        <row r="1435">
          <cell r="A1435">
            <v>83659</v>
          </cell>
          <cell r="B1435" t="str">
            <v>BOCA DE LOBO EM ALVENARIA TIJOLO MACICO, REVESTIDA C/ ARGAMASSA DE CIMENTO E AREIA 1:3, SOBRE LASTRO DE CONCRETO 10CM E TAMPA DE CONCRETO ARMADO</v>
          </cell>
          <cell r="C1435" t="str">
            <v>UN</v>
          </cell>
          <cell r="D1435">
            <v>821.97</v>
          </cell>
        </row>
        <row r="1436">
          <cell r="A1436">
            <v>83716</v>
          </cell>
          <cell r="B1436" t="str">
            <v>GRELHA FF 30X90CM, 135KG, P/ CX RALO COM ASSENTAMENTO DE ARGAMASSA CIMENTO/AREIA 1:4 - FORNECIMENTO E INSTALAÇÃO</v>
          </cell>
          <cell r="C1436" t="str">
            <v>UN</v>
          </cell>
          <cell r="D1436">
            <v>344.15</v>
          </cell>
        </row>
        <row r="1437">
          <cell r="A1437">
            <v>97976</v>
          </cell>
          <cell r="B1437" t="str">
            <v>POÇO DE INSPEÇÃO CIRCULAR PARA ESGOTO, EM ALVENARIA COM TIJOLOS CERÂMICOS MACIÇOS, DIÂMETRO INTERNO = 0,6 M, PROFUNDIDADE = 1 M, EXCLUINDO TAMPÃO. AF_05/2018</v>
          </cell>
          <cell r="C1437" t="str">
            <v>UN</v>
          </cell>
          <cell r="D1437">
            <v>892.31</v>
          </cell>
        </row>
        <row r="1438">
          <cell r="A1438">
            <v>97977</v>
          </cell>
          <cell r="B1438" t="str">
            <v>POÇO DE INSPEÇÃO CIRCULAR PARA ESGOTO, EM ALVENARIA COM TIJOLOS CERÂMICOS MACIÇOS, DIÂMETRO INTERNO = 0,6 M, PROFUNDIDADE = 1,5 M, EXCLUINDO TAMPÃO. AF_05/2018</v>
          </cell>
          <cell r="C1438" t="str">
            <v>UN</v>
          </cell>
          <cell r="D1438">
            <v>1312.82</v>
          </cell>
        </row>
        <row r="1439">
          <cell r="A1439">
            <v>97980</v>
          </cell>
          <cell r="B1439" t="str">
            <v>BASE PARA POÇO DE VISITA CIRCULAR PARA  ESGOTO, EM ALVENARIA COM TIJOLOS CERÂMICOS MACIÇOS, DIÂMETRO INTERNO = 0,8 M, PROFUNDIDADE = 1,45 M, EXCLUINDO TAMPÃO. AF_05/2018</v>
          </cell>
          <cell r="C1439" t="str">
            <v>UN</v>
          </cell>
          <cell r="D1439">
            <v>1666.91</v>
          </cell>
        </row>
        <row r="1440">
          <cell r="A1440">
            <v>97981</v>
          </cell>
          <cell r="B1440" t="str">
            <v>ACRÉSCIMO PARA POÇO DE VISITA CIRCULAR PARA ESGOTO, EM ALVENARIA COM TIJOLOS CERÂMICOS MACIÇOS, DIÂMETRO INTERNO = 0,8 M. AF_05/2018</v>
          </cell>
          <cell r="C1440" t="str">
            <v>M</v>
          </cell>
          <cell r="D1440">
            <v>1028.44</v>
          </cell>
        </row>
        <row r="1441">
          <cell r="A1441">
            <v>97983</v>
          </cell>
          <cell r="B1441" t="str">
            <v>ACRÉSCIMO PARA POÇO DE VISITA CIRCULAR PARA ESGOTO, EM CONCRETO PRÉ-MOLDADO, DIÂMETRO INTERNO = 1 M. AF_05/2018</v>
          </cell>
          <cell r="C1441" t="str">
            <v>M</v>
          </cell>
          <cell r="D1441">
            <v>334.51</v>
          </cell>
        </row>
        <row r="1442">
          <cell r="A1442">
            <v>97985</v>
          </cell>
          <cell r="B1442" t="str">
            <v>ACRÉSCIMO PARA POÇO DE VISITA CIRCULAR PARA  ESGOTO, EM ALVENARIA COM TIJOLOS CERÂMICOS MACIÇOS, DIÂMETRO INTERNO = 1 M. AF_05/2018</v>
          </cell>
          <cell r="C1442" t="str">
            <v>M</v>
          </cell>
          <cell r="D1442">
            <v>1247.98</v>
          </cell>
        </row>
        <row r="1443">
          <cell r="A1443">
            <v>97987</v>
          </cell>
          <cell r="B1443" t="str">
            <v>ACRÉSCIMO PARA POÇO DE VISITA CIRCULAR PARA ESGOTO, EM CONCRETO PRÉ-MOLDADO, DIÂMETRO INTERNO = 1,2 M. AF_05/2018</v>
          </cell>
          <cell r="C1443" t="str">
            <v>M</v>
          </cell>
          <cell r="D1443">
            <v>438.66</v>
          </cell>
        </row>
        <row r="1444">
          <cell r="A1444">
            <v>97988</v>
          </cell>
          <cell r="B1444" t="str">
            <v>BASE PARA POÇO DE VISITA CIRCULAR PARA  ESGOTO, EM ALVENARIA COM TIJOLOS CERÂMICOS MACIÇOS, DIÂMETRO INTERNO = 1,2 M, PROFUNDIDADE = 1,45 M, EXCLUINDO TAMPÃO. AF_05/2018</v>
          </cell>
          <cell r="C1444" t="str">
            <v>UN</v>
          </cell>
          <cell r="D1444">
            <v>2412.98</v>
          </cell>
        </row>
        <row r="1445">
          <cell r="A1445">
            <v>97989</v>
          </cell>
          <cell r="B1445" t="str">
            <v>ACRÉSCIMO PARA POÇO DE VISITA CIRCULAR PARA ESGOTO, EM ALVENARIA COM TIJOLOS CERÂMICOS MACIÇOS, DIÂMETRO INTERNO = 1,2 M. AF_05/2018</v>
          </cell>
          <cell r="C1445" t="str">
            <v>M</v>
          </cell>
          <cell r="D1445">
            <v>1467.52</v>
          </cell>
        </row>
        <row r="1446">
          <cell r="A1446">
            <v>97991</v>
          </cell>
          <cell r="B1446" t="str">
            <v>ACRÉSCIMO PARA POÇO DE VISITA CIRCULAR PARA  ESGOTO, EM CONCRETO PRÉ-MOLDADO, DIÂMETRO INTERNO = 1,5 M. AF_05/2018</v>
          </cell>
          <cell r="C1446" t="str">
            <v>M</v>
          </cell>
          <cell r="D1446">
            <v>620.91999999999996</v>
          </cell>
        </row>
        <row r="1447">
          <cell r="A1447">
            <v>97992</v>
          </cell>
          <cell r="B1447" t="str">
            <v>BASE PARA POÇO DE VISITA CIRCULAR PARA  ESGOTO, EM ALVENARIA COM TIJOLOS CERÂMICOS MACIÇOS, DIÂMETRO INTERNO = 1,5 M, PROFUNDIDADE = 1,45 M, EXCLUINDO TAMPÃO. AF_05/2018</v>
          </cell>
          <cell r="C1447" t="str">
            <v>UN</v>
          </cell>
          <cell r="D1447">
            <v>3064.28</v>
          </cell>
        </row>
        <row r="1448">
          <cell r="A1448">
            <v>97993</v>
          </cell>
          <cell r="B1448" t="str">
            <v>ACRÉSCIMO PARA POÇO DE VISITA CIRCULAR PARA  ESGOTO, EM ALVENARIA COM TIJOLOS CERÂMICOS MACIÇOS, DIÂMETRO INTERNO = 1,5 M. AF_05/2018</v>
          </cell>
          <cell r="C1448" t="str">
            <v>M</v>
          </cell>
          <cell r="D1448">
            <v>1796.85</v>
          </cell>
        </row>
        <row r="1449">
          <cell r="A1449">
            <v>97994</v>
          </cell>
          <cell r="B1449" t="str">
            <v>BASE PARA POÇO DE VISITA RETANGULAR PARA  ESGOTO, EM ALVENARIA COM BLOCOS DE CONCRETO, DIMENSÕES INTERNAS = 1X1 M, PROFUNDIDADE = 1,45 M, EXCLUINDO TAMPÃO. AF_05/2018</v>
          </cell>
          <cell r="C1449" t="str">
            <v>UN</v>
          </cell>
          <cell r="D1449">
            <v>2017.41</v>
          </cell>
        </row>
        <row r="1450">
          <cell r="A1450">
            <v>97995</v>
          </cell>
          <cell r="B1450" t="str">
            <v>ACRÉSCIMO PARA POÇO DE VISITA RETANGULAR PARA ESGOTO, EM ALVENARIA COM BLOCOS DE CONCRETO, DIMENSÕES INTERNAS = 1X1 M. AF_05/2018</v>
          </cell>
          <cell r="C1450" t="str">
            <v>M</v>
          </cell>
          <cell r="D1450">
            <v>1032.54</v>
          </cell>
        </row>
        <row r="1451">
          <cell r="A1451">
            <v>97996</v>
          </cell>
          <cell r="B1451" t="str">
            <v>BASE PARA POÇO DE VISITA RETANGULAR PARA ESGOTO, EM ALVENARIA COM BLOCOS DE CONCRETO, DIMENSÕES INTERNAS = 1X1,5 M, PROFUNDIDADE = 1,45 M, EXCLUINDO TAMPÃO. AF_05/2018</v>
          </cell>
          <cell r="C1451" t="str">
            <v>UN</v>
          </cell>
          <cell r="D1451">
            <v>2548.52</v>
          </cell>
        </row>
        <row r="1452">
          <cell r="A1452">
            <v>97997</v>
          </cell>
          <cell r="B1452" t="str">
            <v>ACRÉSCIMO PARA POÇO DE VISITA RETANGULAR PARA ESGOTO, EM ALVENARIA COM BLOCOS DE CONCRETO, DIMENSÕES INTERNAS = 1X1,5 M. AF_05/2018</v>
          </cell>
          <cell r="C1452" t="str">
            <v>M</v>
          </cell>
          <cell r="D1452">
            <v>1236.7</v>
          </cell>
        </row>
        <row r="1453">
          <cell r="A1453">
            <v>97999</v>
          </cell>
          <cell r="B1453" t="str">
            <v>ACRÉSCIMO PARA POÇO DE VISITA RETANGULAR PARA ESGOTO, EM ALVENARIA COM BLOCOS DE CONCRETO, DIMENSÕES INTERNAS = 1X2 M. AF_05/2018</v>
          </cell>
          <cell r="C1453" t="str">
            <v>M</v>
          </cell>
          <cell r="D1453">
            <v>1440.84</v>
          </cell>
        </row>
        <row r="1454">
          <cell r="A1454">
            <v>98001</v>
          </cell>
          <cell r="B1454" t="str">
            <v>ACRÉSCIMO PARA POÇO DE VISITA RETANGULAR PARA ESGOTO, EM ALVENARIA COM BLOCOS DE CONCRETO, DIMENSÕES INTERNAS = 1X2,5 M. AF_05/2018</v>
          </cell>
          <cell r="C1454" t="str">
            <v>M</v>
          </cell>
          <cell r="D1454">
            <v>1644.99</v>
          </cell>
        </row>
        <row r="1455">
          <cell r="A1455">
            <v>98002</v>
          </cell>
          <cell r="B1455" t="str">
            <v>BASE PARA POÇO DE VISITA RETANGULAR PARA ESGOTO, EM ALVENARIA COM BLOCOS DE CONCRETO, DIMENSÕES INTERNAS = 1X3 M, PROFUNDIDADE = 1,45 M, EXCLUINDO TAMPÃO. AF_05/2018</v>
          </cell>
          <cell r="C1455" t="str">
            <v>UN</v>
          </cell>
          <cell r="D1455">
            <v>4162.87</v>
          </cell>
        </row>
        <row r="1456">
          <cell r="A1456">
            <v>98003</v>
          </cell>
          <cell r="B1456" t="str">
            <v>ACRÉSCIMO PARA POÇO DE VISITA RETANGULAR PARA ESGOTO, EM ALVENARIA COM BLOCOS DE CONCRETO, DIMENSÕES INTERNAS = 1X3 M. AF_05/2018</v>
          </cell>
          <cell r="C1456" t="str">
            <v>M</v>
          </cell>
          <cell r="D1456">
            <v>1849.17</v>
          </cell>
        </row>
        <row r="1457">
          <cell r="A1457">
            <v>98005</v>
          </cell>
          <cell r="B1457" t="str">
            <v>ACRÉSCIMO PARA POÇO DE VISITA RETANGULAR PARA ESGOTO, EM ALVENARIA COM BLOCOS DE CONCRETO, DIMENSÕES INTERNAS = 1X3,5 M. AF_05/2018</v>
          </cell>
          <cell r="C1457" t="str">
            <v>M</v>
          </cell>
          <cell r="D1457">
            <v>2053.3200000000002</v>
          </cell>
        </row>
        <row r="1458">
          <cell r="A1458">
            <v>98006</v>
          </cell>
          <cell r="B1458" t="str">
            <v>BASE PARA POÇO DE VISITA RETANGULAR PARA ESGOTO, EM ALVENARIA COM BLOCOS DE CONCRETO, DIMENSÕES INTERNAS = 1X4 M, PROFUNDIDADE = 1,45 M, EXCLUINDO TAMPÃO. AF_05/2018</v>
          </cell>
          <cell r="C1458" t="str">
            <v>UN</v>
          </cell>
          <cell r="D1458">
            <v>5230.3</v>
          </cell>
        </row>
        <row r="1459">
          <cell r="A1459">
            <v>98007</v>
          </cell>
          <cell r="B1459" t="str">
            <v>ACRÉSCIMO PARA POÇO DE VISITA RETANGULAR PARA ESGOTO, EM ALVENARIA COM BLOCOS DE CONCRETO, DIMENSÕES INTERNAS = 1X4 M. AF_05/2018</v>
          </cell>
          <cell r="C1459" t="str">
            <v>M</v>
          </cell>
          <cell r="D1459">
            <v>2257.46</v>
          </cell>
        </row>
        <row r="1460">
          <cell r="A1460">
            <v>98008</v>
          </cell>
          <cell r="B1460" t="str">
            <v>BASE PARA POÇO DE VISITA RETANGULAR PARA ESGOTO, EM ALVENARIA COM BLOCOS DE CONCRETO, DIMENSÕES INTERNAS = 1,5X1,5 M, PROFUNDIDADE = 1,45 M, EXCLUINDO TAMPÃO . AF_05/2018</v>
          </cell>
          <cell r="C1460" t="str">
            <v>UN</v>
          </cell>
          <cell r="D1460">
            <v>3154.73</v>
          </cell>
        </row>
        <row r="1461">
          <cell r="A1461">
            <v>98009</v>
          </cell>
          <cell r="B1461" t="str">
            <v>ACRÉSCIMO PARA POÇO DE VISITA RETANGULAR PARA ESGOTO, EM ALVENARIA COM BLOCOS DE CONCRETO, DIMENSÕES INTERNAS = 1,5X1,5 M. AF_05/2018</v>
          </cell>
          <cell r="C1461" t="str">
            <v>M</v>
          </cell>
          <cell r="D1461">
            <v>1440.84</v>
          </cell>
        </row>
        <row r="1462">
          <cell r="A1462">
            <v>98010</v>
          </cell>
          <cell r="B1462" t="str">
            <v>BASE PARA POÇO DE VISITA RETANGULAR PARA ESGOTO, EM ALVENARIA COM BLOCOS DE CONCRETO, DIMENSÕES INTERNAS = 1,5X2 M, PROFUNDIDADE = 1,45 M, EXCLUINDO TAMPÃO. AF_05/2018</v>
          </cell>
          <cell r="C1462" t="str">
            <v>UN</v>
          </cell>
          <cell r="D1462">
            <v>3838.33</v>
          </cell>
        </row>
        <row r="1463">
          <cell r="A1463">
            <v>98011</v>
          </cell>
          <cell r="B1463" t="str">
            <v>ACRÉSCIMO PARA POÇO DE VISITA RETANGULAR PARA ESGOTO, EM ALVENARIA COM BLOCOS DE CONCRETO, DIMENSÕES INTERNAS = 1,5X2 M. AF_05/2018</v>
          </cell>
          <cell r="C1463" t="str">
            <v>M</v>
          </cell>
          <cell r="D1463">
            <v>1644.99</v>
          </cell>
        </row>
        <row r="1464">
          <cell r="A1464">
            <v>98012</v>
          </cell>
          <cell r="B1464" t="str">
            <v>BASE PARA POÇO DE VISITA RETANGULAR PARA ESGOTO, EM ALVENARIA COM BLOCOS DE CONCRETO, DIMENSÕES INTERNAS = 1,5X2,5 M, PROFUNDIDADE = 1,45 M, EXCLUINDO TAMPÃO. AF_05/2018</v>
          </cell>
          <cell r="C1464" t="str">
            <v>UN</v>
          </cell>
          <cell r="D1464">
            <v>4505.18</v>
          </cell>
        </row>
        <row r="1465">
          <cell r="A1465">
            <v>98013</v>
          </cell>
          <cell r="B1465" t="str">
            <v>ACRÉSCIMO PARA POÇO DE VISITA RETANGULAR PARA ESGOTO, EM ALVENARIA COM BLOCOS DE CONCRETO, DIMENSÕES INTERNAS = 1,5X2,5 M. AF_05/2018</v>
          </cell>
          <cell r="C1465" t="str">
            <v>M</v>
          </cell>
          <cell r="D1465">
            <v>1849.17</v>
          </cell>
        </row>
        <row r="1466">
          <cell r="A1466">
            <v>98014</v>
          </cell>
          <cell r="B1466" t="str">
            <v>BASE PARA POÇO DE VISITA RETANGULAR PARA ESGOTO, EM ALVENARIA COM BLOCOS DE CONCRETO, DIMENSÕES INTERNAS = 1,5X3 M, PROFUNDIDADE = 1,45 M, EXCLUINDO TAMPÃO. AF_05/2018</v>
          </cell>
          <cell r="C1466" t="str">
            <v>UN</v>
          </cell>
          <cell r="D1466">
            <v>5171.95</v>
          </cell>
        </row>
        <row r="1467">
          <cell r="A1467">
            <v>98015</v>
          </cell>
          <cell r="B1467" t="str">
            <v>ACRÉSCIMO PARA POÇO DE VISITA RETANGULAR PARA ESGOTO, EM ALVENARIA COM BLOCOS DE CONCRETO, DIMENSÕES INTERNAS = 1,5X3 M. AF_05/2018</v>
          </cell>
          <cell r="C1467" t="str">
            <v>M</v>
          </cell>
          <cell r="D1467">
            <v>2053.3200000000002</v>
          </cell>
        </row>
        <row r="1468">
          <cell r="A1468">
            <v>98016</v>
          </cell>
          <cell r="B1468" t="str">
            <v>BASE PARA POÇO DE VISITA RETANGULAR PARA ESGOTO, EM ALVENARIA COM BLOCOS DE CONCRETO, DIMENSÕES INTERNAS = 1,5X3,5 M, PROFUNDIDADE = 1,45 M, EXCLUINDO TAMPÃO. AF_05/2018</v>
          </cell>
          <cell r="C1468" t="str">
            <v>UN</v>
          </cell>
          <cell r="D1468">
            <v>5838.86</v>
          </cell>
        </row>
        <row r="1469">
          <cell r="A1469">
            <v>98017</v>
          </cell>
          <cell r="B1469" t="str">
            <v>ACRÉSCIMO PARA POÇO DE VISITA RETANGULAR PARA ESGOTO, EM ALVENARIA COM BLOCOS DE CONCRETO, DIMENSÕES INTERNAS = 1,5X3,5 M. AF_05/2018</v>
          </cell>
          <cell r="C1469" t="str">
            <v>M</v>
          </cell>
          <cell r="D1469">
            <v>2257.46</v>
          </cell>
        </row>
        <row r="1470">
          <cell r="A1470">
            <v>98018</v>
          </cell>
          <cell r="B1470" t="str">
            <v>BASE PARA POÇO DE VISITA RETANGULAR PARA ESGOTO, EM ALVENARIA COM BLOCOS DE CONCRETO, DIMENSÕES INTERNAS = 1,5X4 M, PROFUNDIDADE = 1,45 M, EXCLUINDO TAMPÃO. AF_05/2018</v>
          </cell>
          <cell r="C1470" t="str">
            <v>UN</v>
          </cell>
          <cell r="D1470">
            <v>6505.69</v>
          </cell>
        </row>
        <row r="1471">
          <cell r="A1471">
            <v>98019</v>
          </cell>
          <cell r="B1471" t="str">
            <v>ACRÉSCIMO PARA POÇO DE VISITA RETANGULAR PARA ESGOTO, EM ALVENARIA COM BLOCOS DE CONCRETO, DIMENSÕES INTERNAS = 1,5X4 M. AF_05/2018</v>
          </cell>
          <cell r="C1471" t="str">
            <v>M</v>
          </cell>
          <cell r="D1471">
            <v>2489.5</v>
          </cell>
        </row>
        <row r="1472">
          <cell r="A1472">
            <v>98020</v>
          </cell>
          <cell r="B1472" t="str">
            <v>BASE PARA POÇO DE VISITA RETANGULAR PARA ESGOTO, EM ALVENARIA COM BLOCOS DE CONCRETO, DIMENSÕES INTERNAS = 2X2 M, PROFUNDIDADE = 1,45 M, EXCLUINDO TAMPÃO. AF_05/2018</v>
          </cell>
          <cell r="C1472" t="str">
            <v>UN</v>
          </cell>
          <cell r="D1472">
            <v>4643.99</v>
          </cell>
        </row>
        <row r="1473">
          <cell r="A1473">
            <v>98021</v>
          </cell>
          <cell r="B1473" t="str">
            <v>ACRÉSCIMO PARA POÇO DE VISITA RETANGULAR PARA ESGOTO, EM ALVENARIA COM BLOCOS DE CONCRETO, DIMENSÕES INTERNAS = 2X2 M. AF_05/2018</v>
          </cell>
          <cell r="C1473" t="str">
            <v>M</v>
          </cell>
          <cell r="D1473">
            <v>1877.05</v>
          </cell>
        </row>
        <row r="1474">
          <cell r="A1474">
            <v>98022</v>
          </cell>
          <cell r="B1474" t="str">
            <v>BASE PARA POÇO DE VISITA RETANGULAR PARA ESGOTO, EM ALVENARIA COM BLOCOS DE CONCRETO, DIMENSÕES INTERNAS = 2X2,5 M, PROFUNDIDADE = 1,45 M, EXCLUINDO TAMPÃO. AF_05/2018</v>
          </cell>
          <cell r="C1474" t="str">
            <v>UN</v>
          </cell>
          <cell r="D1474">
            <v>5437.26</v>
          </cell>
        </row>
        <row r="1475">
          <cell r="A1475">
            <v>98023</v>
          </cell>
          <cell r="B1475" t="str">
            <v>ACRÉSCIMO PARA POÇO DE VISITA RETANGULAR PARA ESGOTO, EM ALVENARIA COM BLOCOS DE CONCRETO, DIMENSÕES INTERNAS = 2X2,5 M. AF_05/2018</v>
          </cell>
          <cell r="C1475" t="str">
            <v>M</v>
          </cell>
          <cell r="D1475">
            <v>2081.1999999999998</v>
          </cell>
        </row>
        <row r="1476">
          <cell r="A1476">
            <v>98024</v>
          </cell>
          <cell r="B1476" t="str">
            <v>BASE PARA POÇO DE VISITA RETANGULAR PARA ESGOTO, EM ALVENARIA COM BLOCOS DE CONCRETO, DIMENSÕES INTERNAS = 2X3 M, PROFUNDIDADE = 1,45 M, EXCLUINDO TAMPÃO. AF_05/2018</v>
          </cell>
          <cell r="C1476" t="str">
            <v>UN</v>
          </cell>
          <cell r="D1476">
            <v>6268.69</v>
          </cell>
        </row>
        <row r="1477">
          <cell r="A1477">
            <v>98025</v>
          </cell>
          <cell r="B1477" t="str">
            <v>ACRÉSCIMO PARA POÇO DE VISITA RETANGULAR PARA ESGOTO, EM ALVENARIA COM BLOCOS DE CONCRETO, DIMENSÕES INTERNAS = 2X3 M. AF_05/2018</v>
          </cell>
          <cell r="C1477" t="str">
            <v>M</v>
          </cell>
          <cell r="D1477">
            <v>2285.34</v>
          </cell>
        </row>
        <row r="1478">
          <cell r="A1478">
            <v>98026</v>
          </cell>
          <cell r="B1478" t="str">
            <v>BASE PARA POÇO DE VISITA RETANGULAR PARA ESGOTO, EM ALVENARIA COM BLOCOS DE CONCRETO, DIMENSÕES INTERNAS = 2X3,5 M, PROFUNDIDADE = 1,45 M, EXCLUINDO TAMPÃO. AF_05/2018</v>
          </cell>
          <cell r="C1478" t="str">
            <v>UN</v>
          </cell>
          <cell r="D1478">
            <v>7066.68</v>
          </cell>
        </row>
        <row r="1479">
          <cell r="A1479">
            <v>98027</v>
          </cell>
          <cell r="B1479" t="str">
            <v>ACRÉSCIMO PARA POÇO DE VISITA RETANGULAR PARA ESGOTO, EM ALVENARIA COM BLOCOS DE CONCRETO, DIMENSÕES INTERNAS = 2X3,5 M. AF_05/2018</v>
          </cell>
          <cell r="C1479" t="str">
            <v>M</v>
          </cell>
          <cell r="D1479">
            <v>2489.5</v>
          </cell>
        </row>
        <row r="1480">
          <cell r="A1480">
            <v>98028</v>
          </cell>
          <cell r="B1480" t="str">
            <v>BASE PARA POÇO DE VISITA RETANGULAR PARA ESGOTO, EM ALVENARIA COM BLOCOS DE CONCRETO, DIMENSÕES INTERNAS = 2X4 M, PROFUNDIDADE = 1,45 M, EXCLUINDO TAMPÃO. AF_05/2018</v>
          </cell>
          <cell r="C1480" t="str">
            <v>UN</v>
          </cell>
          <cell r="D1480">
            <v>7864.65</v>
          </cell>
        </row>
        <row r="1481">
          <cell r="A1481">
            <v>98029</v>
          </cell>
          <cell r="B1481" t="str">
            <v>ACRÉSCIMO PARA POÇO DE VISITA RETANGULAR PARA ESGOTO, EM ALVENARIA COM BLOCOS DE CONCRETO, DIMENSÕES INTERNAS = 2X4 M. AF_05/2018</v>
          </cell>
          <cell r="C1481" t="str">
            <v>M</v>
          </cell>
          <cell r="D1481">
            <v>2699.41</v>
          </cell>
        </row>
        <row r="1482">
          <cell r="A1482">
            <v>98030</v>
          </cell>
          <cell r="B1482" t="str">
            <v>BASE PARA POÇO DE VISITA RETANGULAR PARA ESGOTO, EM ALVENARIA COM BLOCOS DE CONCRETO, DIMENSÕES INTERNAS = 2,5X2,5 M, PROFUNDIDADE = 1,45 M, EXCLUINDO TAMPÃO. AF_05/2018</v>
          </cell>
          <cell r="C1482" t="str">
            <v>UN</v>
          </cell>
          <cell r="D1482">
            <v>6419.65</v>
          </cell>
        </row>
        <row r="1483">
          <cell r="A1483">
            <v>98031</v>
          </cell>
          <cell r="B1483" t="str">
            <v>ACRÉSCIMO PARA POÇO DE VISITA RETANGULAR PARA ESGOTO, EM ALVENARIA COM BLOCOS DE CONCRETO, DIMENSÕES INTERNAS = 2,5X2,5 M. AF_05/2018</v>
          </cell>
          <cell r="C1483" t="str">
            <v>M</v>
          </cell>
          <cell r="D1483">
            <v>2291.17</v>
          </cell>
        </row>
        <row r="1484">
          <cell r="A1484">
            <v>98032</v>
          </cell>
          <cell r="B1484" t="str">
            <v>BASE PARA POÇO DE VISITA RETANGULAR PARA ESGOTO, EM ALVENARIA COM BLOCOS DE CONCRETO, DIMENSÕES INTERNAS = 2,5X3 M, PROFUNDIDADE = 1,45 M, EXCLUINDO TAMPÃO. AF_05/2018</v>
          </cell>
          <cell r="C1484" t="str">
            <v>UN</v>
          </cell>
          <cell r="D1484">
            <v>7379.4</v>
          </cell>
        </row>
        <row r="1485">
          <cell r="A1485">
            <v>98033</v>
          </cell>
          <cell r="B1485" t="str">
            <v>ACRÉSCIMO PARA POÇO DE VISITA RETANGULAR PARA ESGOTO, EM ALVENARIA COM BLOCOS DE CONCRETO, DIMENSÕES INTERNAS = 2,5X3 M. AF_05/2018</v>
          </cell>
          <cell r="C1485" t="str">
            <v>M</v>
          </cell>
          <cell r="D1485">
            <v>2495.3200000000002</v>
          </cell>
        </row>
        <row r="1486">
          <cell r="A1486">
            <v>98034</v>
          </cell>
          <cell r="B1486" t="str">
            <v>BASE PARA POÇO DE VISITA RETANGULAR PARA ESGOTO, EM ALVENARIA COM BLOCOS DE CONCRETO, DIMENSÕES INTERNAS = 2,5X3,5 M, PROFUNDIDADE = 1,45 M, EXCLUINDO TAMPÃO. AF_05/2018</v>
          </cell>
          <cell r="C1486" t="str">
            <v>UN</v>
          </cell>
          <cell r="D1486">
            <v>8339.17</v>
          </cell>
        </row>
        <row r="1487">
          <cell r="A1487">
            <v>98035</v>
          </cell>
          <cell r="B1487" t="str">
            <v>ACRÉSCIMO PARA POÇO DE VISITA RETANGULAR PARA ESGOTO, EM ALVENARIA COM BLOCOS DE CONCRETO, DIMENSÕES INTERNAS = 2,5X3,5 M. AF_05/2018</v>
          </cell>
          <cell r="C1487" t="str">
            <v>M</v>
          </cell>
          <cell r="D1487">
            <v>2699.41</v>
          </cell>
        </row>
        <row r="1488">
          <cell r="A1488">
            <v>98036</v>
          </cell>
          <cell r="B1488" t="str">
            <v>BASE PARA POÇO DE VISITA RETANGULAR PARA ESGOTO, EM ALVENARIA COM BLOCOS DE CONCRETO, DIMENSÕES INTERNAS = 2,5X4 M, PROFUNDIDADE = 1,45 M, EXCLUINDO TAMPÃO. AF_05/2018</v>
          </cell>
          <cell r="C1488" t="str">
            <v>UN</v>
          </cell>
          <cell r="D1488">
            <v>9298.9500000000007</v>
          </cell>
        </row>
        <row r="1489">
          <cell r="A1489">
            <v>98037</v>
          </cell>
          <cell r="B1489" t="str">
            <v>ACRÉSCIMO PARA POÇO DE VISITA RETANGULAR PARA ESGOTO, EM ALVENARIA COM BLOCOS DE CONCRETO, DIMENSÕES INTERNAS = 2,5X4 M. AF_05/2018</v>
          </cell>
          <cell r="C1489" t="str">
            <v>M</v>
          </cell>
          <cell r="D1489">
            <v>2909.36</v>
          </cell>
        </row>
        <row r="1490">
          <cell r="A1490">
            <v>98038</v>
          </cell>
          <cell r="B1490" t="str">
            <v>BASE PARA POÇO DE VISITA RETANGULAR PARA ESGOTO, EM ALVENARIA COM BLOCOS DE CONCRETO, DIMENSÕES INTERNAS = 3X3 M, PROFUNDIDADE = 1,45 M, EXCLUINDO TAMPÃO. AF_05/2018</v>
          </cell>
          <cell r="C1490" t="str">
            <v>UN</v>
          </cell>
          <cell r="D1490">
            <v>8529.9</v>
          </cell>
        </row>
        <row r="1491">
          <cell r="A1491">
            <v>98039</v>
          </cell>
          <cell r="B1491" t="str">
            <v>ACRÉSCIMO PARA POÇO DE VISITA RETANGULAR PARA ESGOTO, EM ALVENARIA COM BLOCOS DE CONCRETO, DIMENSÕES INTERNAS = 3X3 M. AF_05/2018</v>
          </cell>
          <cell r="C1491" t="str">
            <v>M</v>
          </cell>
          <cell r="D1491">
            <v>2705.22</v>
          </cell>
        </row>
        <row r="1492">
          <cell r="A1492">
            <v>98040</v>
          </cell>
          <cell r="B1492" t="str">
            <v>BASE PARA POÇO DE VISITA RETANGULAR PARA ESGOTO, EM ALVENARIA COM BLOCOS DE CONCRETO, DIMENSÕES INTERNAS = 3X3,5 M, PROFUNDIDADE = 1,45 M, EXCLUINDO TAMPÃO. AF_05/2018</v>
          </cell>
          <cell r="C1492" t="str">
            <v>UN</v>
          </cell>
          <cell r="D1492">
            <v>9634.76</v>
          </cell>
        </row>
        <row r="1493">
          <cell r="A1493">
            <v>98041</v>
          </cell>
          <cell r="B1493" t="str">
            <v>ACRÉSCIMO PARA POÇO DE VISITA RETANGULAR PARA ESGOTO, EM ALVENARIA COM BLOCOS DE CONCRETO, DIMENSÕES INTERNAS = 3X3,5 M. AF_05/2018</v>
          </cell>
          <cell r="C1493" t="str">
            <v>M</v>
          </cell>
          <cell r="D1493">
            <v>2909.36</v>
          </cell>
        </row>
        <row r="1494">
          <cell r="A1494">
            <v>98042</v>
          </cell>
          <cell r="B1494" t="str">
            <v>BASE PARA POÇO DE VISITA RETANGULAR PARA ESGOTO, EM ALVENARIA COM BLOCOS DE CONCRETO, DIMENSÕES INTERNAS = 3X4 M, PROFUNDIDADE = 1,45 M, EXCLUINDO TAMPÃO. AF_05/2018</v>
          </cell>
          <cell r="C1494" t="str">
            <v>UN</v>
          </cell>
          <cell r="D1494">
            <v>10739.68</v>
          </cell>
        </row>
        <row r="1495">
          <cell r="A1495">
            <v>98043</v>
          </cell>
          <cell r="B1495" t="str">
            <v>ACRÉSCIMO PARA POÇO DE VISITA RETANGULAR PARA ESGOTO, EM ALVENARIA COM BLOCOS DE CONCRETO, DIMENSÕES INTERNAS = 3X4 M. AF_05/2018</v>
          </cell>
          <cell r="C1495" t="str">
            <v>M</v>
          </cell>
          <cell r="D1495">
            <v>3119.33</v>
          </cell>
        </row>
        <row r="1496">
          <cell r="A1496">
            <v>98044</v>
          </cell>
          <cell r="B1496" t="str">
            <v>BASE PARA POÇO DE VISITA RETANGULAR PARA ESGOTO, EM ALVENARIA COM BLOCOS DE CONCRETO, DIMENSÕES INTERNAS = 3,5X3,5 M, PROFUNDIDADE = 1,45 M, EXCLUINDO TAMPÃO. AF_05/2018</v>
          </cell>
          <cell r="C1496" t="str">
            <v>UN</v>
          </cell>
          <cell r="D1496">
            <v>10938.61</v>
          </cell>
        </row>
        <row r="1497">
          <cell r="A1497">
            <v>98045</v>
          </cell>
          <cell r="B1497" t="str">
            <v>ACRÉSCIMO PARA POÇO DE VISITA RETANGULAR PARA ESGOTO, EM ALVENARIA COM BLOCOS DE CONCRETO, DIMENSÕES INTERNAS = 3,5X3,5 M. AF_05/2018</v>
          </cell>
          <cell r="C1497" t="str">
            <v>M</v>
          </cell>
          <cell r="D1497">
            <v>3119.33</v>
          </cell>
        </row>
        <row r="1498">
          <cell r="A1498">
            <v>98046</v>
          </cell>
          <cell r="B1498" t="str">
            <v>BASE PARA POÇO DE VISITA RETANGULAR PARA ESGOTO, EM ALVENARIA COM BLOCOS DE CONCRETO, DIMENSÕES INTERNAS = 3,5X4 M, PROFUNDIDADE = 1,45 M, EXCLUINDO TAMPÃO. AF_05/2018</v>
          </cell>
          <cell r="C1498" t="str">
            <v>UN</v>
          </cell>
          <cell r="D1498">
            <v>12189.83</v>
          </cell>
        </row>
        <row r="1499">
          <cell r="A1499">
            <v>98047</v>
          </cell>
          <cell r="B1499" t="str">
            <v>ACRÉSCIMO PARA POÇO DE VISITA RETANGULAR PARA ESGOTO, EM ALVENARIA COM BLOCOS DE CONCRETO, DIMENSÕES INTERNAS = 3,5X4 M. AF_05/2018</v>
          </cell>
          <cell r="C1499" t="str">
            <v>M</v>
          </cell>
          <cell r="D1499">
            <v>3329.29</v>
          </cell>
        </row>
        <row r="1500">
          <cell r="A1500">
            <v>98048</v>
          </cell>
          <cell r="B1500" t="str">
            <v>BASE PARA POÇO DE VISITA RETANGULAR PARA ESGOTO, EM ALVENARIA COM BLOCOS DE CONCRETO, DIMENSÕES INTERNAS = 4X4 M, PROFUNDIDADE = 1,45 M, EXCLUINDO TAMPÃO. AF_05/2018</v>
          </cell>
          <cell r="C1500" t="str">
            <v>UN</v>
          </cell>
          <cell r="D1500">
            <v>13649.45</v>
          </cell>
        </row>
        <row r="1501">
          <cell r="A1501">
            <v>98049</v>
          </cell>
          <cell r="B1501" t="str">
            <v>ACRÉSCIMO PARA POÇO DE VISITA RETANGULAR PARA ESGOTO, EM ALVENARIA COM BLOCOS DE CONCRETO, DIMENSÕES INTERNAS = 4X4 M. AF_05/2018</v>
          </cell>
          <cell r="C1501" t="str">
            <v>M</v>
          </cell>
          <cell r="D1501">
            <v>3482.31</v>
          </cell>
        </row>
        <row r="1502">
          <cell r="A1502">
            <v>98050</v>
          </cell>
          <cell r="B1502" t="str">
            <v>CHAMINÉ CIRCULAR PARA POÇO DE VISITA PARA ESGOTO, EM CONCRETO PRÉ-MOLDADO, DIÂMETRO INTERNO = 0,6 M. AF_05/2018</v>
          </cell>
          <cell r="C1502" t="str">
            <v>M</v>
          </cell>
          <cell r="D1502">
            <v>179.37</v>
          </cell>
        </row>
        <row r="1503">
          <cell r="A1503">
            <v>98051</v>
          </cell>
          <cell r="B1503" t="str">
            <v>CHAMINÉ CIRCULAR PARA POÇO DE VISITA PARA ESGOTO, EM ALVENARIA COM TIJOLOS CERÂMICOS MACIÇOS, DIÂMETRO INTERNO = 0,6 M. AF_05/2018</v>
          </cell>
          <cell r="C1503" t="str">
            <v>M</v>
          </cell>
          <cell r="D1503">
            <v>803.84</v>
          </cell>
        </row>
        <row r="1504">
          <cell r="A1504">
            <v>98405</v>
          </cell>
          <cell r="B1504" t="str">
            <v>BASE PARA POÇO DE VISITA CIRCULAR PARA  ESGOTO, EM ALVENARIA COM TIJOLOS CERÂMICOS MACIÇOS, DIÂMETRO INTERNO = 1 M, PROFUNDIDADE = 1,45 M, EXCLUINDO TAMPÃO. AF_05/2018</v>
          </cell>
          <cell r="C1504" t="str">
            <v>UN</v>
          </cell>
          <cell r="D1504">
            <v>2044.32</v>
          </cell>
        </row>
        <row r="1505">
          <cell r="A1505">
            <v>98406</v>
          </cell>
          <cell r="B1505" t="str">
            <v>BASE PARA POÇO DE VISITA RETANGULAR PARA ESGOTO, EM ALVENARIA COM BLOCOS DE CONCRETO, DIMENSÕES INTERNAS = 1X3,5 M, PROFUNDIDADE = 1,45 M, EXCLUINDO TAMPÃO. AF_05/2018</v>
          </cell>
          <cell r="C1505" t="str">
            <v>UN</v>
          </cell>
          <cell r="D1505">
            <v>4696.51</v>
          </cell>
        </row>
        <row r="1506">
          <cell r="A1506">
            <v>98407</v>
          </cell>
          <cell r="B1506" t="str">
            <v>BASE PARA POÇO DE VISITA RETANGULAR PARA ESGOTO, EM ALVENARIA COM BLOCOS DE CONCRETO, DIMENSÕES INTERNAS = 1X2 M, PROFUNDIDADE = 1,45 M, EXCLUINDO TAMPÃO. AF_05/2018</v>
          </cell>
          <cell r="C1506" t="str">
            <v>UN</v>
          </cell>
          <cell r="D1506">
            <v>3079.54</v>
          </cell>
        </row>
        <row r="1507">
          <cell r="A1507">
            <v>98408</v>
          </cell>
          <cell r="B1507" t="str">
            <v>BASE PARA POÇO DE VISITA RETANGULAR PARA ESGOTO, EM ALVENARIA COM BLOCOS DE CONCRETO, DIMENSÕES INTERNAS = 1X2,5 M, PROFUNDIDADE = 1,45 M, EXCLUINDO TAMPÃO. AF_05/2018</v>
          </cell>
          <cell r="C1507" t="str">
            <v>UN</v>
          </cell>
          <cell r="D1507">
            <v>3610.58</v>
          </cell>
        </row>
        <row r="1508">
          <cell r="A1508">
            <v>98409</v>
          </cell>
          <cell r="B1508" t="str">
            <v>ACRÉSCIMO PARA POÇO DE VISITA CIRCULAR PARA ESGOTO, EM CONCRETO PRÉ-MOLDADO, DIÂMETRO INTERNO = 0,8 M. AF_05/2018</v>
          </cell>
          <cell r="C1508" t="str">
            <v>M</v>
          </cell>
          <cell r="D1508">
            <v>255.67</v>
          </cell>
        </row>
        <row r="1509">
          <cell r="A1509">
            <v>98414</v>
          </cell>
          <cell r="B1509" t="str">
            <v>BASE PARA POÇO DE VISITA CIRCULAR PARA  ESGOTO, EM CONCRETO PRÉ-MOLDADO, DIÂMETRO INTERNO = 1 M, PROFUNDIDADE = 1,45 M, EXCLUINDO TAMPÃO. AF_05/2018_P</v>
          </cell>
          <cell r="C1509" t="str">
            <v>UN</v>
          </cell>
          <cell r="D1509">
            <v>909.08</v>
          </cell>
        </row>
        <row r="1510">
          <cell r="A1510">
            <v>98415</v>
          </cell>
          <cell r="B1510" t="str">
            <v>(COMPOSIÇÃO REPRESENTATIVA) POÇO DE VISITA CIRCULAR PARA ESGOTO, EM CONCRETO PRÉ-MOLDADO, DIÂMETRO INTERNO = 1,0 M, PROFUNDIDADE ATÉ 1,50 M, EXCLUINDO TAMPÃO. AF_04/2018</v>
          </cell>
          <cell r="C1510" t="str">
            <v>UN</v>
          </cell>
          <cell r="D1510">
            <v>909.08</v>
          </cell>
        </row>
        <row r="1511">
          <cell r="A1511">
            <v>98416</v>
          </cell>
          <cell r="B1511" t="str">
            <v>(COMPOSIÇÃO REPRESENTATIVA) POÇO DE VISITA CIRCULAR PARA ESGOTO, EM CONCRETO PRÉ-MOLDADO, DIÂMETRO INTERNO = 1,0 M, PROFUNDIDADE DE 1,50 A 2,00 M, EXCLUINDO TAMPÃO. AF_04/2018</v>
          </cell>
          <cell r="C1511" t="str">
            <v>UN</v>
          </cell>
          <cell r="D1511">
            <v>1076.33</v>
          </cell>
        </row>
        <row r="1512">
          <cell r="A1512">
            <v>98417</v>
          </cell>
          <cell r="B1512" t="str">
            <v>(COMPOSIÇÃO REPRESENTATIVA) POÇO DE VISITA CIRCULAR PARA ESGOTO, EM CONCRETO PRÉ-MOLDADO, DIÂMETRO INTERNO = 1,0 M, PROFUNDIDADE DE 2,00 A 2,50 M, EXCLUINDO TAMPÃO. AF_04/2018</v>
          </cell>
          <cell r="C1512" t="str">
            <v>UN</v>
          </cell>
          <cell r="D1512">
            <v>1243.5899999999999</v>
          </cell>
        </row>
        <row r="1513">
          <cell r="A1513">
            <v>98418</v>
          </cell>
          <cell r="B1513" t="str">
            <v>(COMPOSIÇÃO REPRESENTATIVA) POÇO DE VISITA CIRCULAR PARA ESGOTO, EM CONCRETO PRÉ-MOLDADO, DIÂMETRO INTERNO = 1,0 M, PROFUNDIDADE DE 2,50 A 3,00 M, EXCLUINDO TAMPÃO. AF_04/2018</v>
          </cell>
          <cell r="C1513" t="str">
            <v>UN</v>
          </cell>
          <cell r="D1513">
            <v>1333.27</v>
          </cell>
        </row>
        <row r="1514">
          <cell r="A1514">
            <v>98419</v>
          </cell>
          <cell r="B1514" t="str">
            <v>(COMPOSIÇÃO REPRESENTATIVA) POÇO DE VISITA CIRCULAR PARA ESGOTO, EM CONCRETO PRÉ-MOLDADO, DIÂMETRO INTERNO = 1,0 M, PROFUNDIDADE DE 3,00 A 3,50 M, EXCLUINDO TAMPÃO. AF_04/2018</v>
          </cell>
          <cell r="C1514" t="str">
            <v>UN</v>
          </cell>
          <cell r="D1514">
            <v>1422.96</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v>1374.07</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v>1541.32</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v>1708.58</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v>1798.26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v>1887.95</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v>2412.98</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v>3146.74</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v>3880.5</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v>4282.42</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v>4684.34</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v>2877.97</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v>3611.73</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v>4345.49</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v>4747.41</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v>5149.33</v>
          </cell>
        </row>
        <row r="1530">
          <cell r="A1530">
            <v>99240</v>
          </cell>
          <cell r="B1530" t="str">
            <v>ACRÉSCIMO PARA POÇO DE VISITA CIRCULAR PARA DRENAGEM, EM CONCRETO PRÉ-MOLDADO, DIÂMETRO INTERNO = 1,2 M. AF_05/2018</v>
          </cell>
          <cell r="C1530" t="str">
            <v>M</v>
          </cell>
          <cell r="D1530">
            <v>429.15</v>
          </cell>
        </row>
        <row r="1531">
          <cell r="A1531">
            <v>99241</v>
          </cell>
          <cell r="B1531" t="str">
            <v>ACRÉSCIMO PARA POÇO DE VISITA RETANGULAR PARA DRENAGEM, EM ALVENARIA COM BLOCOS DE CONCRETO, DIMENSÕES INTERNAS = 1,5X1,5 M. AF_05/2018</v>
          </cell>
          <cell r="C1531" t="str">
            <v>M</v>
          </cell>
          <cell r="D1531">
            <v>1391</v>
          </cell>
        </row>
        <row r="1532">
          <cell r="A1532">
            <v>99242</v>
          </cell>
          <cell r="B1532" t="str">
            <v>BASE PARA POÇO DE VISITA CIRCULAR PARA DRENAGEM, EM ALVENARIA COM TIJOLOS CERÂMICOS MACIÇOS, DIÂMETRO INTERNO = 1,2 M, PROFUNDIDADE = 1,45 M, EXCLUINDO TAMPÃO. AF_05/2018</v>
          </cell>
          <cell r="C1532" t="str">
            <v>UN</v>
          </cell>
          <cell r="D1532">
            <v>2332.88</v>
          </cell>
        </row>
        <row r="1533">
          <cell r="A1533">
            <v>99243</v>
          </cell>
          <cell r="B1533" t="str">
            <v>ACRÉSCIMO PARA POÇO DE VISITA CIRCULAR PARA DRENAGEM, EM ALVENARIA COM TIJOLOS CERÂMICOS MACIÇOS, DIÂMETRO INTERNO = 1,2 M. AF_05/2018</v>
          </cell>
          <cell r="C1533" t="str">
            <v>M</v>
          </cell>
          <cell r="D1533">
            <v>1403.34</v>
          </cell>
        </row>
        <row r="1534">
          <cell r="A1534">
            <v>99244</v>
          </cell>
          <cell r="B1534" t="str">
            <v>BASE PARA POÇO DE VISITA RETANGULAR PARA DRENAGEM, EM ALVENARIA COM BLOCOS DE CONCRETO, DIMENSÕES INTERNAS = 1,5X2 M, PROFUNDIDADE = 1,45 M, EXCLUINDO TAMPÃO. AF_05/2018</v>
          </cell>
          <cell r="C1534" t="str">
            <v>UN</v>
          </cell>
          <cell r="D1534">
            <v>3735.76</v>
          </cell>
        </row>
        <row r="1535">
          <cell r="A1535">
            <v>99246</v>
          </cell>
          <cell r="B1535" t="str">
            <v>ACRÉSCIMO PARA POÇO DE VISITA CIRCULAR PARA DRENAGEM, EM CONCRETO PRÉ-MOLDADO, DIÂMETRO INTERNO = 1,5 M. AF_05/2018</v>
          </cell>
          <cell r="C1535" t="str">
            <v>M</v>
          </cell>
          <cell r="D1535">
            <v>607.95000000000005</v>
          </cell>
        </row>
        <row r="1536">
          <cell r="A1536">
            <v>99247</v>
          </cell>
          <cell r="B1536" t="str">
            <v>ACRÉSCIMO PARA POÇO DE VISITA RETANGULAR PARA DRENAGEM, EM ALVENARIA COM BLOCOS DE CONCRETO, DIMENSÕES INTERNAS = 1,5X2 M. AF_05/2018</v>
          </cell>
          <cell r="C1536" t="str">
            <v>M</v>
          </cell>
          <cell r="D1536">
            <v>1587.83</v>
          </cell>
        </row>
        <row r="1537">
          <cell r="A1537">
            <v>99248</v>
          </cell>
          <cell r="B1537" t="str">
            <v>BASE PARA POÇO DE VISITA CIRCULAR PARA DRENAGEM, EM ALVENARIA COM TIJOLOS CERÂMICOS MACIÇOS, DIÂMETRO INTERNO = 1,5 M, PROFUNDIDADE = 1,45 M, EXCLUINDO TAMPÃO. AF_05/2018</v>
          </cell>
          <cell r="C1537" t="str">
            <v>UN</v>
          </cell>
          <cell r="D1537">
            <v>2964.85</v>
          </cell>
        </row>
        <row r="1538">
          <cell r="A1538">
            <v>99249</v>
          </cell>
          <cell r="B1538" t="str">
            <v>ACRÉSCIMO PARA POÇO DE VISITA CIRCULAR PARA DRENAGEM, EM ALVENARIA COM TIJOLOS CERÂMICOS MACIÇOS, DIÂMETRO INTERNO = 1,5 M. AF_05/2018</v>
          </cell>
          <cell r="C1538" t="str">
            <v>M</v>
          </cell>
          <cell r="D1538">
            <v>1722.68</v>
          </cell>
        </row>
        <row r="1539">
          <cell r="A1539">
            <v>99252</v>
          </cell>
          <cell r="B1539" t="str">
            <v>BASE PARA POÇO DE VISITA RETANGULAR PARA DRENAGEM, EM ALVENARIA COM BLOCOS DE CONCRETO, DIMENSÕES INTERNAS = 1X1 M, PROFUNDIDADE = 1,45 M, EXCLUINDO TAMPÃO. AF_05/2018</v>
          </cell>
          <cell r="C1539" t="str">
            <v>UN</v>
          </cell>
          <cell r="D1539">
            <v>1964.83</v>
          </cell>
        </row>
        <row r="1540">
          <cell r="A1540">
            <v>99254</v>
          </cell>
          <cell r="B1540" t="str">
            <v>ACRÉSCIMO PARA POÇO DE VISITA RETANGULAR PARA DRENAGEM, EM ALVENARIA COM BLOCOS DE CONCRETO, DIMENSÕES INTERNAS = 1X1 M. AF_05/2018</v>
          </cell>
          <cell r="C1540" t="str">
            <v>M</v>
          </cell>
          <cell r="D1540">
            <v>997.35</v>
          </cell>
        </row>
        <row r="1541">
          <cell r="A1541">
            <v>99256</v>
          </cell>
          <cell r="B1541" t="str">
            <v>BASE PARA POÇO DE VISITA RETANGULAR PARA DRENAGEM, EM ALVENARIA COM BLOCOS DE CONCRETO, DIMENSÕES INTERNAS = 1,5X2,5 M, PROFUNDIDADE = 1,45 M, EXCLUINDO TAMPÃO. AF_05/2018</v>
          </cell>
          <cell r="C1541" t="str">
            <v>UN</v>
          </cell>
          <cell r="D1541">
            <v>4384.0600000000004</v>
          </cell>
        </row>
        <row r="1542">
          <cell r="A1542">
            <v>99259</v>
          </cell>
          <cell r="B1542" t="str">
            <v>BASE PARA POÇO DE VISITA RETANGULAR PARA DRENAGEM, EM ALVENARIA COM BLOCOS DE CONCRETO, DIMENSÕES INTERNAS = 1X1,5 M, PROFUNDIDADE = 1,45 M, EXCLUINDO TAMPÃO. AF_05/2018</v>
          </cell>
          <cell r="C1542" t="str">
            <v>UN</v>
          </cell>
          <cell r="D1542">
            <v>2481.79</v>
          </cell>
        </row>
        <row r="1543">
          <cell r="A1543">
            <v>99261</v>
          </cell>
          <cell r="B1543" t="str">
            <v>ACRÉSCIMO PARA POÇO DE VISITA RETANGULAR PARA DRENAGEM, EM ALVENARIA COM BLOCOS DE CONCRETO, DIMENSÕES INTERNAS = 1X1,5 M. AF_05/2018</v>
          </cell>
          <cell r="C1543" t="str">
            <v>M</v>
          </cell>
          <cell r="D1543">
            <v>1194.19</v>
          </cell>
        </row>
        <row r="1544">
          <cell r="A1544">
            <v>99263</v>
          </cell>
          <cell r="B1544" t="str">
            <v>ACRÉSCIMO PARA POÇO DE VISITA RETANGULAR PARA DRENAGEM, EM ALVENARIA COM BLOCOS DE CONCRETO, DIMENSÕES INTERNAS = 1,5X2,5 M. AF_05/2018</v>
          </cell>
          <cell r="C1544" t="str">
            <v>M</v>
          </cell>
          <cell r="D1544">
            <v>1784.67</v>
          </cell>
        </row>
        <row r="1545">
          <cell r="A1545">
            <v>99265</v>
          </cell>
          <cell r="B1545" t="str">
            <v>BASE PARA POÇO DE VISITA RETANGULAR PARA DRENAGEM, EM ALVENARIA COM BLOCOS DE CONCRETO, DIMENSÕES INTERNAS = 1X2 M, PROFUNDIDADE = 1,45 M, EXCLUINDO TAMPÃO. AF_05/2018</v>
          </cell>
          <cell r="C1545" t="str">
            <v>UN</v>
          </cell>
          <cell r="D1545">
            <v>2998.68</v>
          </cell>
        </row>
        <row r="1546">
          <cell r="A1546">
            <v>99266</v>
          </cell>
          <cell r="B1546" t="str">
            <v>ACRÉSCIMO PARA POÇO DE VISITA RETANGULAR PARA DRENAGEM, EM ALVENARIA COM BLOCOS DE CONCRETO, DIMENSÕES INTERNAS = 1X2 M. AF_05/2018</v>
          </cell>
          <cell r="C1546" t="str">
            <v>M</v>
          </cell>
          <cell r="D1546">
            <v>1391</v>
          </cell>
        </row>
        <row r="1547">
          <cell r="A1547">
            <v>99267</v>
          </cell>
          <cell r="B1547" t="str">
            <v>BASE PARA POÇO DE VISITA RETANGULAR PARA DRENAGEM, EM ALVENARIA COM BLOCOS DE CONCRETO, DIMENSÕES INTERNAS = 1X2,5 M, PROFUNDIDADE = 1,45 M, EXCLUINDO TAMPÃO. AF_05/2018</v>
          </cell>
          <cell r="C1547" t="str">
            <v>UN</v>
          </cell>
          <cell r="D1547">
            <v>3515.59</v>
          </cell>
        </row>
        <row r="1548">
          <cell r="A1548">
            <v>99269</v>
          </cell>
          <cell r="B1548" t="str">
            <v>ACRÉSCIMO PARA POÇO DE VISITA RETANGULAR PARA DRENAGEM, EM ALVENARIA COM BLOCOS DE CONCRETO, DIMENSÕES INTERNAS = 1X2,5 M. AF_05/2018</v>
          </cell>
          <cell r="C1548" t="str">
            <v>M</v>
          </cell>
          <cell r="D1548">
            <v>1587.83</v>
          </cell>
        </row>
        <row r="1549">
          <cell r="A1549">
            <v>99271</v>
          </cell>
          <cell r="B1549" t="str">
            <v>BASE PARA POÇO DE VISITA RETANGULAR PARA DRENAGEM, EM ALVENARIA COM BLOCOS DE CONCRETO, DIMENSÕES INTERNAS = 1,5X3 M, PROFUNDIDADE = 1,45 M, EXCLUINDO TAMPÃO. AF_05/2018</v>
          </cell>
          <cell r="C1549" t="str">
            <v>UN</v>
          </cell>
          <cell r="D1549">
            <v>5032.28</v>
          </cell>
        </row>
        <row r="1550">
          <cell r="A1550">
            <v>99272</v>
          </cell>
          <cell r="B1550" t="str">
            <v>POÇO DE INSPEÇÃO CIRCULAR PARA DRENAGEM, EM ALVENARIA COM TIJOLOS CERÂMICOS MACIÇOS, DIÂMETRO INTERNO = 0,6 M, PROFUNDIDADE = 1 M, EXCLUINDO TAMPÃO. AF_05/2018</v>
          </cell>
          <cell r="C1550" t="str">
            <v>UN</v>
          </cell>
          <cell r="D1550">
            <v>858.47</v>
          </cell>
        </row>
        <row r="1551">
          <cell r="A1551">
            <v>99273</v>
          </cell>
          <cell r="B1551" t="str">
            <v>POÇO DE INSPEÇÃO CIRCULAR PARA DRENAGEM, EM ALVENARIA COM TIJOLOS CERÂMICOS MACIÇOS, DIÂMETRO INTERNO = 0,6 M, PROFUNDIDADE = 1,5 M, EXCLUINDO TAMPÃO. AF_05/2018</v>
          </cell>
          <cell r="C1551" t="str">
            <v>UN</v>
          </cell>
          <cell r="D1551">
            <v>1255.4000000000001</v>
          </cell>
        </row>
        <row r="1552">
          <cell r="A1552">
            <v>99274</v>
          </cell>
          <cell r="B1552" t="str">
            <v>BASE PARA POÇO DE VISITA RETANGULAR PARA DRENAGEM, EM ALVENARIA COM BLOCOS DE CONCRETO, DIMENSÕES INTERNAS = 1X3 M, PROFUNDIDADE = 1,45 M, EXCLUINDO TAMPÃO. AF_05/2018</v>
          </cell>
          <cell r="C1552" t="str">
            <v>UN</v>
          </cell>
          <cell r="D1552">
            <v>4053.73</v>
          </cell>
        </row>
        <row r="1553">
          <cell r="A1553">
            <v>99276</v>
          </cell>
          <cell r="B1553" t="str">
            <v>ACRÉSCIMO PARA POÇO DE VISITA RETANGULAR PARA DRENAGEM, EM ALVENARIA COM BLOCOS DE CONCRETO, DIMENSÕES INTERNAS = 1,5X3 M. AF_05/2018</v>
          </cell>
          <cell r="C1553" t="str">
            <v>M</v>
          </cell>
          <cell r="D1553">
            <v>1981.49</v>
          </cell>
        </row>
        <row r="1554">
          <cell r="A1554">
            <v>99277</v>
          </cell>
          <cell r="B1554" t="str">
            <v>ACRÉSCIMO PARA POÇO DE VISITA RETANGULAR PARA DRENAGEM, EM ALVENARIA COM BLOCOS DE CONCRETO, DIMENSÕES INTERNAS = 1X3 M. AF_05/2018</v>
          </cell>
          <cell r="C1554" t="str">
            <v>M</v>
          </cell>
          <cell r="D1554">
            <v>1784.67</v>
          </cell>
        </row>
        <row r="1555">
          <cell r="A1555">
            <v>99278</v>
          </cell>
          <cell r="B1555" t="str">
            <v>ACRÉSCIMO PARA POÇO DE VISITA CIRCULAR PARA DRENAGEM, EM CONCRETO PRÉ-MOLDADO, DIÂMETRO INTERNO = 0,8 M. AF_05/2018</v>
          </cell>
          <cell r="C1555" t="str">
            <v>M</v>
          </cell>
          <cell r="D1555">
            <v>249.91</v>
          </cell>
        </row>
        <row r="1556">
          <cell r="A1556">
            <v>99279</v>
          </cell>
          <cell r="B1556" t="str">
            <v>BASE PARA POÇO DE VISITA RETANGULAR PARA DRENAGEM, EM ALVENARIA COM BLOCOS DE CONCRETO, DIMENSÕES INTERNAS = 1X3,5 M, PROFUNDIDADE = 1,45 M, EXCLUINDO TAMPÃO. AF_05/2018</v>
          </cell>
          <cell r="C1556" t="str">
            <v>UN</v>
          </cell>
          <cell r="D1556">
            <v>4573.24</v>
          </cell>
        </row>
        <row r="1557">
          <cell r="A1557">
            <v>99280</v>
          </cell>
          <cell r="B1557" t="str">
            <v>BASE PARA POÇO DE VISITA CIRCULAR PARA DRENAGEM, EM ALVENARIA COM TIJOLOS CERÂMICOS MACIÇOS, DIÂMETRO INTERNO = 0,8 M, PROFUNDIDADE = 1,45 M, EXCLUINDO TAMPÃO. AF_05/2018</v>
          </cell>
          <cell r="C1557" t="str">
            <v>UN</v>
          </cell>
          <cell r="D1557">
            <v>1606.02</v>
          </cell>
        </row>
        <row r="1558">
          <cell r="A1558">
            <v>99281</v>
          </cell>
          <cell r="B1558" t="str">
            <v>ACRÉSCIMO PARA POÇO DE VISITA RETANGULAR PARA DRENAGEM, EM ALVENARIA COM BLOCOS DE CONCRETO, DIMENSÕES INTERNAS = 1X3,5 M. AF_05/2018</v>
          </cell>
          <cell r="C1558" t="str">
            <v>M</v>
          </cell>
          <cell r="D1558">
            <v>1981.49</v>
          </cell>
        </row>
        <row r="1559">
          <cell r="A1559">
            <v>99282</v>
          </cell>
          <cell r="B1559" t="str">
            <v>ACRÉSCIMO PARA POÇO DE VISITA RETANGULAR PARA DRENAGEM, EM ALVENARIA COM BLOCOS DE CONCRETO, DIMENSÕES INTERNAS = 2,5X2,5 M. AF_05/2018</v>
          </cell>
          <cell r="C1559" t="str">
            <v>M</v>
          </cell>
          <cell r="D1559">
            <v>2206.69</v>
          </cell>
        </row>
        <row r="1560">
          <cell r="A1560">
            <v>99283</v>
          </cell>
          <cell r="B1560" t="str">
            <v>ACRÉSCIMO PARA POÇO DE VISITA CIRCULAR PARA DRENAGEM, EM ALVENARIA COM TIJOLOS CERÂMICOS MACIÇOS, DIÂMETRO INTERNO = 0,8 M. AF_05/2018</v>
          </cell>
          <cell r="C1560" t="str">
            <v>M</v>
          </cell>
          <cell r="D1560">
            <v>977.56</v>
          </cell>
        </row>
        <row r="1561">
          <cell r="A1561">
            <v>99284</v>
          </cell>
          <cell r="B1561" t="str">
            <v>BASE PARA POÇO DE VISITA RETANGULAR PARA DRENAGEM, EM ALVENARIA COM BLOCOS DE CONCRETO, DIMENSÕES INTERNAS = 1,5X3,5 M, PROFUNDIDADE = 1,45 M, EXCLUINDO TAMPÃO. AF_05/2018</v>
          </cell>
          <cell r="C1561" t="str">
            <v>UN</v>
          </cell>
          <cell r="D1561">
            <v>5680.64</v>
          </cell>
        </row>
        <row r="1562">
          <cell r="A1562">
            <v>99286</v>
          </cell>
          <cell r="B1562" t="str">
            <v>BASE PARA POÇO DE VISITA RETANGULAR PARA DRENAGEM, EM ALVENARIA COM BLOCOS DE CONCRETO, DIMENSÕES INTERNAS = 1X4 M, PROFUNDIDADE = 1,45 M, EXCLUINDO TAMPÃO. AF_05/2018</v>
          </cell>
          <cell r="C1562" t="str">
            <v>UN</v>
          </cell>
          <cell r="D1562">
            <v>5092.8900000000003</v>
          </cell>
        </row>
        <row r="1563">
          <cell r="A1563">
            <v>99287</v>
          </cell>
          <cell r="B1563" t="str">
            <v>BASE PARA POÇO DE VISITA RETANGULAR PARA DRENAGEM, EM ALVENARIA COM BLOCOS DE CONCRETO, DIMENSÕES INTERNAS = 2,5X3 M, PROFUNDIDADE = 1,45 M, EXCLUINDO TAMPÃO. AF_05/2018</v>
          </cell>
          <cell r="C1563" t="str">
            <v>UN</v>
          </cell>
          <cell r="D1563">
            <v>7167.27</v>
          </cell>
        </row>
        <row r="1564">
          <cell r="A1564">
            <v>99288</v>
          </cell>
          <cell r="B1564" t="str">
            <v>ACRÉSCIMO PARA POÇO DE VISITA CIRCULAR PARA DRENAGEM, EM CONCRETO PRÉ-MOLDADO, DIÂMETRO INTERNO = 1 M. AF_05/2018</v>
          </cell>
          <cell r="C1564" t="str">
            <v>M</v>
          </cell>
          <cell r="D1564">
            <v>326.95</v>
          </cell>
        </row>
        <row r="1565">
          <cell r="A1565">
            <v>99289</v>
          </cell>
          <cell r="B1565" t="str">
            <v>ACRÉSCIMO PARA POÇO DE VISITA RETANGULAR PARA DRENAGEM, EM ALVENARIA COM BLOCOS DE CONCRETO, DIMENSÕES INTERNAS = 1X4 M. AF_05/2018</v>
          </cell>
          <cell r="C1565" t="str">
            <v>M</v>
          </cell>
          <cell r="D1565">
            <v>2178.3000000000002</v>
          </cell>
        </row>
        <row r="1566">
          <cell r="A1566">
            <v>99290</v>
          </cell>
          <cell r="B1566" t="str">
            <v>BASE PARA POÇO DE VISITA RETANGULAR PARA DRENAGEM, EM ALVENARIA COM BLOCOS DE CONCRETO, DIMENSÕES INTERNAS = 1,5X1,5 M, PROFUNDIDADE = 1,45 M, EXCLUINDO TAMPÃO. AF_05/2018</v>
          </cell>
          <cell r="C1566" t="str">
            <v>UN</v>
          </cell>
          <cell r="D1566">
            <v>3070.7</v>
          </cell>
        </row>
        <row r="1567">
          <cell r="A1567">
            <v>99291</v>
          </cell>
          <cell r="B1567" t="str">
            <v>ACRÉSCIMO PARA POÇO DE VISITA RETANGULAR PARA DRENAGEM, EM ALVENARIA COM BLOCOS DE CONCRETO, DIMENSÕES INTERNAS = 1,5X3,5 M. AF_05/2018</v>
          </cell>
          <cell r="C1567" t="str">
            <v>M</v>
          </cell>
          <cell r="D1567">
            <v>2178.3000000000002</v>
          </cell>
        </row>
        <row r="1568">
          <cell r="A1568">
            <v>99292</v>
          </cell>
          <cell r="B1568" t="str">
            <v>BASE PARA POÇO DE VISITA CIRCULAR PARA DRENAGEM, EM ALVENARIA COM TIJOLOS CERÂMICOS MACIÇOS, DIÂMETRO INTERNO = 1 M, PROFUNDIDADE = 1,45 M, EXCLUINDO TAMPÃO. AF_05/2018</v>
          </cell>
          <cell r="C1568" t="str">
            <v>UN</v>
          </cell>
          <cell r="D1568">
            <v>1973.67</v>
          </cell>
        </row>
        <row r="1569">
          <cell r="A1569">
            <v>99293</v>
          </cell>
          <cell r="B1569" t="str">
            <v>ACRÉSCIMO PARA POÇO DE VISITA CIRCULAR PARA DRENAGEM, EM ALVENARIA COM TIJOLOS CERÂMICOS MACIÇOS, DIÂMETRO INTERNO = 1 M. AF_05/2018</v>
          </cell>
          <cell r="C1569" t="str">
            <v>M</v>
          </cell>
          <cell r="D1569">
            <v>1190.45</v>
          </cell>
        </row>
        <row r="1570">
          <cell r="A1570">
            <v>99294</v>
          </cell>
          <cell r="B1570" t="str">
            <v>BASE PARA POÇO DE VISITA RETANGULAR PARA DRENAGEM, EM ALVENARIA COM BLOCOS DE CONCRETO, DIMENSÕES INTERNAS = 1,5X4 M, PROFUNDIDADE = 1,45 M, EXCLUINDO TAMPÃO. AF_05/2018</v>
          </cell>
          <cell r="C1570" t="str">
            <v>UN</v>
          </cell>
          <cell r="D1570">
            <v>6328.93</v>
          </cell>
        </row>
        <row r="1571">
          <cell r="A1571">
            <v>99296</v>
          </cell>
          <cell r="B1571" t="str">
            <v>ACRÉSCIMO PARA POÇO DE VISITA RETANGULAR PARA DRENAGEM, EM ALVENARIA COM BLOCOS DE CONCRETO, DIMENSÕES INTERNAS = 2,5X3 M. AF_05/2018</v>
          </cell>
          <cell r="C1571" t="str">
            <v>M</v>
          </cell>
          <cell r="D1571">
            <v>2403.5</v>
          </cell>
        </row>
        <row r="1572">
          <cell r="A1572">
            <v>99297</v>
          </cell>
          <cell r="B1572" t="str">
            <v>ACRÉSCIMO PARA POÇO DE VISITA RETANGULAR PARA DRENAGEM, EM ALVENARIA COM BLOCOS DE CONCRETO, DIMENSÕES INTERNAS = 1,5X4 M. AF_05/2018</v>
          </cell>
          <cell r="C1572" t="str">
            <v>M</v>
          </cell>
          <cell r="D1572">
            <v>2398.61</v>
          </cell>
        </row>
        <row r="1573">
          <cell r="A1573">
            <v>99298</v>
          </cell>
          <cell r="B1573" t="str">
            <v>BASE PARA POÇO DE VISITA RETANGULAR PARA DRENAGEM, EM ALVENARIA COM BLOCOS DE CONCRETO, DIMENSÕES INTERNAS = 2,5X3,5 M, PROFUNDIDADE = 1,45 M, EXCLUINDO TAMPÃO. AF_05/2018</v>
          </cell>
          <cell r="C1573" t="str">
            <v>UN</v>
          </cell>
          <cell r="D1573">
            <v>8097.68</v>
          </cell>
        </row>
        <row r="1574">
          <cell r="A1574">
            <v>99299</v>
          </cell>
          <cell r="B1574" t="str">
            <v>ACRÉSCIMO PARA POÇO DE VISITA RETANGULAR PARA DRENAGEM, EM ALVENARIA COM BLOCOS DE CONCRETO, DIMENSÕES INTERNAS = 2,5X3,5 M. AF_05/2018</v>
          </cell>
          <cell r="C1574" t="str">
            <v>M</v>
          </cell>
          <cell r="D1574">
            <v>2600.27</v>
          </cell>
        </row>
        <row r="1575">
          <cell r="A1575">
            <v>99300</v>
          </cell>
          <cell r="B1575" t="str">
            <v>BASE PARA POÇO DE VISITA RETANGULAR PARA DRENAGEM, EM ALVENARIA COM BLOCOS DE CONCRETO, DIMENSÕES INTERNAS = 2,5X4 M, PROFUNDIDADE = 1,45 M, EXCLUINDO TAMPÃO. AF_05/2018</v>
          </cell>
          <cell r="C1575" t="str">
            <v>UN</v>
          </cell>
          <cell r="D1575">
            <v>9028.1200000000008</v>
          </cell>
        </row>
        <row r="1576">
          <cell r="A1576">
            <v>99301</v>
          </cell>
          <cell r="B1576" t="str">
            <v>BASE PARA POÇO DE VISITA RETANGULAR PARA DRENAGEM, EM ALVENARIA COM BLOCOS DE CONCRETO, DIMENSÕES INTERNAS = 2X2 M, PROFUNDIDADE = 1,45 M, EXCLUINDO TAMPÃO. AF_05/2018</v>
          </cell>
          <cell r="C1576" t="str">
            <v>UN</v>
          </cell>
          <cell r="D1576">
            <v>4517.2</v>
          </cell>
        </row>
        <row r="1577">
          <cell r="A1577">
            <v>99302</v>
          </cell>
          <cell r="B1577" t="str">
            <v>ACRÉSCIMO PARA POÇO DE VISITA RETANGULAR PARA DRENAGEM, EM ALVENARIA COM BLOCOS DE CONCRETO, DIMENSÕES INTERNAS = 2,5X4 M. AF_05/2018</v>
          </cell>
          <cell r="C1577" t="str">
            <v>M</v>
          </cell>
          <cell r="D1577">
            <v>2801.97</v>
          </cell>
        </row>
        <row r="1578">
          <cell r="A1578">
            <v>99303</v>
          </cell>
          <cell r="B1578" t="str">
            <v>BASE PARA POÇO DE VISITA RETANGULAR PARA DRENAGEM, EM ALVENARIA COM BLOCOS DE CONCRETO, DIMENSÕES INTERNAS = 3X3 M, PROFUNDIDADE = 1,45 M, EXCLUINDO TAMPÃO. AF_05/2018</v>
          </cell>
          <cell r="C1578" t="str">
            <v>UN</v>
          </cell>
          <cell r="D1578">
            <v>8279.8799999999992</v>
          </cell>
        </row>
        <row r="1579">
          <cell r="A1579">
            <v>99304</v>
          </cell>
          <cell r="B1579" t="str">
            <v>ACRÉSCIMO PARA POÇO DE VISITA RETANGULAR PARA DRENAGEM, EM ALVENARIA COM BLOCOS DE CONCRETO, DIMENSÕES INTERNAS = 3X3 M. AF_05/2018</v>
          </cell>
          <cell r="C1579" t="str">
            <v>M</v>
          </cell>
          <cell r="D1579">
            <v>2605.16</v>
          </cell>
        </row>
        <row r="1580">
          <cell r="A1580">
            <v>99305</v>
          </cell>
          <cell r="B1580" t="str">
            <v>BASE PARA POÇO DE VISITA RETANGULAR PARA DRENAGEM, EM ALVENARIA COM BLOCOS DE CONCRETO, DIMENSÕES INTERNAS = 3X3,5 M, PROFUNDIDADE = 1,45 M, EXCLUINDO TAMPÃO. AF_05/2018</v>
          </cell>
          <cell r="C1580" t="str">
            <v>UN</v>
          </cell>
          <cell r="D1580">
            <v>9350.18</v>
          </cell>
        </row>
        <row r="1581">
          <cell r="A1581">
            <v>99306</v>
          </cell>
          <cell r="B1581" t="str">
            <v>ACRÉSCIMO PARA POÇO DE VISITA RETANGULAR PARA DRENAGEM, EM ALVENARIA COM BLOCOS DE CONCRETO, DIMENSÕES INTERNAS = 3X3,5 M. AF_05/2018</v>
          </cell>
          <cell r="C1581" t="str">
            <v>M</v>
          </cell>
          <cell r="D1581">
            <v>2801.97</v>
          </cell>
        </row>
        <row r="1582">
          <cell r="A1582">
            <v>99307</v>
          </cell>
          <cell r="B1582" t="str">
            <v>ACRÉSCIMO PARA POÇO DE VISITA RETANGULAR PARA DRENAGEM, EM ALVENARIA COM BLOCOS DE CONCRETO, DIMENSÕES INTERNAS = 2X2 M. AF_05/2018</v>
          </cell>
          <cell r="C1582" t="str">
            <v>M</v>
          </cell>
          <cell r="D1582">
            <v>1808.15</v>
          </cell>
        </row>
        <row r="1583">
          <cell r="A1583">
            <v>99308</v>
          </cell>
          <cell r="B1583" t="str">
            <v>BASE PARA POÇO DE VISITA RETANGULAR PARA DRENAGEM, EM ALVENARIA COM BLOCOS DE CONCRETO, DIMENSÕES INTERNAS = 3X4 M, PROFUNDIDADE = 1,45 M, EXCLUINDO TAMPÃO. AF_05/2018</v>
          </cell>
          <cell r="C1583" t="str">
            <v>UN</v>
          </cell>
          <cell r="D1583">
            <v>10420.540000000001</v>
          </cell>
        </row>
        <row r="1584">
          <cell r="A1584">
            <v>99309</v>
          </cell>
          <cell r="B1584" t="str">
            <v>ACRÉSCIMO PARA POÇO DE VISITA RETANGULAR PARA DRENAGEM, EM ALVENARIA COM BLOCOS DE CONCRETO, DIMENSÕES INTERNAS = 3X4 M. AF_05/2018</v>
          </cell>
          <cell r="C1584" t="str">
            <v>M</v>
          </cell>
          <cell r="D1584">
            <v>3003.7</v>
          </cell>
        </row>
        <row r="1585">
          <cell r="A1585">
            <v>99310</v>
          </cell>
          <cell r="B1585" t="str">
            <v>BASE PARA POÇO DE VISITA RETANGULAR PARA DRENAGEM, EM ALVENARIA COM BLOCOS DE CONCRETO, DIMENSÕES INTERNAS = 3,5X3,5 M, PROFUNDIDADE = 1,45 M, EXCLUINDO TAMPÃO. AF_05/2018</v>
          </cell>
          <cell r="C1585" t="str">
            <v>UN</v>
          </cell>
          <cell r="D1585">
            <v>10610.28</v>
          </cell>
        </row>
        <row r="1586">
          <cell r="A1586">
            <v>99311</v>
          </cell>
          <cell r="B1586" t="str">
            <v>ACRÉSCIMO PARA POÇO DE VISITA RETANGULAR PARA DRENAGEM, EM ALVENARIA COM BLOCOS DE CONCRETO, DIMENSÕES INTERNAS = 3,5X3,5 M. AF_05/2018</v>
          </cell>
          <cell r="C1586" t="str">
            <v>M</v>
          </cell>
          <cell r="D1586">
            <v>3003.7</v>
          </cell>
        </row>
        <row r="1587">
          <cell r="A1587">
            <v>99312</v>
          </cell>
          <cell r="B1587" t="str">
            <v>BASE PARA POÇO DE VISITA RETANGULAR PARA DRENAGEM, EM ALVENARIA COM BLOCOS DE CONCRETO, DIMENSÕES INTERNAS = 2X2,5 M, PROFUNDIDADE = 1,45 M, EXCLUINDO TAMPÃO. AF_05/2018</v>
          </cell>
          <cell r="C1587" t="str">
            <v>UN</v>
          </cell>
          <cell r="D1587">
            <v>5287.83</v>
          </cell>
        </row>
        <row r="1588">
          <cell r="A1588">
            <v>99313</v>
          </cell>
          <cell r="B1588" t="str">
            <v>BASE PARA POÇO DE VISITA RETANGULAR PARA DRENAGEM, EM ALVENARIA COM BLOCOS DE CONCRETO, DIMENSÕES INTERNAS = 3,5X4 M, PROFUNDIDADE = 1,45 M, EXCLUINDO TAMPÃO. AF_05/2018</v>
          </cell>
          <cell r="C1588" t="str">
            <v>UN</v>
          </cell>
          <cell r="D1588">
            <v>11821.63</v>
          </cell>
        </row>
        <row r="1589">
          <cell r="A1589">
            <v>99314</v>
          </cell>
          <cell r="B1589" t="str">
            <v>ACRÉSCIMO PARA POÇO DE VISITA RETANGULAR PARA DRENAGEM, EM ALVENARIA COM BLOCOS DE CONCRETO, DIMENSÕES INTERNAS = 3,5X4 M. AF_05/2018</v>
          </cell>
          <cell r="C1589" t="str">
            <v>M</v>
          </cell>
          <cell r="D1589">
            <v>3205.41</v>
          </cell>
        </row>
        <row r="1590">
          <cell r="A1590">
            <v>99315</v>
          </cell>
          <cell r="B1590" t="str">
            <v>BASE PARA POÇO DE VISITA RETANGULAR PARA DRENAGEM, EM ALVENARIA COM BLOCOS DE CONCRETO, DIMENSÕES INTERNAS = 4X4 M, PROFUNDIDADE = 1,45 M, EXCLUINDO TAMPÃO. AF_05/2018</v>
          </cell>
          <cell r="C1590" t="str">
            <v>UN</v>
          </cell>
          <cell r="D1590">
            <v>13231.44</v>
          </cell>
        </row>
        <row r="1591">
          <cell r="A1591">
            <v>99317</v>
          </cell>
          <cell r="B1591" t="str">
            <v>ACRÉSCIMO PARA POÇO DE VISITA RETANGULAR PARA DRENAGEM, EM ALVENARIA COM BLOCOS DE CONCRETO, DIMENSÕES INTERNAS = 2X2,5 M. AF_05/2018</v>
          </cell>
          <cell r="C1591" t="str">
            <v>M</v>
          </cell>
          <cell r="D1591">
            <v>2004.96</v>
          </cell>
        </row>
        <row r="1592">
          <cell r="A1592">
            <v>99318</v>
          </cell>
          <cell r="B1592" t="str">
            <v>CHAMINÉ CIRCULAR PARA POÇO DE VISITA PARA DRENAGEM, EM CONCRETO PRÉ-MOLDADO, DIÂMETRO INTERNO = 0,6 M. AF_05/2018</v>
          </cell>
          <cell r="C1592" t="str">
            <v>M</v>
          </cell>
          <cell r="D1592">
            <v>176.78</v>
          </cell>
        </row>
        <row r="1593">
          <cell r="A1593">
            <v>99319</v>
          </cell>
          <cell r="B1593" t="str">
            <v>CHAMINÉ CIRCULAR PARA POÇO DE VISITA PARA DRENAGEM, EM ALVENARIA COM TIJOLOS CERÂMICOS MACIÇOS, DIÂMETRO INTERNO = 0,6 M. AF_05/2018</v>
          </cell>
          <cell r="C1593" t="str">
            <v>M</v>
          </cell>
          <cell r="D1593">
            <v>761.28</v>
          </cell>
        </row>
        <row r="1594">
          <cell r="A1594">
            <v>99320</v>
          </cell>
          <cell r="B1594" t="str">
            <v>BASE PARA POÇO DE VISITA RETANGULAR PARA DRENAGEM, EM ALVENARIA COM BLOCOS DE CONCRETO, DIMENSÕES INTERNAS = 2X3 M, PROFUNDIDADE = 1,45 M, EXCLUINDO TAMPÃO. AF_05/2018</v>
          </cell>
          <cell r="C1594" t="str">
            <v>UN</v>
          </cell>
          <cell r="D1594">
            <v>6096.6</v>
          </cell>
        </row>
        <row r="1595">
          <cell r="A1595">
            <v>99321</v>
          </cell>
          <cell r="B1595" t="str">
            <v>ACRÉSCIMO PARA POÇO DE VISITA RETANGULAR PARA DRENAGEM, EM ALVENARIA COM BLOCOS DE CONCRETO, DIMENSÕES INTERNAS = 2X3 M. AF_05/2018</v>
          </cell>
          <cell r="C1595" t="str">
            <v>M</v>
          </cell>
          <cell r="D1595">
            <v>2201.7800000000002</v>
          </cell>
        </row>
        <row r="1596">
          <cell r="A1596">
            <v>99322</v>
          </cell>
          <cell r="B1596" t="str">
            <v>BASE PARA POÇO DE VISITA RETANGULAR PARA DRENAGEM, EM ALVENARIA COM BLOCOS DE CONCRETO, DIMENSÕES INTERNAS = 2X3,5 M, PROFUNDIDADE = 1,45 M, EXCLUINDO TAMPÃO. AF_05/2018</v>
          </cell>
          <cell r="C1596" t="str">
            <v>UN</v>
          </cell>
          <cell r="D1596">
            <v>6871.95</v>
          </cell>
        </row>
        <row r="1597">
          <cell r="A1597">
            <v>99323</v>
          </cell>
          <cell r="B1597" t="str">
            <v>ACRÉSCIMO PARA POÇO DE VISITA RETANGULAR PARA DRENAGEM, EM ALVENARIA COM BLOCOS DE CONCRETO, DIMENSÕES INTERNAS = 2X3,5 M. AF_05/2018</v>
          </cell>
          <cell r="C1597" t="str">
            <v>M</v>
          </cell>
          <cell r="D1597">
            <v>2398.61</v>
          </cell>
        </row>
        <row r="1598">
          <cell r="A1598">
            <v>99324</v>
          </cell>
          <cell r="B1598" t="str">
            <v>BASE PARA POÇO DE VISITA RETANGULAR PARA DRENAGEM, EM ALVENARIA COM BLOCOS DE CONCRETO, DIMENSÕES INTERNAS = 2X4 M, PROFUNDIDADE = 1,45 M, EXCLUINDO TAMPÃO. AF_05/2018</v>
          </cell>
          <cell r="C1598" t="str">
            <v>UN</v>
          </cell>
          <cell r="D1598">
            <v>7647.28</v>
          </cell>
        </row>
        <row r="1599">
          <cell r="A1599">
            <v>99325</v>
          </cell>
          <cell r="B1599" t="str">
            <v>ACRÉSCIMO PARA POÇO DE VISITA RETANGULAR PARA DRENAGEM, EM ALVENARIA COM BLOCOS DE CONCRETO, DIMENSÕES INTERNAS = 2X4 M. AF_05/2018</v>
          </cell>
          <cell r="C1599" t="str">
            <v>M</v>
          </cell>
          <cell r="D1599">
            <v>2600.27</v>
          </cell>
        </row>
        <row r="1600">
          <cell r="A1600">
            <v>99326</v>
          </cell>
          <cell r="B1600" t="str">
            <v>BASE PARA POÇO DE VISITA RETANGULAR PARA DRENAGEM, EM ALVENARIA COM BLOCOS DE CONCRETO, DIMENSÕES INTERNAS = 2,5X2,5 M, PROFUNDIDADE = 1,45 M, EXCLUINDO TAMPÃO. AF_05/2018</v>
          </cell>
          <cell r="C1600" t="str">
            <v>UN</v>
          </cell>
          <cell r="D1600">
            <v>6236.85</v>
          </cell>
        </row>
        <row r="1601">
          <cell r="A1601">
            <v>99327</v>
          </cell>
          <cell r="B1601" t="str">
            <v>ACRÉSCIMO PARA POÇO DE VISITA RETANGULAR PARA DRENAGEM, EM ALVENARIA COM BLOCOS DE CONCRETO, DIMENSÕES INTERNAS = 4X4 M. AF_05/2018</v>
          </cell>
          <cell r="C1601" t="str">
            <v>M</v>
          </cell>
          <cell r="D1601">
            <v>3359.18</v>
          </cell>
        </row>
        <row r="1602">
          <cell r="A1602">
            <v>94263</v>
          </cell>
          <cell r="B1602" t="str">
            <v>GUIA (MEIO-FIO) CONCRETO, MOLDADA  IN LOCO  EM TRECHO RETO COM EXTRUSORA, 13 CM BASE X 22 CM ALTURA. AF_06/2016</v>
          </cell>
          <cell r="C1602" t="str">
            <v>M</v>
          </cell>
          <cell r="D1602">
            <v>25.94</v>
          </cell>
        </row>
        <row r="1603">
          <cell r="A1603">
            <v>94264</v>
          </cell>
          <cell r="B1603" t="str">
            <v>GUIA (MEIO-FIO) CONCRETO, MOLDADA  IN LOCO  EM TRECHO CURVO COM EXTRUSORA, 13 CM BASE X 22 CM ALTURA. AF_06/2016</v>
          </cell>
          <cell r="C1603" t="str">
            <v>M</v>
          </cell>
          <cell r="D1603">
            <v>28.78</v>
          </cell>
        </row>
        <row r="1604">
          <cell r="A1604">
            <v>94265</v>
          </cell>
          <cell r="B1604" t="str">
            <v>GUIA (MEIO-FIO) CONCRETO, MOLDADA  IN LOCO  EM TRECHO RETO COM EXTRUSORA, 15 CM BASE X 30 CM ALTURA. AF_06/2016</v>
          </cell>
          <cell r="C1604" t="str">
            <v>M</v>
          </cell>
          <cell r="D1604">
            <v>34.36</v>
          </cell>
        </row>
        <row r="1605">
          <cell r="A1605">
            <v>94266</v>
          </cell>
          <cell r="B1605" t="str">
            <v>GUIA (MEIO-FIO) CONCRETO, MOLDADA  IN LOCO  EM TRECHO CURVO COM EXTRUSORA, 15 CM BASE X 30 CM ALTURA. AF_06/2016</v>
          </cell>
          <cell r="C1605" t="str">
            <v>M</v>
          </cell>
          <cell r="D1605">
            <v>37.61</v>
          </cell>
        </row>
        <row r="1606">
          <cell r="A1606">
            <v>94267</v>
          </cell>
          <cell r="B1606" t="str">
            <v>GUIA (MEIO-FIO) E SARJETA CONJUGADOS DE CONCRETO, MOLDADA  IN LOCO  EM TRECHO RETO COM EXTRUSORA, 45 CM BASE (15 CM BASE DA GUIA + 30 CM BASE DA SARJETA) X 22 CM ALTURA. AF_06/2016</v>
          </cell>
          <cell r="C1606" t="str">
            <v>M</v>
          </cell>
          <cell r="D1606">
            <v>40.86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v>44.44</v>
          </cell>
        </row>
        <row r="1608">
          <cell r="A1608">
            <v>94269</v>
          </cell>
          <cell r="B1608" t="str">
            <v>GUIA (MEIO-FIO) E SARJETA CONJUGADOS DE CONCRETO, MOLDADA  IN LOCO  EM TRECHO RETO COM EXTRUSORA, 60 CM BASE (15 CM BASE DA GUIA + 45 CM BASE DA SARJETA) X 26 CM ALTURA. AF_06/2016</v>
          </cell>
          <cell r="C1608" t="str">
            <v>M</v>
          </cell>
          <cell r="D1608">
            <v>58.64</v>
          </cell>
        </row>
        <row r="1609">
          <cell r="A1609">
            <v>94270</v>
          </cell>
          <cell r="B1609" t="str">
            <v>GUIA (MEIO-FIO) E SARJETA CONJUGADOS DE CONCRETO, MOLDADA IN LOCO  EM TRECHO CURVO COM EXTRUSORA, 60 CM BASE (15 CM BASE DA GUIA + 45 CM BASE DA SARJETA) X 26 CM ALTURA. AF_06/2016</v>
          </cell>
          <cell r="C1609" t="str">
            <v>M</v>
          </cell>
          <cell r="D1609">
            <v>63.63</v>
          </cell>
        </row>
        <row r="1610">
          <cell r="A1610">
            <v>94271</v>
          </cell>
          <cell r="B1610" t="str">
            <v>GUIA (MEIO-FIO) E SARJETA CONJUGADOS DE CONCRETO, MOLDADA  IN LOCO  EM TRECHO RETO COM EXTRUSORA, 65 CM BASE (15 CM BASE DA GUIA + 50 CM BASE DA SARJETA) X 26 CM ALTURA. AF_06/2016</v>
          </cell>
          <cell r="C1610" t="str">
            <v>M</v>
          </cell>
          <cell r="D1610">
            <v>71.569999999999993</v>
          </cell>
        </row>
        <row r="1611">
          <cell r="A1611">
            <v>94272</v>
          </cell>
          <cell r="B1611" t="str">
            <v>GUIA (MEIO-FIO) E SARJETA CONJUGADOS DE CONCRETO, MOLDADA  IN LOCO  EM TRECHO CURVO COM EXTRUSORA, 65 CM BASE (15 CM BASE DA GUIA + 50 CM BASE DA SARJETA) X 26 CM ALTURA. AF_06/2016</v>
          </cell>
          <cell r="C1611" t="str">
            <v>M</v>
          </cell>
          <cell r="D1611">
            <v>78.22</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v>40.479999999999997</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v>43.66</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v>38.83</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v>42.01</v>
          </cell>
        </row>
        <row r="1616">
          <cell r="A1616">
            <v>94281</v>
          </cell>
          <cell r="B1616" t="str">
            <v>EXECUÇÃO DE SARJETA DE CONCRETO USINADO, MOLDADA  IN LOCO  EM TRECHO RETO, 30 CM BASE X 15 CM ALTURA. AF_06/2016</v>
          </cell>
          <cell r="C1616" t="str">
            <v>M</v>
          </cell>
          <cell r="D1616">
            <v>40.76</v>
          </cell>
        </row>
        <row r="1617">
          <cell r="A1617">
            <v>94282</v>
          </cell>
          <cell r="B1617" t="str">
            <v>EXECUÇÃO DE SARJETA DE CONCRETO USINADO, MOLDADA  IN LOCO  EM TRECHO CURVO, 30 CM BASE X 15 CM ALTURA. AF_06/2016</v>
          </cell>
          <cell r="C1617" t="str">
            <v>M</v>
          </cell>
          <cell r="D1617">
            <v>50.44</v>
          </cell>
        </row>
        <row r="1618">
          <cell r="A1618">
            <v>94283</v>
          </cell>
          <cell r="B1618" t="str">
            <v>EXECUÇÃO DE SARJETA DE CONCRETO USINADO, MOLDADA  IN LOCO  EM TRECHO RETO, 45 CM BASE X 15 CM ALTURA. AF_06/2016</v>
          </cell>
          <cell r="C1618" t="str">
            <v>M</v>
          </cell>
          <cell r="D1618">
            <v>53.11</v>
          </cell>
        </row>
        <row r="1619">
          <cell r="A1619">
            <v>94284</v>
          </cell>
          <cell r="B1619" t="str">
            <v>EXECUÇÃO DE SARJETA DE CONCRETO USINADO, MOLDADA  IN LOCO  EM TRECHO CURVO, 45 CM BASE X 15 CM ALTURA. AF_06/2016</v>
          </cell>
          <cell r="C1619" t="str">
            <v>M</v>
          </cell>
          <cell r="D1619">
            <v>62.8</v>
          </cell>
        </row>
        <row r="1620">
          <cell r="A1620">
            <v>94285</v>
          </cell>
          <cell r="B1620" t="str">
            <v>EXECUÇÃO DE SARJETA DE CONCRETO USINADO, MOLDADA  IN LOCO  EM TRECHO RETO, 60 CM BASE X 15 CM ALTURA. AF_06/2016</v>
          </cell>
          <cell r="C1620" t="str">
            <v>M</v>
          </cell>
          <cell r="D1620">
            <v>65.02</v>
          </cell>
        </row>
        <row r="1621">
          <cell r="A1621">
            <v>94286</v>
          </cell>
          <cell r="B1621" t="str">
            <v>EXECUÇÃO DE SARJETA DE CONCRETO USINADO, MOLDADA  IN LOCO  EM TRECHO CURVO, 60 CM BASE X 15 CM ALTURA. AF_06/2016</v>
          </cell>
          <cell r="C1621" t="str">
            <v>M</v>
          </cell>
          <cell r="D1621">
            <v>74.69</v>
          </cell>
        </row>
        <row r="1622">
          <cell r="A1622">
            <v>94287</v>
          </cell>
          <cell r="B1622" t="str">
            <v>EXECUÇÃO DE SARJETA DE CONCRETO USINADO, MOLDADA  IN LOCO  EM TRECHO RETO, 30 CM BASE X 10 CM ALTURA. AF_06/2016</v>
          </cell>
          <cell r="C1622" t="str">
            <v>M</v>
          </cell>
          <cell r="D1622">
            <v>31.74</v>
          </cell>
        </row>
        <row r="1623">
          <cell r="A1623">
            <v>94288</v>
          </cell>
          <cell r="B1623" t="str">
            <v>EXECUÇÃO DE SARJETA DE CONCRETO USINADO, MOLDADA  IN LOCO  EM TRECHO CURVO, 30 CM BASE X 10 CM ALTURA. AF_06/2016</v>
          </cell>
          <cell r="C1623" t="str">
            <v>M</v>
          </cell>
          <cell r="D1623">
            <v>40.200000000000003</v>
          </cell>
        </row>
        <row r="1624">
          <cell r="A1624">
            <v>94289</v>
          </cell>
          <cell r="B1624" t="str">
            <v>EXECUÇÃO DE SARJETA DE CONCRETO USINADO, MOLDADA  IN LOCO  EM TRECHO RETO, 45 CM BASE X 10 CM ALTURA. AF_06/2016</v>
          </cell>
          <cell r="C1624" t="str">
            <v>M</v>
          </cell>
          <cell r="D1624">
            <v>40.549999999999997</v>
          </cell>
        </row>
        <row r="1625">
          <cell r="A1625">
            <v>94290</v>
          </cell>
          <cell r="B1625" t="str">
            <v>EXECUÇÃO DE SARJETA DE CONCRETO USINADO, MOLDADA  IN LOCO  EM TRECHO CURVO, 45 CM BASE X 10 CM ALTURA. AF_06/2016</v>
          </cell>
          <cell r="C1625" t="str">
            <v>M</v>
          </cell>
          <cell r="D1625">
            <v>49.03</v>
          </cell>
        </row>
        <row r="1626">
          <cell r="A1626">
            <v>94291</v>
          </cell>
          <cell r="B1626" t="str">
            <v>EXECUÇÃO DE SARJETA DE CONCRETO USINADO, MOLDADA  IN LOCO  EM TRECHO RETO, 60 CM BASE X 10 CM ALTURA. AF_06/2016</v>
          </cell>
          <cell r="C1626" t="str">
            <v>M</v>
          </cell>
          <cell r="D1626">
            <v>48.97</v>
          </cell>
        </row>
        <row r="1627">
          <cell r="A1627">
            <v>94292</v>
          </cell>
          <cell r="B1627" t="str">
            <v>EXECUÇÃO DE SARJETA DE CONCRETO USINADO, MOLDADA  IN LOCO  EM TRECHO CURVO, 60 CM BASE X 10 CM ALTURA. AF_06/2016</v>
          </cell>
          <cell r="C1627" t="str">
            <v>M</v>
          </cell>
          <cell r="D1627">
            <v>57.43</v>
          </cell>
        </row>
        <row r="1628">
          <cell r="A1628">
            <v>94293</v>
          </cell>
          <cell r="B1628" t="str">
            <v>EXECUÇÃO DE SARJETÃO DE CONCRETO USINADO, MOLDADA  IN LOCO  EM TRECHO RETO, 100 CM BASE X 20 CM ALTURA. AF_06/2016</v>
          </cell>
          <cell r="C1628" t="str">
            <v>M</v>
          </cell>
          <cell r="D1628">
            <v>128.29</v>
          </cell>
        </row>
        <row r="1629">
          <cell r="A1629">
            <v>94294</v>
          </cell>
          <cell r="B1629" t="str">
            <v>EXECUÇÃO DE ESCORAS DE CONCRETO PARA CONTENÇÃO DE GUIAS PRÉ-FABRICADAS. AF_06/2016</v>
          </cell>
          <cell r="C1629" t="str">
            <v>M</v>
          </cell>
          <cell r="D1629">
            <v>6.27</v>
          </cell>
        </row>
        <row r="1630">
          <cell r="A1630">
            <v>94037</v>
          </cell>
          <cell r="B1630" t="str">
            <v>ESCORAMENTO DE VALA, TIPO PONTALETEAMENTO, COM PROFUNDIDADE DE 0 A 1,5 M, LARGURA MENOR QUE 1,5 M, EM LOCAL COM NÍVEL ALTO DE INTERFERÊNCIA. AF_06/2016</v>
          </cell>
          <cell r="C1630" t="str">
            <v>M2</v>
          </cell>
          <cell r="D1630">
            <v>15.34</v>
          </cell>
        </row>
        <row r="1631">
          <cell r="A1631">
            <v>94038</v>
          </cell>
          <cell r="B1631" t="str">
            <v>ESCORAMENTO DE VALA, TIPO PONTALETEAMENTO, COM PROFUNDIDADE DE 0 A 1,5 M, LARGURA MAIOR OU IGUAL A 1,5 M E MENOR QUE 2,5 M, EM LOCAL COM NÍVEL ALTO DE INTERFERÊNCIA. AF_06/2016</v>
          </cell>
          <cell r="C1631" t="str">
            <v>M2</v>
          </cell>
          <cell r="D1631">
            <v>21.44</v>
          </cell>
        </row>
        <row r="1632">
          <cell r="A1632">
            <v>94039</v>
          </cell>
          <cell r="B1632" t="str">
            <v>ESCORAMENTO DE VALA, TIPO PONTALETEAMENTO, COM PROFUNDIDADE DE 1,5 A 3,0 M, LARGURA MENOR QUE 1,5 M, EM LOCAL COM NÍVEL ALTO DE INTERFERÊNCIA. AF_06/2016</v>
          </cell>
          <cell r="C1632" t="str">
            <v>M2</v>
          </cell>
          <cell r="D1632">
            <v>11.98</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v>18.12</v>
          </cell>
        </row>
        <row r="1634">
          <cell r="A1634">
            <v>94041</v>
          </cell>
          <cell r="B1634" t="str">
            <v>ESCORAMENTO DE VALA, TIPO PONTALETEAMENTO, COM PROFUNDIDADE DE 3,0 A 4,5 M, LARGURA MENOR QUE 1,5 M EM LOCAL COM NÍVEL ALTO DE INTERFERÊNCIA. AF_06/2016</v>
          </cell>
          <cell r="C1634" t="str">
            <v>M2</v>
          </cell>
          <cell r="D1634">
            <v>8.9600000000000009</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v>15.21</v>
          </cell>
        </row>
        <row r="1636">
          <cell r="A1636">
            <v>94043</v>
          </cell>
          <cell r="B1636" t="str">
            <v>ESCORAMENTO DE VALA, TIPO PONTALETEAMENTO, COM PROFUNDIDADE DE 0 A 1,5 M, LARGURA MENOR QUE 1,5 M, EM LOCAL COM NÍVEL BAIXO DE INTERFERÊNCIA. AF_06/2016</v>
          </cell>
          <cell r="C1636" t="str">
            <v>M2</v>
          </cell>
          <cell r="D1636">
            <v>14.36</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v>20.49</v>
          </cell>
        </row>
        <row r="1638">
          <cell r="A1638">
            <v>94045</v>
          </cell>
          <cell r="B1638" t="str">
            <v>ESCORAMENTO DE VALA, TIPO PONTALETEAMENTO, COM PROFUNDIDADE DE 1,5 A 3,0 M, LARGURA MENOR QUE 1,5 M, EM LOCAL COM NÍVEL BAIXO DE INTERFERÊNCIA. AF_06/2016</v>
          </cell>
          <cell r="C1638" t="str">
            <v>M2</v>
          </cell>
          <cell r="D1638">
            <v>11.03</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v>17.13</v>
          </cell>
        </row>
        <row r="1640">
          <cell r="A1640">
            <v>94047</v>
          </cell>
          <cell r="B1640" t="str">
            <v>ESCORAMENTO DE VALA, TIPO PONTALETEAMENTO, COM PROFUNDIDADE DE 3,0 A 4,5 M, LARGURA MENOR QUE 1,5 M EM LOCAL COM NÍVEL BAIXO DE INTERFERÊNCIA. AF_06/2016</v>
          </cell>
          <cell r="C1640" t="str">
            <v>M2</v>
          </cell>
          <cell r="D1640">
            <v>8.01</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v>14.23</v>
          </cell>
        </row>
        <row r="1642">
          <cell r="A1642">
            <v>94049</v>
          </cell>
          <cell r="B1642" t="str">
            <v>ESCORAMENTO DE VALA, TIPO DESCONTÍNUO, COM PROFUNDIDADE DE 0 A 1,5 M, LARGURA MENOR QUE 1,5 M, EM LOCAL COM NÍVEL ALTO DE INTERFERÊNCIA. AF_06/2016</v>
          </cell>
          <cell r="C1642" t="str">
            <v>M2</v>
          </cell>
          <cell r="D1642">
            <v>23.99</v>
          </cell>
        </row>
        <row r="1643">
          <cell r="A1643">
            <v>94050</v>
          </cell>
          <cell r="B1643" t="str">
            <v>ESCORAMENTO DE VALA, TIPO DESCONTÍNUO, COM PROFUNDIDADE DE 0 A 1,5 M, LARGURA MAIOR OU IGUAL A 1,5 M E MENOR QUE 2,5 M, EM LOCAL COM NÍVEL ALTO DE INTERFERÊNCIA. AF_06/2016</v>
          </cell>
          <cell r="C1643" t="str">
            <v>M2</v>
          </cell>
          <cell r="D1643">
            <v>31.96</v>
          </cell>
        </row>
        <row r="1644">
          <cell r="A1644">
            <v>94051</v>
          </cell>
          <cell r="B1644" t="str">
            <v>ESCORAMENTO DE VALA, TIPO DESCONTÍNUO, COM PROFUNDIDADE DE 1,5 M A 3,0 M, LARGURA MENOR QUE 1,5 M, EM LOCAL COM NÍVEL ALTO DE INTERFERÊNCIA. AF_06/2016</v>
          </cell>
          <cell r="C1644" t="str">
            <v>M2</v>
          </cell>
          <cell r="D1644">
            <v>19.41</v>
          </cell>
        </row>
        <row r="1645">
          <cell r="A1645">
            <v>94052</v>
          </cell>
          <cell r="B1645" t="str">
            <v>ESCORAMENTO DE VALA, TIPO DESCONTÍNUO, COM PROFUNDIDADE DE 1,5 A 3,0 M, LARGURA MAIOR OU IGUAL A 1,5 M E MENOR QUE 2,5 M, EM LOCAL COM NÍVEL ALTO DE INTERFERÊNCIA. AF_06/2016</v>
          </cell>
          <cell r="C1645" t="str">
            <v>M2</v>
          </cell>
          <cell r="D1645">
            <v>27.26</v>
          </cell>
        </row>
        <row r="1646">
          <cell r="A1646">
            <v>94053</v>
          </cell>
          <cell r="B1646" t="str">
            <v>ESCORAMENTO DE VALA, TIPO DESCONTÍNUO, COM PROFUNDIDADE DE 3,0 A 4,5 M, LARGURA MENOR QUE 1,5 M, EM LOCAL COM NÍVEL ALTO DE INTERFERÊNCIA. AF_06/2016</v>
          </cell>
          <cell r="C1646" t="str">
            <v>M2</v>
          </cell>
          <cell r="D1646">
            <v>16.03</v>
          </cell>
        </row>
        <row r="1647">
          <cell r="A1647">
            <v>94054</v>
          </cell>
          <cell r="B1647" t="str">
            <v>ESCORAMENTO DE VALA, TIPO DESCONTÍNUO, COM PROFUNDIDADE DE 3,0 A 4,5 M, LARGURA MAIOR OU IGUAL A 1,5 E MENOR QUE 2,5 M, EM LOCAL COM NÍVEL ALTO DE INTERFERÊNCIA. AF_06/2016</v>
          </cell>
          <cell r="C1647" t="str">
            <v>M2</v>
          </cell>
          <cell r="D1647">
            <v>23.99</v>
          </cell>
        </row>
        <row r="1648">
          <cell r="A1648">
            <v>94055</v>
          </cell>
          <cell r="B1648" t="str">
            <v>ESCORAMENTO DE VALA, TIPO DESCONTÍNUO, COM PROFUNDIDADE DE 0 A 1,5 M, LARGURA MENOR QUE 1,5 M, EM LOCAL COM NÍVEL BAIXO DE INTERFERÊNCIA. AF_06/2016</v>
          </cell>
          <cell r="C1648" t="str">
            <v>M2</v>
          </cell>
          <cell r="D1648">
            <v>23.21</v>
          </cell>
        </row>
        <row r="1649">
          <cell r="A1649">
            <v>94056</v>
          </cell>
          <cell r="B1649" t="str">
            <v>ESCORAMENTO DE VALA, TIPO DESCONTÍNUO, COM PROFUNDIDADE DE 0 A 1,5 M, LARGURA MAIOR OU IGUAL A 1,5 M E MENOR QUE 2,5 M, EM LOCAL COM NÍVEL BAIXO DE INTERFERÊNCIA. AF_06/2016</v>
          </cell>
          <cell r="C1649" t="str">
            <v>M2</v>
          </cell>
          <cell r="D1649">
            <v>30.72</v>
          </cell>
        </row>
        <row r="1650">
          <cell r="A1650">
            <v>94057</v>
          </cell>
          <cell r="B1650" t="str">
            <v>ESCORAMENTO DE VALA, TIPO DESCONTÍNUO, COM PROFUNDIDADE DE 1,5 M A 3,0 M, LARGURA MENOR QUE 1,5 M, EM LOCAL COM NÍVEL BAIXO DE INTERFERÊNCIA. AF_06/2016</v>
          </cell>
          <cell r="C1650" t="str">
            <v>M2</v>
          </cell>
          <cell r="D1650">
            <v>18.18</v>
          </cell>
        </row>
        <row r="1651">
          <cell r="A1651">
            <v>94058</v>
          </cell>
          <cell r="B1651" t="str">
            <v>ESCORAMENTO DE VALA, TIPO DESCONTÍNUO, COM PROFUNDIDADE DE 1,5 A 3,0 M, LARGURA MAIOR OU IGUAL A 1,5 M E MENOR QUE 2,5 M, EM LOCAL COM NÍVEL BAIXO DE INTERFERÊNCIA. AF_06/2016</v>
          </cell>
          <cell r="C1651" t="str">
            <v>M2</v>
          </cell>
          <cell r="D1651">
            <v>26</v>
          </cell>
        </row>
        <row r="1652">
          <cell r="A1652">
            <v>94059</v>
          </cell>
          <cell r="B1652" t="str">
            <v>ESCORAMENTO DE VALA, TIPO DESCONTÍNUO, COM PROFUNDIDADE DE 3,0 A 4,5 M, LARGURA MENOR QUE 1,5 M, EM LOCAL COM NÍVEL BAIXO DE INTERFERÊNCIA. AF_06/2016</v>
          </cell>
          <cell r="C1652" t="str">
            <v>M2</v>
          </cell>
          <cell r="D1652">
            <v>14.79</v>
          </cell>
        </row>
        <row r="1653">
          <cell r="A1653">
            <v>94060</v>
          </cell>
          <cell r="B1653" t="str">
            <v>ESCORAMENTO DE VALA, TIPO DESCONTÍNUO, COM PROFUNDIDADE DE 3,0 A 4,5 M, LARGURA MAIOR OU IGUAL A 1,5 E MENOR QUE 2,5 M, EM LOCAL COM NÍVEL BAIXO DE INTERFERÊNCIA. AF_06/2016</v>
          </cell>
          <cell r="C1653" t="str">
            <v>M2</v>
          </cell>
          <cell r="D1653">
            <v>22.74</v>
          </cell>
        </row>
        <row r="1654">
          <cell r="A1654">
            <v>73301</v>
          </cell>
          <cell r="B1654" t="str">
            <v>ESCORAMENTO FORMAS ATE H = 3,30M, COM MADEIRA DE 3A QUALIDADE, NAO APARELHADA, APROVEITAMENTO TABUAS 3X E PRUMOS 4X.</v>
          </cell>
          <cell r="C1654" t="str">
            <v>M3</v>
          </cell>
          <cell r="D1654">
            <v>10.34</v>
          </cell>
        </row>
        <row r="1655">
          <cell r="A1655">
            <v>83515</v>
          </cell>
          <cell r="B1655" t="str">
            <v>ESCORAMENTO FORMAS DE H=3,30 A 3,50 M, COM MADEIRA 3A QUALIDADE, NAO APARELHADA, APROVEITAMENTO TABUAS 3X E PRUMOS 4X</v>
          </cell>
          <cell r="C1655" t="str">
            <v>M3</v>
          </cell>
          <cell r="D1655">
            <v>16.559999999999999</v>
          </cell>
        </row>
        <row r="1656">
          <cell r="A1656">
            <v>83516</v>
          </cell>
          <cell r="B1656" t="str">
            <v>ESCORAMENTO FORMAS H=3,50 A 4,00 M, COM MADEIRA DE 3A QUALIDADE, NAO APARELHADA, APROVEITAMENTO TABUAS 3X E PRUMOS 4X.</v>
          </cell>
          <cell r="C1656" t="str">
            <v>M3</v>
          </cell>
          <cell r="D1656">
            <v>19.12</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v>540.04999999999995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v>557.91999999999996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v>562.55999999999995</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v>601.14</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v>643.6</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v>531.12</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v>514.80999999999995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v>524.64</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v>642.08000000000004</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v>646.57000000000005</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v>667.59</v>
          </cell>
        </row>
        <row r="1668">
          <cell r="A1668">
            <v>90801</v>
          </cell>
          <cell r="B1668" t="str">
            <v>BATENTE PARA PORTA DE MADEIRA, PADRÃO MÉDIO - FORNECIMENTO E MONTAGEM. AF_12/2019</v>
          </cell>
          <cell r="C1668" t="str">
            <v>UN</v>
          </cell>
          <cell r="D1668">
            <v>189.17</v>
          </cell>
        </row>
        <row r="1669">
          <cell r="A1669">
            <v>90806</v>
          </cell>
          <cell r="B1669" t="str">
            <v>BATENTE PARA PORTA DE MADEIRA, FIXAÇÃO COM ARGAMASSA, PADRÃO MÉDIO - FORNECIMENTO E INSTALAÇÃO. AF_12/2019_P</v>
          </cell>
          <cell r="C1669" t="str">
            <v>UN</v>
          </cell>
          <cell r="D1669">
            <v>256.16000000000003</v>
          </cell>
        </row>
        <row r="1670">
          <cell r="A1670">
            <v>90820</v>
          </cell>
          <cell r="B1670" t="str">
            <v>PORTA DE MADEIRA PARA PINTURA, SEMI-OCA (LEVE OU MÉDIA), 60X210CM, ESPESSURA DE 3,5CM, INCLUSO DOBRADIÇAS - FORNECIMENTO E INSTALAÇÃO. AF_12/2019</v>
          </cell>
          <cell r="C1670" t="str">
            <v>UN</v>
          </cell>
          <cell r="D1670">
            <v>328.27</v>
          </cell>
        </row>
        <row r="1671">
          <cell r="A1671">
            <v>90821</v>
          </cell>
          <cell r="B1671" t="str">
            <v>PORTA DE MADEIRA PARA PINTURA, SEMI-OCA (LEVE OU MÉDIA), 70X210CM, ESPESSURA DE 3,5CM, INCLUSO DOBRADIÇAS - FORNECIMENTO E INSTALAÇÃO. AF_12/2019</v>
          </cell>
          <cell r="C1671" t="str">
            <v>UN</v>
          </cell>
          <cell r="D1671">
            <v>360.07</v>
          </cell>
        </row>
        <row r="1672">
          <cell r="A1672">
            <v>90822</v>
          </cell>
          <cell r="B1672" t="str">
            <v>PORTA DE MADEIRA PARA PINTURA, SEMI-OCA (LEVE OU MÉDIA), 80X210CM, ESPESSURA DE 3,5CM, INCLUSO DOBRADIÇAS - FORNECIMENTO E INSTALAÇÃO. AF_12/2019</v>
          </cell>
          <cell r="C1672" t="str">
            <v>UN</v>
          </cell>
          <cell r="D1672">
            <v>354.63</v>
          </cell>
        </row>
        <row r="1673">
          <cell r="A1673">
            <v>90823</v>
          </cell>
          <cell r="B1673" t="str">
            <v>PORTA DE MADEIRA PARA PINTURA, SEMI-OCA (LEVE OU MÉDIA), 90X210CM, ESPESSURA DE 3,5CM, INCLUSO DOBRADIÇAS - FORNECIMENTO E INSTALAÇÃO. AF_12/2019</v>
          </cell>
          <cell r="C1673" t="str">
            <v>UN</v>
          </cell>
          <cell r="D1673">
            <v>374.46</v>
          </cell>
        </row>
        <row r="1674">
          <cell r="A1674">
            <v>90824</v>
          </cell>
          <cell r="B1674" t="str">
            <v>PORTA DE MADEIRA PARA PINTURA, SEMI-OCA (PESADA OU SUPERPESADA), 80X210CM, ESPESSURA DE 3,5CM, INCLUSO DOBRADIÇAS - FORNECIMENTO E INSTALAÇÃO. AF_12/2019</v>
          </cell>
          <cell r="C1674" t="str">
            <v>UN</v>
          </cell>
          <cell r="D1674">
            <v>383.19</v>
          </cell>
        </row>
        <row r="1675">
          <cell r="A1675">
            <v>90825</v>
          </cell>
          <cell r="B1675" t="str">
            <v>PORTA DE MADEIRA, MACIÇA (PESADA OU SUPERPESADA), 90X210CM, ESPESSURA DE 3,5CM, INCLUSO DOBRADIÇAS - FORNECIMENTO E INSTALAÇÃO. AF_12/2019</v>
          </cell>
          <cell r="C1675" t="str">
            <v>UN</v>
          </cell>
          <cell r="D1675">
            <v>412.5</v>
          </cell>
        </row>
        <row r="1676">
          <cell r="A1676">
            <v>90830</v>
          </cell>
          <cell r="B1676" t="str">
            <v>FECHADURA DE EMBUTIR COM CILINDRO, EXTERNA, COMPLETA, ACABAMENTO PADRÃO MÉDIO, INCLUSO EXECUÇÃO DE FURO - FORNECIMENTO E INSTALAÇÃO. AF_12/2019</v>
          </cell>
          <cell r="C1676" t="str">
            <v>UN</v>
          </cell>
          <cell r="D1676">
            <v>96.42</v>
          </cell>
        </row>
        <row r="1677">
          <cell r="A1677">
            <v>90831</v>
          </cell>
          <cell r="B1677" t="str">
            <v>FECHADURA DE EMBUTIR PARA PORTA DE BANHEIRO, COMPLETA, ACABAMENTO PADRÃO MÉDIO, INCLUSO EXECUÇÃO DE FURO - FORNECIMENTO E INSTALAÇÃO. AF_12/2019</v>
          </cell>
          <cell r="C1677" t="str">
            <v>UN</v>
          </cell>
          <cell r="D1677">
            <v>75.510000000000005</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v>716.38</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v>755.89</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v>766.01</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v>787.01</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v>794.57</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v>825.05</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v>640.87</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v>673.85</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v>669.59</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v>690.59</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v>698.15</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v>728.63</v>
          </cell>
        </row>
        <row r="1690">
          <cell r="A1690">
            <v>91009</v>
          </cell>
          <cell r="B1690" t="str">
            <v>PORTA DE MADEIRA PARA VERNIZ, SEMI-OCA (LEVE OU MÉDIA), 60X210CM, ESPESSURA DE 3,5CM, INCLUSO DOBRADIÇAS - FORNECIMENTO E INSTALAÇÃO. AF_12/2019</v>
          </cell>
          <cell r="C1690" t="str">
            <v>UN</v>
          </cell>
          <cell r="D1690">
            <v>337.02</v>
          </cell>
        </row>
        <row r="1691">
          <cell r="A1691">
            <v>91010</v>
          </cell>
          <cell r="B1691" t="str">
            <v>PORTA DE MADEIRA PARA VERNIZ, SEMI-OCA (LEVE OU MÉDIA), 70X210CM, ESPESSURA DE 3,5CM, INCLUSO DOBRADIÇAS - FORNECIMENTO E INSTALAÇÃO. AF_12/2019</v>
          </cell>
          <cell r="C1691" t="str">
            <v>UN</v>
          </cell>
          <cell r="D1691">
            <v>264.14</v>
          </cell>
        </row>
        <row r="1692">
          <cell r="A1692">
            <v>91011</v>
          </cell>
          <cell r="B1692" t="str">
            <v>PORTA DE MADEIRA PARA VERNIZ, SEMI-OCA (LEVE OU MÉDIA), 80X210CM, ESPESSURA DE 3,5CM, INCLUSO DOBRADIÇAS - FORNECIMENTO E INSTALAÇÃO. AF_12/2019</v>
          </cell>
          <cell r="C1692" t="str">
            <v>UN</v>
          </cell>
          <cell r="D1692">
            <v>387.41</v>
          </cell>
        </row>
        <row r="1693">
          <cell r="A1693">
            <v>91012</v>
          </cell>
          <cell r="B1693" t="str">
            <v>PORTA DE MADEIRA PARA VERNIZ, SEMI-OCA (LEVE OU MÉDIA), 90X210CM, ESPESSURA DE 3,5CM, INCLUSO DOBRADIÇAS - FORNECIMENTO E INSTALAÇÃO. AF_12/2019</v>
          </cell>
          <cell r="C1693" t="str">
            <v>UN</v>
          </cell>
          <cell r="D1693">
            <v>367.73</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v>649.62</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v>577.91999999999996</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v>702.37</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v>683.86</v>
          </cell>
        </row>
        <row r="1698">
          <cell r="A1698">
            <v>91287</v>
          </cell>
          <cell r="B1698" t="str">
            <v>BATENTE PARA PORTA DE MADEIRA, PADRÃO POPULAR - FORNECIMENTO E MONTAGEM. AF_12/2019</v>
          </cell>
          <cell r="C1698" t="str">
            <v>UN</v>
          </cell>
          <cell r="D1698">
            <v>152.35</v>
          </cell>
        </row>
        <row r="1699">
          <cell r="A1699">
            <v>91292</v>
          </cell>
          <cell r="B1699" t="str">
            <v>BATENTE PARA PORTA DE MADEIRA, FIXAÇÃO COM ARGAMASSA, PADRÃO POPULAR. FORNECIMENTO E INSTALAÇÃO. AF_12/2019_P</v>
          </cell>
          <cell r="C1699" t="str">
            <v>UN</v>
          </cell>
          <cell r="D1699">
            <v>219.34</v>
          </cell>
        </row>
        <row r="1700">
          <cell r="A1700">
            <v>91295</v>
          </cell>
          <cell r="B1700" t="str">
            <v>PORTA DE MADEIRA FRISADA, SEMI-OCA (LEVE OU MÉDIA), 60X210CM, ESPESSURA DE 3CM, INCLUSO DOBRADIÇAS - FORNECIMENTO E INSTALAÇÃO. AF_12/2019</v>
          </cell>
          <cell r="C1700" t="str">
            <v>UN</v>
          </cell>
          <cell r="D1700">
            <v>313.51</v>
          </cell>
        </row>
        <row r="1701">
          <cell r="A1701">
            <v>91296</v>
          </cell>
          <cell r="B1701" t="str">
            <v>PORTA DE MADEIRA FRISADA, SEMI-OCA (LEVE OU MÉDIA), 70X210CM, ESPESSURA DE 3CM, INCLUSO DOBRADIÇAS - FORNECIMENTO E INSTALAÇÃO. AF_12/2019</v>
          </cell>
          <cell r="C1701" t="str">
            <v>UN</v>
          </cell>
          <cell r="D1701">
            <v>334.5</v>
          </cell>
        </row>
        <row r="1702">
          <cell r="A1702">
            <v>91297</v>
          </cell>
          <cell r="B1702" t="str">
            <v>PORTA DE MADEIRA FRISADA, SEMI-OCA (LEVE OU MÉDIA), 80X210CM, ESPESSURA DE 3,5CM, INCLUSO DOBRADIÇAS - FORNECIMENTO E INSTALAÇÃO. AF_12/2019</v>
          </cell>
          <cell r="C1702" t="str">
            <v>UN</v>
          </cell>
          <cell r="D1702">
            <v>389.81</v>
          </cell>
        </row>
        <row r="1703">
          <cell r="A1703">
            <v>91298</v>
          </cell>
          <cell r="B1703" t="str">
            <v>PORTA DE MADEIRA TIPO VENEZIANA, 80X210CM, ESPESSURA DE 3CM, INCLUSO DOBRADIÇAS - FORNECIMENTO E INSTALAÇÃO. AF_12/2019</v>
          </cell>
          <cell r="C1703" t="str">
            <v>UN</v>
          </cell>
          <cell r="D1703">
            <v>537.52</v>
          </cell>
        </row>
        <row r="1704">
          <cell r="A1704">
            <v>91299</v>
          </cell>
          <cell r="B1704" t="str">
            <v>PORTA DE MADEIRA, TIPO MEXICANA, MACIÇA (PESADA OU SUPERPESADA), 80X210CM, ESPESSURA DE 3,5CM, INCLUSO DOBRADIÇAS - FORNECIMENTO E INSTALAÇÃO. AF_12/2019</v>
          </cell>
          <cell r="C1704" t="str">
            <v>UN</v>
          </cell>
          <cell r="D1704">
            <v>746.89</v>
          </cell>
        </row>
        <row r="1705">
          <cell r="A1705">
            <v>91304</v>
          </cell>
          <cell r="B1705" t="str">
            <v>FECHADURA DE EMBUTIR COM CILINDRO, EXTERNA, COMPLETA, ACABAMENTO PADRÃO POPULAR, INCLUSO EXECUÇÃO DE FURO - FORNECIMENTO E INSTALAÇÃO. AF_12/2019</v>
          </cell>
          <cell r="C1705" t="str">
            <v>UN</v>
          </cell>
          <cell r="D1705">
            <v>73.569999999999993</v>
          </cell>
        </row>
        <row r="1706">
          <cell r="A1706">
            <v>91305</v>
          </cell>
          <cell r="B1706" t="str">
            <v>FECHADURA DE EMBUTIR PARA PORTA DE BANHEIRO, COMPLETA, ACABAMENTO PADRÃO POPULAR, INCLUSO EXECUÇÃO DE FURO - FORNECIMENTO E INSTALAÇÃO. AF_12/2019</v>
          </cell>
          <cell r="C1706" t="str">
            <v>UN</v>
          </cell>
          <cell r="D1706">
            <v>55.54</v>
          </cell>
        </row>
        <row r="1707">
          <cell r="A1707">
            <v>91306</v>
          </cell>
          <cell r="B1707" t="str">
            <v>FECHADURA DE EMBUTIR PARA PORTAS INTERNAS, COMPLETA, ACABAMENTO PADRÃO MÉDIO, COM EXECUÇÃO DE FURO - FORNECIMENTO E INSTALAÇÃO. AF_12/2019</v>
          </cell>
          <cell r="C1707" t="str">
            <v>UN</v>
          </cell>
          <cell r="D1707">
            <v>82.04</v>
          </cell>
        </row>
        <row r="1708">
          <cell r="A1708">
            <v>91307</v>
          </cell>
          <cell r="B1708" t="str">
            <v>FECHADURA DE EMBUTIR PARA PORTAS INTERNAS, COMPLETA, ACABAMENTO PADRÃO POPULAR, COM EXECUÇÃO DE FURO - FORNECIMENTO E INSTALAÇÃO. AF_12/2019</v>
          </cell>
          <cell r="C1708" t="str">
            <v>UN</v>
          </cell>
          <cell r="D1708">
            <v>58.23</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v>651.04999999999995</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v>686.54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v>697.44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v>718.26</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v>726</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v>756.3</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v>595.51</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v>628.30999999999995</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v>623.87</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v>644.69000000000005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v>652.42999999999995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v>682.73</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v>604.26</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v>532.38</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v>656.65</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v>637.96</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v>626.11</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v>580.75</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v>648.28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v>602.74</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v>704.77</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v>659.05</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v>852.48</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v>806.76</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v>1061.8499999999999</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v>1016.13</v>
          </cell>
        </row>
        <row r="1735">
          <cell r="A1735">
            <v>100659</v>
          </cell>
          <cell r="B1735" t="str">
            <v>ALIZAR DE 5X1,5CM PARA PORTA FIXADO COM PREGOS, PADRÃO MÉDIO - FORNECIMENTO E INSTALAÇÃO. AF_12/2019</v>
          </cell>
          <cell r="C1735" t="str">
            <v>M</v>
          </cell>
          <cell r="D1735">
            <v>5.88</v>
          </cell>
        </row>
        <row r="1736">
          <cell r="A1736">
            <v>100660</v>
          </cell>
          <cell r="B1736" t="str">
            <v>ALIZAR DE 5X1,5CM PARA PORTA FIXADO COM PREGOS, PADRÃO POPULAR - FORNECIMENTO E INSTALAÇÃO. AF_12/2019</v>
          </cell>
          <cell r="C1736" t="str">
            <v>M</v>
          </cell>
          <cell r="D1736">
            <v>4.99</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v>619.78</v>
          </cell>
        </row>
        <row r="1738">
          <cell r="A1738">
            <v>100676</v>
          </cell>
          <cell r="B1738" t="str">
            <v>BATENTE PARA PORTA COM BANDEIRA, FIXAÇÃO COM PARAFUSO E BUCHA. AF_12/2019</v>
          </cell>
          <cell r="C1738" t="str">
            <v>UN</v>
          </cell>
          <cell r="D1738">
            <v>127.6</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v>725.13</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v>659.8</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v>659.96</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v>730.32</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v>660.97</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v>798.79</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v>730.22</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v>780.28</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v>711.53</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v>701.62</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v>636.29</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v>801.19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v>732.62</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v>948.9</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v>880.33</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v>1158.27</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v>1089.7</v>
          </cell>
        </row>
        <row r="1756">
          <cell r="A1756">
            <v>100695</v>
          </cell>
          <cell r="B1756" t="str">
            <v>RECOLOCAÇÃO DE FOLHAS DE PORTA DE MADEIRA LEVE OU MÉDIA DE 60CM DE LARGURA, CONSIDERANDO REAPROVEITAMENTO DO MATERIAL. AF_12/2019</v>
          </cell>
          <cell r="C1756" t="str">
            <v>UN</v>
          </cell>
          <cell r="D1756">
            <v>46.42</v>
          </cell>
        </row>
        <row r="1757">
          <cell r="A1757">
            <v>100696</v>
          </cell>
          <cell r="B1757" t="str">
            <v>RECOLOCAÇÃO DE FOLHAS DE PORTA DE MADEIRA LEVE OU MÉDIA DE 70CM DE LARGURA, CONSIDERANDO REAPROVEITAMENTO DO MATERIAL. AF_12/2019</v>
          </cell>
          <cell r="C1757" t="str">
            <v>UN</v>
          </cell>
          <cell r="D1757">
            <v>51.65</v>
          </cell>
        </row>
        <row r="1758">
          <cell r="A1758">
            <v>100697</v>
          </cell>
          <cell r="B1758" t="str">
            <v>RECOLOCAÇÃO DE FOLHAS DE PORTA DE MADEIRA LEVE OU MÉDIA DE 80CM DE LARGURA, CONSIDERANDO REAPROVEITAMENTO DO MATERIAL. AF_12/2019</v>
          </cell>
          <cell r="C1758" t="str">
            <v>UN</v>
          </cell>
          <cell r="D1758">
            <v>56.91</v>
          </cell>
        </row>
        <row r="1759">
          <cell r="A1759">
            <v>100698</v>
          </cell>
          <cell r="B1759" t="str">
            <v>RECOLOCAÇÃO DE FOLHAS DE PORTA DE MADEIRA LEVE OU MÉDIA DE 90CM DE LARGURA, CONSIDERANDO REAPROVEITAMENTO DO MATERIAL. AF_12/2019</v>
          </cell>
          <cell r="C1759" t="str">
            <v>UN</v>
          </cell>
          <cell r="D1759">
            <v>62.16</v>
          </cell>
        </row>
        <row r="1760">
          <cell r="A1760">
            <v>100699</v>
          </cell>
          <cell r="B1760" t="str">
            <v>RECOLOCAÇÃO DE FOLHAS DE PORTA DE MADEIRA PESADA OU SUPERPESADA DE 80CM DE LARGURA, CONSIDERANDO REAPROVEITAMENTO DO MATERIAL. AF_12/2019</v>
          </cell>
          <cell r="C1760" t="str">
            <v>UN</v>
          </cell>
          <cell r="D1760">
            <v>74.290000000000006</v>
          </cell>
        </row>
        <row r="1761">
          <cell r="A1761">
            <v>100700</v>
          </cell>
          <cell r="B1761" t="str">
            <v>PORTA DE MADEIRA COMPENSADA LISA PARA PINTURA, 120X210X3,5CM, 2 FOLHAS, INCLUSO ADUELA 2A, ALIZAR 2A E DOBRADIÇAS. AF_12/2019</v>
          </cell>
          <cell r="C1761" t="str">
            <v>UN</v>
          </cell>
          <cell r="D1761">
            <v>758.43</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v>590.61</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v>701.73</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v>554.5</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v>909.86</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v>1093.8399999999999</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v>655.07000000000005</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v>875.2</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v>1086.75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v>700.74</v>
          </cell>
        </row>
        <row r="1771">
          <cell r="A1771">
            <v>100701</v>
          </cell>
          <cell r="B1771" t="str">
            <v>PORTA DE FERRO, DE ABRIR, TIPO GRADE COM CHAPA, COM GUARNIÇÕES. AF_12/2019</v>
          </cell>
          <cell r="C1771" t="str">
            <v>M2</v>
          </cell>
          <cell r="D1771">
            <v>459.03</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v>588.11</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v>534.04</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v>560.88</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v>704.94</v>
          </cell>
        </row>
        <row r="1776">
          <cell r="A1776">
            <v>94587</v>
          </cell>
          <cell r="B1776" t="str">
            <v>CONTRAMARCO DE AÇO, FIXAÇÃO COM ARGAMASSA - FORNECIMENTO E INSTALAÇÃO. AF_12/2019</v>
          </cell>
          <cell r="C1776" t="str">
            <v>M</v>
          </cell>
          <cell r="D1776">
            <v>40.6</v>
          </cell>
        </row>
        <row r="1777">
          <cell r="A1777">
            <v>94588</v>
          </cell>
          <cell r="B1777" t="str">
            <v>CONTRAMARCO DE AÇO, FIXAÇÃO COM PARAFUSO - FORNECIMENTO E INSTALAÇÃO. AF_12/2019</v>
          </cell>
          <cell r="C1777" t="str">
            <v>M</v>
          </cell>
          <cell r="D1777">
            <v>34.729999999999997</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v>375.41</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v>328.73</v>
          </cell>
        </row>
        <row r="1780">
          <cell r="A1780">
            <v>99841</v>
          </cell>
          <cell r="B1780" t="str">
            <v>GUARDA-CORPO PANORÂMICO COM PERFIS DE ALUMÍNIO E VIDRO LAMINADO 8 MM, FIXADO COM CHUMBADOR MECÂNICO. AF_04/2019_P</v>
          </cell>
          <cell r="C1780" t="str">
            <v>M</v>
          </cell>
          <cell r="D1780">
            <v>801.16</v>
          </cell>
        </row>
        <row r="1781">
          <cell r="A1781">
            <v>99855</v>
          </cell>
          <cell r="B1781" t="str">
            <v>CORRIMÃO SIMPLES, DIÂMETRO EXTERNO = 1 1/2", EM AÇO GALVANIZADO. AF_04/2019_P</v>
          </cell>
          <cell r="C1781" t="str">
            <v>M</v>
          </cell>
          <cell r="D1781">
            <v>68.53</v>
          </cell>
        </row>
        <row r="1782">
          <cell r="A1782">
            <v>99857</v>
          </cell>
          <cell r="B1782" t="str">
            <v>CORRIMÃO SIMPLES, DIÂMETRO EXTERNO = 1 1/2", EM ALUMÍNIO. AF_04/2019_P</v>
          </cell>
          <cell r="C1782" t="str">
            <v>M</v>
          </cell>
          <cell r="D1782">
            <v>63.63</v>
          </cell>
        </row>
        <row r="1783">
          <cell r="A1783">
            <v>99861</v>
          </cell>
          <cell r="B1783" t="str">
            <v>GRADIL EM FERRO FIXADO EM VÃOS DE JANELAS, FORMADO POR BARRAS CHATAS DE 25X4,8 MM. AF_04/2019</v>
          </cell>
          <cell r="C1783" t="str">
            <v>M2</v>
          </cell>
          <cell r="D1783">
            <v>420.79</v>
          </cell>
        </row>
        <row r="1784">
          <cell r="A1784">
            <v>99862</v>
          </cell>
          <cell r="B1784" t="str">
            <v>GRADIL EM ALUMÍNIO FIXADO EM VÃOS DE JANELAS, FORMADO POR TUBOS DE 3/4". AF_04/2019</v>
          </cell>
          <cell r="C1784" t="str">
            <v>M2</v>
          </cell>
          <cell r="D1784">
            <v>422.53</v>
          </cell>
        </row>
        <row r="1785">
          <cell r="A1785">
            <v>73665</v>
          </cell>
          <cell r="B1785" t="str">
            <v>ESCADA TIPO MARINHEIRO EM ACO CA-50 9,52MM INCLUSO PINTURA COM FUNDO ANTICORROSIVO TIPO ZARCAO</v>
          </cell>
          <cell r="C1785" t="str">
            <v>M</v>
          </cell>
          <cell r="D1785">
            <v>64.099999999999994</v>
          </cell>
        </row>
        <row r="1786">
          <cell r="A1786" t="str">
            <v>74194/1</v>
          </cell>
          <cell r="B1786" t="str">
            <v>ESCADA TIPO MARINHEIRO EM TUBO ACO GALVANIZADO 1 1/2" 5 DEGRAUS</v>
          </cell>
          <cell r="C1786" t="str">
            <v>M</v>
          </cell>
          <cell r="D1786">
            <v>244.98</v>
          </cell>
        </row>
        <row r="1787">
          <cell r="A1787">
            <v>90838</v>
          </cell>
          <cell r="B1787" t="str">
            <v>PORTA CORTA-FOGO 90X210X4CM - FORNECIMENTO E INSTALAÇÃO. AF_12/2019</v>
          </cell>
          <cell r="C1787" t="str">
            <v>UN</v>
          </cell>
          <cell r="D1787">
            <v>1027.51</v>
          </cell>
        </row>
        <row r="1788">
          <cell r="A1788">
            <v>91338</v>
          </cell>
          <cell r="B1788" t="str">
            <v>PORTA DE ALUMÍNIO DE ABRIR COM LAMBRI, COM GUARNIÇÃO, FIXAÇÃO COM PARAFUSOS - FORNECIMENTO E INSTALAÇÃO. AF_12/2019</v>
          </cell>
          <cell r="C1788" t="str">
            <v>M2</v>
          </cell>
          <cell r="D1788">
            <v>867.16</v>
          </cell>
        </row>
        <row r="1789">
          <cell r="A1789">
            <v>91341</v>
          </cell>
          <cell r="B1789" t="str">
            <v>PORTA EM ALUMÍNIO DE ABRIR TIPO VENEZIANA COM GUARNIÇÃO, FIXAÇÃO COM PARAFUSOS - FORNECIMENTO E INSTALAÇÃO. AF_12/2019</v>
          </cell>
          <cell r="C1789" t="str">
            <v>M2</v>
          </cell>
          <cell r="D1789">
            <v>627.36</v>
          </cell>
        </row>
        <row r="1790">
          <cell r="A1790">
            <v>94805</v>
          </cell>
          <cell r="B1790" t="str">
            <v>PORTA DE ALUMÍNIO DE ABRIR PARA VIDRO SEM GUARNIÇÃO, 87X210CM, FIXAÇÃO COM PARAFUSOS, INCLUSIVE VIDROS - FORNECIMENTO E INSTALAÇÃO. AF_12/2019</v>
          </cell>
          <cell r="C1790" t="str">
            <v>UN</v>
          </cell>
          <cell r="D1790">
            <v>1025.4100000000001</v>
          </cell>
        </row>
        <row r="1791">
          <cell r="A1791">
            <v>94806</v>
          </cell>
          <cell r="B1791" t="str">
            <v>PORTA EM AÇO DE ABRIR PARA VIDRO SEM GUARNIÇÃO, 87X210CM, FIXAÇÃO COM PARAFUSOS, EXCLUSIVE VIDROS - FORNECIMENTO E INSTALAÇÃO. AF_12/2019</v>
          </cell>
          <cell r="C1791" t="str">
            <v>UN</v>
          </cell>
          <cell r="D1791">
            <v>479.9</v>
          </cell>
        </row>
        <row r="1792">
          <cell r="A1792">
            <v>94807</v>
          </cell>
          <cell r="B1792" t="str">
            <v>PORTA EM AÇO DE ABRIR TIPO VENEZIANA SEM GUARNIÇÃO, 87X210CM, FIXAÇÃO COM PARAFUSOS - FORNECIMENTO E INSTALAÇÃO. AF_12/2019</v>
          </cell>
          <cell r="C1792" t="str">
            <v>UN</v>
          </cell>
          <cell r="D1792">
            <v>578.44000000000005</v>
          </cell>
        </row>
        <row r="1793">
          <cell r="A1793">
            <v>100702</v>
          </cell>
          <cell r="B1793" t="str">
            <v>PORTA DE CORRER DE ALUMÍNIO, COM DUAS FOLHAS PARA VIDRO, INCLUSO VIDRO LISO INCOLOR, FECHADURA E PUXADOR, SEM ALIZAR. AF_12/2019</v>
          </cell>
          <cell r="C1793" t="str">
            <v>M2</v>
          </cell>
          <cell r="D1793">
            <v>529.14</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v>639.79999999999995</v>
          </cell>
        </row>
        <row r="1795">
          <cell r="A1795">
            <v>84886</v>
          </cell>
          <cell r="B1795" t="str">
            <v>MOLA HIDRAULICA DE PISO PARA PORTA DE VIDRO TEMPERADO</v>
          </cell>
          <cell r="C1795" t="str">
            <v>UN</v>
          </cell>
          <cell r="D1795">
            <v>1141.55</v>
          </cell>
        </row>
        <row r="1796">
          <cell r="A1796">
            <v>100703</v>
          </cell>
          <cell r="B1796" t="str">
            <v>PUXADOR CENTRAL PARA ESQUADRIA DE MADEIRA. AF_12/2019</v>
          </cell>
          <cell r="C1796" t="str">
            <v>UN</v>
          </cell>
          <cell r="D1796">
            <v>21.29</v>
          </cell>
        </row>
        <row r="1797">
          <cell r="A1797">
            <v>100704</v>
          </cell>
          <cell r="B1797" t="str">
            <v>PORTA CADEADO ZINCADO OXIDADO PRETO COM CADEADO DE AÇO INOX, LARGURA DE *50* MM. AF_12/2019</v>
          </cell>
          <cell r="C1797" t="str">
            <v>UN</v>
          </cell>
          <cell r="D1797">
            <v>162.74</v>
          </cell>
        </row>
        <row r="1798">
          <cell r="A1798">
            <v>100705</v>
          </cell>
          <cell r="B1798" t="str">
            <v>TARJETA TIPO LIVRE/OCUPADO PARA PORTA DE BANHEIRO. AF_12/2019</v>
          </cell>
          <cell r="C1798" t="str">
            <v>UN</v>
          </cell>
          <cell r="D1798">
            <v>53.18</v>
          </cell>
        </row>
        <row r="1799">
          <cell r="A1799">
            <v>100706</v>
          </cell>
          <cell r="B1799" t="str">
            <v>CREMONA EM LATÃO CROMADO OU POLIDO, COMPLETA. AF_12/2019</v>
          </cell>
          <cell r="C1799" t="str">
            <v>UN</v>
          </cell>
          <cell r="D1799">
            <v>97.52</v>
          </cell>
        </row>
        <row r="1800">
          <cell r="A1800">
            <v>100707</v>
          </cell>
          <cell r="B1800" t="str">
            <v>FECHO DE EMBUTIR TIPO UNHA 22CM. AF_12/2019</v>
          </cell>
          <cell r="C1800" t="str">
            <v>UN</v>
          </cell>
          <cell r="D1800">
            <v>55.46</v>
          </cell>
        </row>
        <row r="1801">
          <cell r="A1801">
            <v>100708</v>
          </cell>
          <cell r="B1801" t="str">
            <v>FECHO DE EMBUTIR TIPO UNHA 40CM. AF_12/2019</v>
          </cell>
          <cell r="C1801" t="str">
            <v>UN</v>
          </cell>
          <cell r="D1801">
            <v>71.64</v>
          </cell>
        </row>
        <row r="1802">
          <cell r="A1802">
            <v>100709</v>
          </cell>
          <cell r="B1802" t="str">
            <v>DOBRADIÇA EM AÇO/FERRO, 3" X 21/2", E=1,9 A 2MM, SEN ANEL, CROMADO OU ZINCADO, TAMPA BOLA, COM PARAFUSOS. AF_12/2019</v>
          </cell>
          <cell r="C1802" t="str">
            <v>UN</v>
          </cell>
          <cell r="D1802">
            <v>36.74</v>
          </cell>
        </row>
        <row r="1803">
          <cell r="A1803">
            <v>100710</v>
          </cell>
          <cell r="B1803" t="str">
            <v>DOBRADIÇA TIPO VAI E VEM EM LATÃO POLIDO 3". AF_12/2019</v>
          </cell>
          <cell r="C1803" t="str">
            <v>UN</v>
          </cell>
          <cell r="D1803">
            <v>89.34</v>
          </cell>
        </row>
        <row r="1804">
          <cell r="A1804">
            <v>72116</v>
          </cell>
          <cell r="B1804" t="str">
            <v>VIDRO LISO COMUM TRANSPARENTE, ESPESSURA 3MM</v>
          </cell>
          <cell r="C1804" t="str">
            <v>M2</v>
          </cell>
          <cell r="D1804">
            <v>107.94</v>
          </cell>
        </row>
        <row r="1805">
          <cell r="A1805">
            <v>72117</v>
          </cell>
          <cell r="B1805" t="str">
            <v>VIDRO LISO COMUM TRANSPARENTE, ESPESSURA 4MM</v>
          </cell>
          <cell r="C1805" t="str">
            <v>M2</v>
          </cell>
          <cell r="D1805">
            <v>138.16</v>
          </cell>
        </row>
        <row r="1806">
          <cell r="A1806">
            <v>72118</v>
          </cell>
          <cell r="B1806" t="str">
            <v>VIDRO TEMPERADO INCOLOR, ESPESSURA 6MM, FORNECIMENTO E INSTALACAO, INCLUSIVE MASSA PARA VEDACAO</v>
          </cell>
          <cell r="C1806" t="str">
            <v>M2</v>
          </cell>
          <cell r="D1806">
            <v>228.3</v>
          </cell>
        </row>
        <row r="1807">
          <cell r="A1807">
            <v>72119</v>
          </cell>
          <cell r="B1807" t="str">
            <v>VIDRO TEMPERADO INCOLOR, ESPESSURA 8MM, FORNECIMENTO E INSTALACAO, INCLUSIVE MASSA PARA VEDACAO</v>
          </cell>
          <cell r="C1807" t="str">
            <v>M2</v>
          </cell>
          <cell r="D1807">
            <v>289.45</v>
          </cell>
        </row>
        <row r="1808">
          <cell r="A1808">
            <v>72120</v>
          </cell>
          <cell r="B1808" t="str">
            <v>VIDRO TEMPERADO INCOLOR, ESPESSURA 10MM, FORNECIMENTO E INSTALACAO, INCLUSIVE MASSA PARA VEDACAO</v>
          </cell>
          <cell r="C1808" t="str">
            <v>M2</v>
          </cell>
          <cell r="D1808">
            <v>367.4</v>
          </cell>
        </row>
        <row r="1809">
          <cell r="A1809">
            <v>72122</v>
          </cell>
          <cell r="B1809" t="str">
            <v>VIDRO FANTASIA TIPO CANELADO, ESPESSURA 4MM</v>
          </cell>
          <cell r="C1809" t="str">
            <v>M2</v>
          </cell>
          <cell r="D1809">
            <v>118.94</v>
          </cell>
        </row>
        <row r="1810">
          <cell r="A1810">
            <v>72123</v>
          </cell>
          <cell r="B1810" t="str">
            <v>VIDRO ARAMADO, ESPESSURA 7MM</v>
          </cell>
          <cell r="C1810" t="str">
            <v>M2</v>
          </cell>
          <cell r="D1810">
            <v>313.42</v>
          </cell>
        </row>
        <row r="1811">
          <cell r="A1811" t="str">
            <v>73838/1</v>
          </cell>
          <cell r="B1811" t="str">
            <v>PORTA DE VIDRO TEMPERADO, 0,9X2,10M, ESPESSURA 10MM, INCLUSIVE ACESSORIOS</v>
          </cell>
          <cell r="C1811" t="str">
            <v>UN</v>
          </cell>
          <cell r="D1811">
            <v>2159.27</v>
          </cell>
        </row>
        <row r="1812">
          <cell r="A1812" t="str">
            <v>74125/1</v>
          </cell>
          <cell r="B1812" t="str">
            <v>ESPELHO CRISTAL ESPESSURA 4MM, COM MOLDURA DE MADEIRA</v>
          </cell>
          <cell r="C1812" t="str">
            <v>M2</v>
          </cell>
          <cell r="D1812">
            <v>409.88</v>
          </cell>
        </row>
        <row r="1813">
          <cell r="A1813" t="str">
            <v>74125/2</v>
          </cell>
          <cell r="B1813" t="str">
            <v>ESPELHO CRISTAL ESPESSURA 4MM, COM MOLDURA EM ALUMINIO E COMPENSADO 6MM PLASTIFICADO COLADO</v>
          </cell>
          <cell r="C1813" t="str">
            <v>M2</v>
          </cell>
          <cell r="D1813">
            <v>442.82</v>
          </cell>
        </row>
        <row r="1814">
          <cell r="A1814">
            <v>84957</v>
          </cell>
          <cell r="B1814" t="str">
            <v>VIDRO LISO COMUM TRANSPARENTE, ESPESSURA 5MM</v>
          </cell>
          <cell r="C1814" t="str">
            <v>M2</v>
          </cell>
          <cell r="D1814">
            <v>166.05</v>
          </cell>
        </row>
        <row r="1815">
          <cell r="A1815">
            <v>84959</v>
          </cell>
          <cell r="B1815" t="str">
            <v>VIDRO LISO COMUM TRANSPARENTE, ESPESSURA 6MM</v>
          </cell>
          <cell r="C1815" t="str">
            <v>M2</v>
          </cell>
          <cell r="D1815">
            <v>193.83</v>
          </cell>
        </row>
        <row r="1816">
          <cell r="A1816">
            <v>85001</v>
          </cell>
          <cell r="B1816" t="str">
            <v>VIDRO LISO FUME, ESPESSURA 4MM</v>
          </cell>
          <cell r="C1816" t="str">
            <v>M2</v>
          </cell>
          <cell r="D1816">
            <v>184.57</v>
          </cell>
        </row>
        <row r="1817">
          <cell r="A1817">
            <v>85002</v>
          </cell>
          <cell r="B1817" t="str">
            <v>VIDRO LISO FUME, ESPESSURA 6MM</v>
          </cell>
          <cell r="C1817" t="str">
            <v>M2</v>
          </cell>
          <cell r="D1817">
            <v>258.66000000000003</v>
          </cell>
        </row>
        <row r="1818">
          <cell r="A1818">
            <v>85004</v>
          </cell>
          <cell r="B1818" t="str">
            <v>VIDRO FANTASIA MARTELADO 4MM</v>
          </cell>
          <cell r="C1818" t="str">
            <v>M2</v>
          </cell>
          <cell r="D1818">
            <v>129.01</v>
          </cell>
        </row>
        <row r="1819">
          <cell r="A1819">
            <v>85005</v>
          </cell>
          <cell r="B1819" t="str">
            <v>ESPELHO CRISTAL, ESPESSURA 4MM, COM PARAFUSOS DE FIXACAO, SEM MOLDURA</v>
          </cell>
          <cell r="C1819" t="str">
            <v>M2</v>
          </cell>
          <cell r="D1819">
            <v>375.38</v>
          </cell>
        </row>
        <row r="1820">
          <cell r="A1820">
            <v>94569</v>
          </cell>
          <cell r="B1820" t="str">
            <v>JANELA DE ALUMÍNIO TIPO MAXIM-AR, COM VIDROS, BATENTE E FERRAGENS. EXCLUSIVE ALIZAR, ACABAMENTO E CONTRAMARCO. FORNECIMENTO E INSTALAÇÃO. AF_12/2019</v>
          </cell>
          <cell r="C1820" t="str">
            <v>M2</v>
          </cell>
          <cell r="D1820">
            <v>421.29</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v>262.54000000000002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v>393.2</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v>304.18</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v>445.6</v>
          </cell>
        </row>
        <row r="1825">
          <cell r="A1825">
            <v>100674</v>
          </cell>
          <cell r="B1825" t="str">
            <v>JANELA FIXA DE ALUMÍNIO PARA VIDRO, COM VIDRO, BATENTE E FERRAGENS. EXCLUSIVE ACABAMENTO, ALIZAR E CONTRAMARCO. FORNECIMENTO E INSTALAÇÃO. AF_12/2019</v>
          </cell>
          <cell r="C1825" t="str">
            <v>M2</v>
          </cell>
          <cell r="D1825">
            <v>289.08999999999997</v>
          </cell>
        </row>
        <row r="1826">
          <cell r="A1826">
            <v>101096</v>
          </cell>
          <cell r="B1826" t="str">
            <v>TUBULÃO A CÉU ABERTO, DIÂMETRO DO FUSTE DE 70CM, ESCAVAÇÃO MANUAL, SEM ALARGAMENTO DE BASE, CONCRETO FEITO EM OBRA E LANÇADO COM JERICA. AF_05/2020</v>
          </cell>
          <cell r="C1826" t="str">
            <v>M3</v>
          </cell>
          <cell r="D1826">
            <v>859.63</v>
          </cell>
        </row>
        <row r="1827">
          <cell r="A1827">
            <v>101097</v>
          </cell>
          <cell r="B1827" t="str">
            <v>TUBULÃO A CÉU ABERTO, DIÂMETRO DO FUSTE DE 80CM, ESCAVAÇÃO MANUAL, SEM ALARGAMENTO DE BASE, CONCRETO FEITO EM OBRA E LANÇADO COM JERICA. AF_05/2020</v>
          </cell>
          <cell r="C1827" t="str">
            <v>M3</v>
          </cell>
          <cell r="D1827">
            <v>814.41</v>
          </cell>
        </row>
        <row r="1828">
          <cell r="A1828">
            <v>101098</v>
          </cell>
          <cell r="B1828" t="str">
            <v>TUBULÃO A CÉU ABERTO, DIÂMETRO DO FUSTE DE 100CM, ESCAVAÇÃO MANUAL, SEM ALARGAMENTO DE BASE, CONCRETO FEITO EM OBRA E LANÇADO COM JERICA. AF_05/2020</v>
          </cell>
          <cell r="C1828" t="str">
            <v>M3</v>
          </cell>
          <cell r="D1828">
            <v>753.91</v>
          </cell>
        </row>
        <row r="1829">
          <cell r="A1829">
            <v>101099</v>
          </cell>
          <cell r="B1829" t="str">
            <v>TUBULÃO A CÉU ABERTO, DIÂMETRO DO FUSTE DE 120CM, ESCAVAÇÃO MANUAL, SEM ALARGAMENTO DE BASE, CONCRETO FEITO EM OBRA E LANÇADO COM JERICA. AF_05/2020</v>
          </cell>
          <cell r="C1829" t="str">
            <v>M3</v>
          </cell>
          <cell r="D1829">
            <v>690.98</v>
          </cell>
        </row>
        <row r="1830">
          <cell r="A1830">
            <v>101100</v>
          </cell>
          <cell r="B1830" t="str">
            <v>TUBULÃO A CÉU ABERTO, DIÂMETRO DO FUSTE DE 70CM, ESCAVAÇÃO MECÂNICA, SEM ALARGAMENTO DE BASE, CONCRETO FEITO EM OBRA E LANÇADO COM JERICA. AF_05/2020</v>
          </cell>
          <cell r="C1830" t="str">
            <v>M3</v>
          </cell>
          <cell r="D1830">
            <v>622.37</v>
          </cell>
        </row>
        <row r="1831">
          <cell r="A1831">
            <v>101101</v>
          </cell>
          <cell r="B1831" t="str">
            <v>TUBULÃO A CÉU ABERTO, DIÂMETRO DO FUSTE DE 80CM, ESCAVAÇÃO MECÂNICA, SEM ALARGAMENTO DE BASE, CONCRETO FEITO EM OBRA E LANÇADO COM JERICA. AF_05/2020</v>
          </cell>
          <cell r="C1831" t="str">
            <v>M3</v>
          </cell>
          <cell r="D1831">
            <v>608.82000000000005</v>
          </cell>
        </row>
        <row r="1832">
          <cell r="A1832">
            <v>101102</v>
          </cell>
          <cell r="B1832" t="str">
            <v>TUBULÃO A CÉU ABERTO, DIÂMETRO DO FUSTE DE 100CM, ESCAVAÇÃO MECÂNICA, SEM ALARGAMENTO DE BASE, CONCRETO FEITO EM OBRA E LANÇADO COM JERICA. AF_05/2020</v>
          </cell>
          <cell r="C1832" t="str">
            <v>M3</v>
          </cell>
          <cell r="D1832">
            <v>591.9</v>
          </cell>
        </row>
        <row r="1833">
          <cell r="A1833">
            <v>101103</v>
          </cell>
          <cell r="B1833" t="str">
            <v>TUBULÃO A CÉU ABERTO, DIÂMETRO DO FUSTE DE 120CM, ESCAVAÇÃO MECÂNICA, SEM ALARGAMENTO DE BASE, CONCRETO FEITO EM OBRA E LANÇADO COM JERICA. AF_05/2020</v>
          </cell>
          <cell r="C1833" t="str">
            <v>M3</v>
          </cell>
          <cell r="D1833">
            <v>557.22</v>
          </cell>
        </row>
        <row r="1834">
          <cell r="A1834">
            <v>101104</v>
          </cell>
          <cell r="B1834" t="str">
            <v>TUBULÃO A CÉU ABERTO, DIÂMETRO DO FUSTE DE 70CM, ESCAVAÇÃO MANUAL, SEM ALARGAMENTO DE BASE, CONCRETO USINADO E LANÇADO COM BOMBA OU DIRETAMENTE DO CAMINHÃO. AF_05/2020</v>
          </cell>
          <cell r="C1834" t="str">
            <v>M3</v>
          </cell>
          <cell r="D1834">
            <v>926.11</v>
          </cell>
        </row>
        <row r="1835">
          <cell r="A1835">
            <v>101105</v>
          </cell>
          <cell r="B1835" t="str">
            <v>TUBULÃO A CÉU ABERTO, DIÂMETRO DO FUSTE DE 80CM, ESCAVAÇÃO MANUAL, SEM ALARGAMENTO DE BASE, CONCRETO USINADO E LANÇADO COM BOMBA OU DIRETAMENTE DO CAMINHÃO. AF_05/2020</v>
          </cell>
          <cell r="C1835" t="str">
            <v>M3</v>
          </cell>
          <cell r="D1835">
            <v>879.95</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v>818.39</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v>753.57</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v>684.63</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v>670.35</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v>652.86</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v>616.78</v>
          </cell>
        </row>
        <row r="1842">
          <cell r="A1842">
            <v>101112</v>
          </cell>
          <cell r="B1842" t="str">
            <v>ALARGAMENTO DE BASE DE TUBULÃO A CÉU ABERTO, ESCAVAÇÃO MANUAL, CONCRETO FEITO EM OBRA E LANÇADO COM JERICA. AF_05/2020</v>
          </cell>
          <cell r="C1842" t="str">
            <v>M3</v>
          </cell>
          <cell r="D1842">
            <v>610.62</v>
          </cell>
        </row>
        <row r="1843">
          <cell r="A1843">
            <v>101113</v>
          </cell>
          <cell r="B1843" t="str">
            <v>ALARGAMENTO DE BASE DE TUBULÃO A CÉU ABERTO, ESCAVAÇÃO MANUAL, CONCRETO USINADO E LANÇADO COM BOMBA OU DIRETAMENTE DO CAMINHÃO. AF_05/2020</v>
          </cell>
          <cell r="C1843" t="str">
            <v>M3</v>
          </cell>
          <cell r="D1843">
            <v>681.52</v>
          </cell>
        </row>
        <row r="1844">
          <cell r="A1844">
            <v>95601</v>
          </cell>
          <cell r="B1844" t="str">
            <v>ARRASAMENTO MECANICO DE ESTACA DE CONCRETO ARMADO, DIAMETROS DE ATÉ 40 CM. AF_11/2016</v>
          </cell>
          <cell r="C1844" t="str">
            <v>UN</v>
          </cell>
          <cell r="D1844">
            <v>14.06</v>
          </cell>
        </row>
        <row r="1845">
          <cell r="A1845">
            <v>95602</v>
          </cell>
          <cell r="B1845" t="str">
            <v>ARRASAMENTO MECANICO DE ESTACA DE CONCRETO ARMADO, DIAMETROS DE 41 CM A 60 CM. AF_11/2016</v>
          </cell>
          <cell r="C1845" t="str">
            <v>UN</v>
          </cell>
          <cell r="D1845">
            <v>18.059999999999999</v>
          </cell>
        </row>
        <row r="1846">
          <cell r="A1846">
            <v>95603</v>
          </cell>
          <cell r="B1846" t="str">
            <v>ARRASAMENTO MECANICO DE ESTACA DE CONCRETO ARMADO, DIAMETROS DE 61 CM A 80 CM. AF_11/2016</v>
          </cell>
          <cell r="C1846" t="str">
            <v>UN</v>
          </cell>
          <cell r="D1846">
            <v>23.7</v>
          </cell>
        </row>
        <row r="1847">
          <cell r="A1847">
            <v>95604</v>
          </cell>
          <cell r="B1847" t="str">
            <v>ARRASAMENTO MECANICO DE ESTACA DE CONCRETO ARMADO, DIAMETROS DE 81 CM A 100 CM. AF_11/2016</v>
          </cell>
          <cell r="C1847" t="str">
            <v>UN</v>
          </cell>
          <cell r="D1847">
            <v>31.22</v>
          </cell>
        </row>
        <row r="1848">
          <cell r="A1848">
            <v>95605</v>
          </cell>
          <cell r="B1848" t="str">
            <v>ARRASAMENTO MECANICO DE ESTACA DE CONCRETO ARMADO, DIAMETROS DE 101 CM A 150 CM. AF_11/2016</v>
          </cell>
          <cell r="C1848" t="str">
            <v>UN</v>
          </cell>
          <cell r="D1848">
            <v>48.95</v>
          </cell>
        </row>
        <row r="1849">
          <cell r="A1849">
            <v>95607</v>
          </cell>
          <cell r="B1849" t="str">
            <v>ARRASAMENTO DE ESTACA METÁLICA, PERFIL LAMINADO TIPO I FAMÍLIA 250. AF_11/2016</v>
          </cell>
          <cell r="C1849" t="str">
            <v>UN</v>
          </cell>
          <cell r="D1849">
            <v>5.71</v>
          </cell>
        </row>
        <row r="1850">
          <cell r="A1850">
            <v>95608</v>
          </cell>
          <cell r="B1850" t="str">
            <v>ARRASAMENTO DE ESTACA METÁLICA, PERFIL LAMINADO TIPO H FAMÍLIA 250. AF_11/2016</v>
          </cell>
          <cell r="C1850" t="str">
            <v>UN</v>
          </cell>
          <cell r="D1850">
            <v>6.58</v>
          </cell>
        </row>
        <row r="1851">
          <cell r="A1851">
            <v>95609</v>
          </cell>
          <cell r="B1851" t="str">
            <v>ARRASAMENTO DE ESTACA METÁLICA, PERFIL LAMINADO TIPO H FAMÍLIA 310. AF_11/2016</v>
          </cell>
          <cell r="C1851" t="str">
            <v>UN</v>
          </cell>
          <cell r="D1851">
            <v>7.35</v>
          </cell>
        </row>
        <row r="1852">
          <cell r="A1852">
            <v>100651</v>
          </cell>
          <cell r="B1852" t="str">
            <v>ESTACA HÉLICE CONTÍNUA, DIÂMETRO DE 30 CM, INCLUSO CONCRETO FCK=20MPA E ARMADURA MÍNIMA (EXCLUSIVE MOBILIZAÇÃO E DESMOBILIZAÇÃO). AF_12/2019</v>
          </cell>
          <cell r="C1852" t="str">
            <v>M</v>
          </cell>
          <cell r="D1852">
            <v>93.33</v>
          </cell>
        </row>
        <row r="1853">
          <cell r="A1853">
            <v>100652</v>
          </cell>
          <cell r="B1853" t="str">
            <v>ESTACA HÉLICE CONTÍNUA , DIÂMETRO DE 50 CM, INCLUSO CONCRETO FCK=20MPA E ARMADURA MÍNIMA (EXCLUSIVE MOBILIZAÇÃO E DESMOBILIZAÇÃO). AF_12/2019</v>
          </cell>
          <cell r="C1853" t="str">
            <v>M</v>
          </cell>
          <cell r="D1853">
            <v>183.68</v>
          </cell>
        </row>
        <row r="1854">
          <cell r="A1854">
            <v>100653</v>
          </cell>
          <cell r="B1854" t="str">
            <v>ESTACA HÉLICE CONTÍNUA, DIÂMETRO DE 70 CM, INCLUSO CONCRETO FCK=20MPA E ARMADURA MÍNIMA (EXCLUSIVE MOBILIZAÇÃO E DESMOBILIZAÇÃO). AF_12/2019</v>
          </cell>
          <cell r="C1854" t="str">
            <v>M</v>
          </cell>
          <cell r="D1854">
            <v>310.19</v>
          </cell>
        </row>
        <row r="1855">
          <cell r="A1855">
            <v>100654</v>
          </cell>
          <cell r="B1855" t="str">
            <v>ESTACA HÉLICE CONTÍNUA, DIÂMETRO DE 80 CM, INCLUSO CONCRETO FCK=20MPA E ARMADURA MÍNIMA (EXCLUSIVE MOBILIZAÇÃO E DESMOBILIZAÇÃO). AF_12/2019.</v>
          </cell>
          <cell r="C1855" t="str">
            <v>M</v>
          </cell>
          <cell r="D1855">
            <v>415.69</v>
          </cell>
        </row>
        <row r="1856">
          <cell r="A1856">
            <v>100655</v>
          </cell>
          <cell r="B1856" t="str">
            <v>ESTACA HÉLICE CONTÍNUA, DIÂMETRO DE 90 CM, INCLUSO CONCRETO FCK=20MPA E ARMADURA MÍNIMA (EXCLUSIVE MOBILIZAÇÃO E DESMOBILIZAÇÃO). AF_12/2019.</v>
          </cell>
          <cell r="C1856" t="str">
            <v>M</v>
          </cell>
          <cell r="D1856">
            <v>483.28</v>
          </cell>
        </row>
        <row r="1857">
          <cell r="A1857">
            <v>100656</v>
          </cell>
          <cell r="B1857" t="str">
            <v>ESTACA PRÉ-MOLDADA DE CONCRETO, SEÇÃO QUADRADA, CAPACIDADE DE 25 TONELADAS, INCLUSO EMENDA (EXCLUSIVE MOBILIZAÇÃO E DESMOBILIZAÇÃO). AF_12/2019</v>
          </cell>
          <cell r="C1857" t="str">
            <v>M</v>
          </cell>
          <cell r="D1857">
            <v>66.94</v>
          </cell>
        </row>
        <row r="1858">
          <cell r="A1858">
            <v>100657</v>
          </cell>
          <cell r="B1858" t="str">
            <v>ESTACA PRÉ-MOLDADA DE CONCRETO SEÇÃO QUADRADA, CAPACIDADE DE 50 TONELADAS, INCLUSO EMENDA (EXCLUSIVE MOBILIZAÇÃO E DESMOBILIZAÇÃO). AF_12/2019</v>
          </cell>
          <cell r="C1858" t="str">
            <v>M</v>
          </cell>
          <cell r="D1858">
            <v>86.21</v>
          </cell>
        </row>
        <row r="1859">
          <cell r="A1859">
            <v>100658</v>
          </cell>
          <cell r="B1859" t="str">
            <v>ESTACA PRÉ-MOLDADA DE CONCRETO CENTRIFUGADO, SEÇÃO CIRCULAR, CAPACIDADE DE 100 TONELADAS, INCLUSO EMENDA (EXCLUSIVE MOBILIZAÇÃO E DESMOBILIZAÇÃO). AF_12/2019</v>
          </cell>
          <cell r="C1859" t="str">
            <v>M</v>
          </cell>
          <cell r="D1859">
            <v>199.28</v>
          </cell>
        </row>
        <row r="1860">
          <cell r="A1860">
            <v>100889</v>
          </cell>
          <cell r="B1860" t="str">
            <v>ESTACA METÁLICA PARA FUNDAÇÃO, UTILIZANDO PERFIL LAMINADO HP250X62 (EXCLUSIVE MOBILIZAÇÃO E DESMOBILIZAÇÃO). AF_01/2020</v>
          </cell>
          <cell r="C1860" t="str">
            <v>KG</v>
          </cell>
          <cell r="D1860">
            <v>7.6</v>
          </cell>
        </row>
        <row r="1861">
          <cell r="A1861">
            <v>100890</v>
          </cell>
          <cell r="B1861" t="str">
            <v>ESTACA METÁLICA PARA FUNDAÇÃO, UTILIZANDO PERFIL LAMINADO HP310X79 (EXCLUSIVE MOBILIZAÇÃO E DESMOBILIZAÇÃO). AF_01/2020</v>
          </cell>
          <cell r="C1861" t="str">
            <v>KG</v>
          </cell>
          <cell r="D1861">
            <v>7.49</v>
          </cell>
        </row>
        <row r="1862">
          <cell r="A1862">
            <v>100892</v>
          </cell>
          <cell r="B1862" t="str">
            <v>ESTACA METÁLICA PARA CONTENÇÃO, UTILIZANDO PERFIL LAMINADO W250X32,7 (EXCLUSIVE MOBILIZAÇÃO E DESMOBILIZAÇÃO). AF_01/2020</v>
          </cell>
          <cell r="C1862" t="str">
            <v>KG</v>
          </cell>
          <cell r="D1862">
            <v>7.28</v>
          </cell>
        </row>
        <row r="1863">
          <cell r="A1863">
            <v>100893</v>
          </cell>
          <cell r="B1863" t="str">
            <v>ESTACA METÁLICA PARA CONTENÇÃO, UTILIZANDO PERFIL LAMINADO W250X38,5 (EXCLUSIVE MOBILIZAÇÃO E DESMOBILIZAÇÃO). AF_01/2020</v>
          </cell>
          <cell r="C1863" t="str">
            <v>KG</v>
          </cell>
          <cell r="D1863">
            <v>7.17</v>
          </cell>
        </row>
        <row r="1864">
          <cell r="A1864">
            <v>100894</v>
          </cell>
          <cell r="B1864" t="str">
            <v>ESTACA METÁLICA PARA CONTENÇÃO, UTILIZANDO PERFIL LAMINADO W250X44,8 (EXCLUSIVE MOBILIZAÇÃO E DESMOBILIZAÇÃO). AF_01/2020</v>
          </cell>
          <cell r="C1864" t="str">
            <v>KG</v>
          </cell>
          <cell r="D1864">
            <v>7.07</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v>42.03</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v>84.43</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v>166.56</v>
          </cell>
        </row>
        <row r="1868">
          <cell r="A1868">
            <v>100899</v>
          </cell>
          <cell r="B1868" t="str">
            <v>ESTACA ESCAVADA MECANICAMENTE, SEM FLUIDO ESTABILIZANTE, COM 25CM DE DIÂMETRO, CONCRETO LANÇADO MANUALMENTE (EXCLUSIVE MOBILIZAÇÃO E DESMOBILIZAÇÃO). AF_01/2020</v>
          </cell>
          <cell r="C1868" t="str">
            <v>M</v>
          </cell>
          <cell r="D1868">
            <v>59.81</v>
          </cell>
        </row>
        <row r="1869">
          <cell r="A1869">
            <v>100900</v>
          </cell>
          <cell r="B1869" t="str">
            <v>ESTACA ESCAVADA MECANICAMENTE, SEM FLUIDO ESTABILIZANTE, COM 60CM DE DIÂMETRO, CONCRETO LANÇADO POR BOMBA LANÇA (EXCLUSIVE MOBILIZAÇÃO E DESMOBILIZAÇÃO). AF_01/2020</v>
          </cell>
          <cell r="C1869" t="str">
            <v>M</v>
          </cell>
          <cell r="D1869">
            <v>192.63</v>
          </cell>
        </row>
        <row r="1870">
          <cell r="A1870">
            <v>100929</v>
          </cell>
          <cell r="B1870" t="str">
            <v>ESTACA RAÍZ, DIÂMETRO DE 20CM, SEM PRESENÇA DE ROCHA (EXCLUSIVE MOBILIZAÇÃO E DESMOBILIZAÇÃO). AF_03/2020</v>
          </cell>
          <cell r="C1870" t="str">
            <v>M</v>
          </cell>
          <cell r="D1870">
            <v>169.45</v>
          </cell>
        </row>
        <row r="1871">
          <cell r="A1871">
            <v>100930</v>
          </cell>
          <cell r="B1871" t="str">
            <v>ESTACA RAÍZ, DIÂMETRO DE 31CM, SEM PRESENÇA DE ROCHA (EXCLUSIVE MOBILIZAÇÃO E DESMOBILIZAÇÃO). AF_03/2020</v>
          </cell>
          <cell r="C1871" t="str">
            <v>M</v>
          </cell>
          <cell r="D1871">
            <v>250.64</v>
          </cell>
        </row>
        <row r="1872">
          <cell r="A1872">
            <v>100931</v>
          </cell>
          <cell r="B1872" t="str">
            <v>ESTACA RAÍZ, DIÂMETRO DE 40CM, SEM PRESENÇA DE ROCHA (EXCLUSIVE MOBILIZAÇÃO E DESMOBILIZAÇÃO). AF_03/2020</v>
          </cell>
          <cell r="C1872" t="str">
            <v>M</v>
          </cell>
          <cell r="D1872">
            <v>320.27</v>
          </cell>
        </row>
        <row r="1873">
          <cell r="A1873">
            <v>100932</v>
          </cell>
          <cell r="B1873" t="str">
            <v>ESTACA RAÍZ, DIÂMETRO DE 45CM, SEM PRESENÇA DE ROCHA (EXCLUSIVE MOBILIZAÇÃO E DESMOBILIZAÇÃO). AF_03/2020</v>
          </cell>
          <cell r="C1873" t="str">
            <v>M</v>
          </cell>
          <cell r="D1873">
            <v>428.59</v>
          </cell>
        </row>
        <row r="1874">
          <cell r="A1874">
            <v>100933</v>
          </cell>
          <cell r="B1874" t="str">
            <v>ESTACA RAÍZ, DIÂMETRO DE 20CM, PERFURADA EM ROCHA (EXCLUSIVE MOBILIZAÇÃO E DESMOBILIZAÇÃO). AF_03/2020</v>
          </cell>
          <cell r="C1874" t="str">
            <v>M</v>
          </cell>
          <cell r="D1874">
            <v>216.54</v>
          </cell>
        </row>
        <row r="1875">
          <cell r="A1875">
            <v>100934</v>
          </cell>
          <cell r="B1875" t="str">
            <v>ESTACA RAÍZ, DIÂMETRO DE 31CM, PERFURADA EM ROCHA (EXCLUSIVE MOBILIZAÇÃO E DESMOBILIZAÇÃO). AF_03/2020</v>
          </cell>
          <cell r="C1875" t="str">
            <v>M</v>
          </cell>
          <cell r="D1875">
            <v>309.51</v>
          </cell>
        </row>
        <row r="1876">
          <cell r="A1876">
            <v>100935</v>
          </cell>
          <cell r="B1876" t="str">
            <v>ESTACA RAÍZ, DIÂMETRO DE 40CM, PERFURADA EM ROCHA (EXCLUSIVE MOBILIZAÇÃO E DESMOBILIZAÇÃO). AF_03/2020</v>
          </cell>
          <cell r="C1876" t="str">
            <v>M</v>
          </cell>
          <cell r="D1876">
            <v>394.29</v>
          </cell>
        </row>
        <row r="1877">
          <cell r="A1877">
            <v>100936</v>
          </cell>
          <cell r="B1877" t="str">
            <v>ESTACA RAÍZ, DIÂMETRO DE 45CM, PERFURADA EM ROCHA (EXCLUSIVE MOBILIZAÇÃO E DESMOBILIZAÇÃO). AF_03/2020</v>
          </cell>
          <cell r="C1877" t="str">
            <v>M</v>
          </cell>
          <cell r="D1877">
            <v>514.94000000000005</v>
          </cell>
        </row>
        <row r="1878">
          <cell r="A1878">
            <v>101173</v>
          </cell>
          <cell r="B1878" t="str">
            <v>ESTACA BROCA DE CONCRETO, DIÂMETRO DE 20CM, ESCAVAÇÃO MANUAL COM TRADO CONCHA, COM ARMADURA DE ARRANQUE. AF_05/2020</v>
          </cell>
          <cell r="C1878" t="str">
            <v>M</v>
          </cell>
          <cell r="D1878">
            <v>42.06</v>
          </cell>
        </row>
        <row r="1879">
          <cell r="A1879">
            <v>101174</v>
          </cell>
          <cell r="B1879" t="str">
            <v>ESTACA BROCA DE CONCRETO, DIÂMETRO DE 25CM, ESCAVAÇÃO MANUAL COM TRADO CONCHA, COM ARMADURA DE ARRANQUE. AF_05/2020</v>
          </cell>
          <cell r="C1879" t="str">
            <v>M</v>
          </cell>
          <cell r="D1879">
            <v>59.32</v>
          </cell>
        </row>
        <row r="1880">
          <cell r="A1880">
            <v>101175</v>
          </cell>
          <cell r="B1880" t="str">
            <v>ESTACA BROCA DE CONCRETO, DIÂMETRO DE 30CM, ESCAVAÇÃO MANUAL COM TRADO CONCHA, COM ARMADURA DE ARRANQUE. AF_05/2020</v>
          </cell>
          <cell r="C1880" t="str">
            <v>M</v>
          </cell>
          <cell r="D1880">
            <v>80.97</v>
          </cell>
        </row>
        <row r="1881">
          <cell r="A1881">
            <v>101176</v>
          </cell>
          <cell r="B1881" t="str">
            <v>ESTACA BROCA DE CONCRETO, DIÂMETRO DE 30CM, ESCAVAÇÃO MANUAL COM TRADO CONCHA, INTEIRAMENTE ARMADA. AF_05/2020</v>
          </cell>
          <cell r="C1881" t="str">
            <v>M</v>
          </cell>
          <cell r="D1881">
            <v>103.6</v>
          </cell>
        </row>
        <row r="1882">
          <cell r="A1882">
            <v>95240</v>
          </cell>
          <cell r="B1882" t="str">
            <v>LASTRO DE CONCRETO MAGRO, APLICADO EM PISOS OU RADIERS, ESPESSURA DE 3 CM. AF_07/2016</v>
          </cell>
          <cell r="C1882" t="str">
            <v>M2</v>
          </cell>
          <cell r="D1882">
            <v>12.71</v>
          </cell>
        </row>
        <row r="1883">
          <cell r="A1883">
            <v>95241</v>
          </cell>
          <cell r="B1883" t="str">
            <v>LASTRO DE CONCRETO MAGRO, APLICADO EM PISOS OU RADIERS, ESPESSURA DE 5 CM. AF_07/2016</v>
          </cell>
          <cell r="C1883" t="str">
            <v>M2</v>
          </cell>
          <cell r="D1883">
            <v>21.18</v>
          </cell>
        </row>
        <row r="1884">
          <cell r="A1884">
            <v>96616</v>
          </cell>
          <cell r="B1884" t="str">
            <v>LASTRO DE CONCRETO MAGRO, APLICADO EM BLOCOS DE COROAMENTO OU SAPATAS. AF_08/2017</v>
          </cell>
          <cell r="C1884" t="str">
            <v>M3</v>
          </cell>
          <cell r="D1884">
            <v>442.79</v>
          </cell>
        </row>
        <row r="1885">
          <cell r="A1885">
            <v>96617</v>
          </cell>
          <cell r="B1885" t="str">
            <v>LASTRO DE CONCRETO MAGRO, APLICADO EM BLOCOS DE COROAMENTO OU SAPATAS, ESPESSURA DE 3 CM. AF_08/2017</v>
          </cell>
          <cell r="C1885" t="str">
            <v>M2</v>
          </cell>
          <cell r="D1885">
            <v>13.27</v>
          </cell>
        </row>
        <row r="1886">
          <cell r="A1886">
            <v>96619</v>
          </cell>
          <cell r="B1886" t="str">
            <v>LASTRO DE CONCRETO MAGRO, APLICADO EM BLOCOS DE COROAMENTO OU SAPATAS, ESPESSURA DE 5 CM. AF_08/2017</v>
          </cell>
          <cell r="C1886" t="str">
            <v>M2</v>
          </cell>
          <cell r="D1886">
            <v>22.12</v>
          </cell>
        </row>
        <row r="1887">
          <cell r="A1887">
            <v>96620</v>
          </cell>
          <cell r="B1887" t="str">
            <v>LASTRO DE CONCRETO MAGRO, APLICADO EM PISOS OU RADIERS. AF_08/2017</v>
          </cell>
          <cell r="C1887" t="str">
            <v>M3</v>
          </cell>
          <cell r="D1887">
            <v>424.08</v>
          </cell>
        </row>
        <row r="1888">
          <cell r="A1888">
            <v>96621</v>
          </cell>
          <cell r="B1888" t="str">
            <v>LASTRO COM MATERIAL GRANULAR, APLICAÇÃO EM BLOCOS DE COROAMENTO, ESPESSURA DE *5 CM*. AF_08/2017</v>
          </cell>
          <cell r="C1888" t="str">
            <v>M3</v>
          </cell>
          <cell r="D1888">
            <v>176.01</v>
          </cell>
        </row>
        <row r="1889">
          <cell r="A1889">
            <v>96622</v>
          </cell>
          <cell r="B1889" t="str">
            <v>LASTRO COM MATERIAL GRANULAR, APLICAÇÃO EM PISOS OU RADIERS, ESPESSURA DE *5 CM*. AF_08/2017</v>
          </cell>
          <cell r="C1889" t="str">
            <v>M3</v>
          </cell>
          <cell r="D1889">
            <v>120.98</v>
          </cell>
        </row>
        <row r="1890">
          <cell r="A1890">
            <v>96623</v>
          </cell>
          <cell r="B1890" t="str">
            <v>LASTRO COM MATERIAL GRANULAR, APLICADO EM BLOCOS DE COROAMENTO, ESPESSURA DE *10 CM*. AF_08/2017</v>
          </cell>
          <cell r="C1890" t="str">
            <v>M3</v>
          </cell>
          <cell r="D1890">
            <v>163.21</v>
          </cell>
        </row>
        <row r="1891">
          <cell r="A1891">
            <v>96624</v>
          </cell>
          <cell r="B1891" t="str">
            <v>LASTRO COM MATERIAL GRANULAR (PEDRA BRITADA N.2), APLICADO EM PISOS OU RADIERS, ESPESSURA DE *10 CM*. AF_08/2017</v>
          </cell>
          <cell r="C1891" t="str">
            <v>M3</v>
          </cell>
          <cell r="D1891">
            <v>116.47</v>
          </cell>
        </row>
        <row r="1892">
          <cell r="A1892">
            <v>97082</v>
          </cell>
          <cell r="B1892" t="str">
            <v>ESCAVAÇÃO MANUAL DE VIGA DE BORDA PARA RADIER. AF_09/2017</v>
          </cell>
          <cell r="C1892" t="str">
            <v>M3</v>
          </cell>
          <cell r="D1892">
            <v>46.2</v>
          </cell>
        </row>
        <row r="1893">
          <cell r="A1893">
            <v>97083</v>
          </cell>
          <cell r="B1893" t="str">
            <v>COMPACTAÇÃO MECÂNICA DE SOLO PARA EXECUÇÃO DE RADIER, COM COMPACTADOR DE SOLOS A PERCUSSÃO. AF_09/2017</v>
          </cell>
          <cell r="C1893" t="str">
            <v>M2</v>
          </cell>
          <cell r="D1893">
            <v>2.4500000000000002</v>
          </cell>
        </row>
        <row r="1894">
          <cell r="A1894">
            <v>97084</v>
          </cell>
          <cell r="B1894" t="str">
            <v>COMPACTAÇÃO MECÂNICA DE SOLO PARA EXECUÇÃO DE RADIER, COM COMPACTADOR DE SOLOS TIPO PLACA VIBRATÓRIA. AF_09/2017</v>
          </cell>
          <cell r="C1894" t="str">
            <v>M2</v>
          </cell>
          <cell r="D1894">
            <v>0.5</v>
          </cell>
        </row>
        <row r="1895">
          <cell r="A1895">
            <v>97086</v>
          </cell>
          <cell r="B1895" t="str">
            <v>FABRICAÇÃO, MONTAGEM E DESMONTAGEM DE FORMA PARA RADIER, EM MADEIRA SERRADA, 4 UTILIZAÇÕES. AF_09/2017</v>
          </cell>
          <cell r="C1895" t="str">
            <v>M2</v>
          </cell>
          <cell r="D1895">
            <v>81.93</v>
          </cell>
        </row>
        <row r="1896">
          <cell r="A1896">
            <v>97094</v>
          </cell>
          <cell r="B1896" t="str">
            <v>CONCRETAGEM DE RADIER, PISO OU LAJE SOBRE SOLO, FCK 30 MPA, PARA ESPESSURA DE 10 CM - LANÇAMENTO, ADENSAMENTO E ACABAMENTO. AF_09/2017</v>
          </cell>
          <cell r="C1896" t="str">
            <v>M3</v>
          </cell>
          <cell r="D1896">
            <v>515.91999999999996</v>
          </cell>
        </row>
        <row r="1897">
          <cell r="A1897">
            <v>97095</v>
          </cell>
          <cell r="B1897" t="str">
            <v>CONCRETAGEM DE RADIER, PISO OU LAJE SOBRE SOLO, FCK 30 MPA, PARA ESPESSURA DE 15 CM - LANÇAMENTO, ADENSAMENTO E ACABAMENTO. AF_09/2017</v>
          </cell>
          <cell r="C1897" t="str">
            <v>M3</v>
          </cell>
          <cell r="D1897">
            <v>484.58</v>
          </cell>
        </row>
        <row r="1898">
          <cell r="A1898">
            <v>97096</v>
          </cell>
          <cell r="B1898" t="str">
            <v>CONCRETAGEM DE RADIER, PISO OU LAJE SOBRE SOLO, FCK 30 MPA, PARA ESPESSURA DE 20 CM - LANÇAMENTO, ADENSAMENTO E ACABAMENTO. AF_09/2017</v>
          </cell>
          <cell r="C1898" t="str">
            <v>M3</v>
          </cell>
          <cell r="D1898">
            <v>468.49</v>
          </cell>
        </row>
        <row r="1899">
          <cell r="A1899">
            <v>97097</v>
          </cell>
          <cell r="B1899" t="str">
            <v>ACABAMENTO POLIDO PARA PISO DE CONCRETO ARMADO DE ALTA RESISTÊNCIA. AF_09/2017</v>
          </cell>
          <cell r="C1899" t="str">
            <v>M2</v>
          </cell>
          <cell r="D1899">
            <v>26.58</v>
          </cell>
        </row>
        <row r="1900">
          <cell r="A1900">
            <v>100322</v>
          </cell>
          <cell r="B1900" t="str">
            <v>LASTRO COM MATERIAL GRANULAR (PEDRA BRITADA N.3), APLICADO EM PISOS OU RADIERS, ESPESSURA DE *10 CM*. AF_07/2019</v>
          </cell>
          <cell r="C1900" t="str">
            <v>M3</v>
          </cell>
          <cell r="D1900">
            <v>116.47</v>
          </cell>
        </row>
        <row r="1901">
          <cell r="A1901">
            <v>100323</v>
          </cell>
          <cell r="B1901" t="str">
            <v>LASTRO COM MATERIAL GRANULAR (AREIA MÉDIA), APLICADO EM PISOS OU RADIERS, ESPESSURA DE *10 CM*. AF_07/2019</v>
          </cell>
          <cell r="C1901" t="str">
            <v>M3</v>
          </cell>
          <cell r="D1901">
            <v>96.69</v>
          </cell>
        </row>
        <row r="1902">
          <cell r="A1902">
            <v>100324</v>
          </cell>
          <cell r="B1902" t="str">
            <v>LASTRO COM MATERIAL GRANULAR (PEDRA BRITADA N.1 E PEDRA BRITADA N.2), APLICADO EM PISOS OU RADIERS, ESPESSURA DE *10 CM*. AF_07/2019</v>
          </cell>
          <cell r="C1902" t="str">
            <v>M3</v>
          </cell>
          <cell r="D1902">
            <v>116.47</v>
          </cell>
        </row>
        <row r="1903">
          <cell r="A1903">
            <v>90996</v>
          </cell>
          <cell r="B1903" t="str">
            <v>FORMAS MANUSEÁVEIS PARA PAREDES DE CONCRETO MOLDADAS IN LOCO, DE EDIFICAÇÕES DE MULTIPLOS PAVIMENTO, EM PLATIBANDA. AF_06/2015</v>
          </cell>
          <cell r="C1903" t="str">
            <v>M2</v>
          </cell>
          <cell r="D1903">
            <v>11.99</v>
          </cell>
        </row>
        <row r="1904">
          <cell r="A1904">
            <v>90997</v>
          </cell>
          <cell r="B1904" t="str">
            <v>FORMAS MANUSEÁVEIS PARA PAREDES DE CONCRETO MOLDADAS IN LOCO, DE EDIFICAÇÕES DE MULTIPLOS PAVIMENTOS, EM FACES INTERNAS DE PAREDES. AF_06/2015</v>
          </cell>
          <cell r="C1904" t="str">
            <v>M2</v>
          </cell>
          <cell r="D1904">
            <v>16.399999999999999</v>
          </cell>
        </row>
        <row r="1905">
          <cell r="A1905">
            <v>90998</v>
          </cell>
          <cell r="B1905" t="str">
            <v>FORMAS MANUSEÁVEIS PARA PAREDES DE CONCRETO MOLDADAS IN LOCO, DE EDIFICAÇÕES DE MULTIPLOS PAVIMENTOS, EM LAJES. AF_06/2015</v>
          </cell>
          <cell r="C1905" t="str">
            <v>M2</v>
          </cell>
          <cell r="D1905">
            <v>19.86</v>
          </cell>
        </row>
        <row r="1906">
          <cell r="A1906">
            <v>91000</v>
          </cell>
          <cell r="B1906" t="str">
            <v>FORMAS MANUSEÁVEIS PARA PAREDES DE CONCRETO MOLDADAS IN LOCO, DE EDIFICAÇÕES DE MULTIPLOS PAVIMENTOS, EM PANOS DE FACHADA COM VÃOS. AF_06/2015</v>
          </cell>
          <cell r="C1906" t="str">
            <v>M2</v>
          </cell>
          <cell r="D1906">
            <v>15.08</v>
          </cell>
        </row>
        <row r="1907">
          <cell r="A1907">
            <v>91002</v>
          </cell>
          <cell r="B1907" t="str">
            <v>FORMAS MANUSEÁVEIS PARA PAREDES DE CONCRETO MOLDADAS IN LOCO, DE EDIFICAÇÕES DE MULTIPLOS PAVIMENTOS, EM PANOS DE FACHADA SEM VÃOS. AF_06/2015</v>
          </cell>
          <cell r="C1907" t="str">
            <v>M2</v>
          </cell>
          <cell r="D1907">
            <v>13.85</v>
          </cell>
        </row>
        <row r="1908">
          <cell r="A1908">
            <v>91003</v>
          </cell>
          <cell r="B1908" t="str">
            <v>FORMAS MANUSEÁVEIS PARA PAREDES DE CONCRETO MOLDADAS IN LOCO, DE EDIFICAÇÕES DE MULTIPLOS PAVIMENTOS, EM PANOS DE FACHADA COM VARANDAS. AF_06/2015</v>
          </cell>
          <cell r="C1908" t="str">
            <v>M2</v>
          </cell>
          <cell r="D1908">
            <v>16.079999999999998</v>
          </cell>
        </row>
        <row r="1909">
          <cell r="A1909">
            <v>91004</v>
          </cell>
          <cell r="B1909" t="str">
            <v>FORMAS MANUSEÁVEIS PARA PAREDES DE CONCRETO MOLDADAS IN LOCO, DE EDIFICAÇÕES DE PAVIMENTO ÚNICO, EM FACES INTERNAS DE PAREDES. AF_06/2015</v>
          </cell>
          <cell r="C1909" t="str">
            <v>M2</v>
          </cell>
          <cell r="D1909">
            <v>12.72</v>
          </cell>
        </row>
        <row r="1910">
          <cell r="A1910">
            <v>91005</v>
          </cell>
          <cell r="B1910" t="str">
            <v>FORMAS MANUSEÁVEIS PARA PAREDES DE CONCRETO MOLDADAS IN LOCO, DE EDIFICAÇÕES DE PAVIMENTO ÚNICO, EM LAJES. AF_06/2015</v>
          </cell>
          <cell r="C1910" t="str">
            <v>M2</v>
          </cell>
          <cell r="D1910">
            <v>15.3</v>
          </cell>
        </row>
        <row r="1911">
          <cell r="A1911">
            <v>91006</v>
          </cell>
          <cell r="B1911" t="str">
            <v>FORMAS MANUSEÁVEIS PARA PAREDES DE CONCRETO MOLDADAS IN LOCO, DE EDIFICAÇÕES DE PAVIMENTO ÚNICO, EM PANOS DE FACHADA COM VÃOS. AF_06/2015</v>
          </cell>
          <cell r="C1911" t="str">
            <v>M2</v>
          </cell>
          <cell r="D1911">
            <v>11.74</v>
          </cell>
        </row>
        <row r="1912">
          <cell r="A1912">
            <v>91007</v>
          </cell>
          <cell r="B1912" t="str">
            <v>FORMAS MANUSEÁVEIS PARA PAREDES DE CONCRETO MOLDADAS IN LOCO, DE EDIFICAÇÕES DE PAVIMENTO ÚNICO, EM PANOS DE FACHADA SEM VÃOS. AF_06/2015</v>
          </cell>
          <cell r="C1912" t="str">
            <v>M2</v>
          </cell>
          <cell r="D1912">
            <v>10.5</v>
          </cell>
        </row>
        <row r="1913">
          <cell r="A1913">
            <v>91008</v>
          </cell>
          <cell r="B1913" t="str">
            <v>FORMAS MANUSEÁVEIS PARA PAREDES DE CONCRETO MOLDADAS IN LOCO, DE EDIFICAÇÕES DE PAVIMENTO ÚNICO, EM PANOS DE FACHADA COM VARANDA. AF_06/2015</v>
          </cell>
          <cell r="C1913" t="str">
            <v>M2</v>
          </cell>
          <cell r="D1913">
            <v>12.73</v>
          </cell>
        </row>
        <row r="1914">
          <cell r="A1914">
            <v>92263</v>
          </cell>
          <cell r="B1914" t="str">
            <v>FABRICAÇÃO DE FÔRMA PARA PILARES E ESTRUTURAS SIMILARES, EM CHAPA DE MADEIRA COMPENSADA RESINADA, E = 17 MM. AF_12/2015</v>
          </cell>
          <cell r="C1914" t="str">
            <v>M2</v>
          </cell>
          <cell r="D1914">
            <v>103.65</v>
          </cell>
        </row>
        <row r="1915">
          <cell r="A1915">
            <v>92264</v>
          </cell>
          <cell r="B1915" t="str">
            <v>FABRICAÇÃO DE FÔRMA PARA PILARES E ESTRUTURAS SIMILARES, EM CHAPA DE MADEIRA COMPENSADA PLASTIFICADA, E = 18 MM. AF_12/2015</v>
          </cell>
          <cell r="C1915" t="str">
            <v>M2</v>
          </cell>
          <cell r="D1915">
            <v>124.21</v>
          </cell>
        </row>
        <row r="1916">
          <cell r="A1916">
            <v>92265</v>
          </cell>
          <cell r="B1916" t="str">
            <v>FABRICAÇÃO DE FÔRMA PARA VIGAS, EM CHAPA DE MADEIRA COMPENSADA RESINADA, E = 17 MM. AF_12/2015</v>
          </cell>
          <cell r="C1916" t="str">
            <v>M2</v>
          </cell>
          <cell r="D1916">
            <v>78.930000000000007</v>
          </cell>
        </row>
        <row r="1917">
          <cell r="A1917">
            <v>92266</v>
          </cell>
          <cell r="B1917" t="str">
            <v>FABRICAÇÃO DE FÔRMA PARA VIGAS, EM CHAPA DE MADEIRA COMPENSADA PLASTIFICADA, E = 18 MM. AF_12/2015</v>
          </cell>
          <cell r="C1917" t="str">
            <v>M2</v>
          </cell>
          <cell r="D1917">
            <v>97.26</v>
          </cell>
        </row>
        <row r="1918">
          <cell r="A1918">
            <v>92267</v>
          </cell>
          <cell r="B1918" t="str">
            <v>FABRICAÇÃO DE FÔRMA PARA LAJES, EM CHAPA DE MADEIRA COMPENSADA RESINADA, E = 17 MM. AF_12/2015</v>
          </cell>
          <cell r="C1918" t="str">
            <v>M2</v>
          </cell>
          <cell r="D1918">
            <v>28.68</v>
          </cell>
        </row>
        <row r="1919">
          <cell r="A1919">
            <v>92268</v>
          </cell>
          <cell r="B1919" t="str">
            <v>FABRICAÇÃO DE FÔRMA PARA LAJES, EM CHAPA DE MADEIRA COMPENSADA PLASTIFICADA, E = 18 MM. AF_12/2015</v>
          </cell>
          <cell r="C1919" t="str">
            <v>M2</v>
          </cell>
          <cell r="D1919">
            <v>44.85</v>
          </cell>
        </row>
        <row r="1920">
          <cell r="A1920">
            <v>92269</v>
          </cell>
          <cell r="B1920" t="str">
            <v>FABRICAÇÃO DE FÔRMA PARA PILARES E ESTRUTURAS SIMILARES, EM MADEIRA SERRADA, E=25 MM. AF_12/2015</v>
          </cell>
          <cell r="C1920" t="str">
            <v>M2</v>
          </cell>
          <cell r="D1920">
            <v>67.84</v>
          </cell>
        </row>
        <row r="1921">
          <cell r="A1921">
            <v>92270</v>
          </cell>
          <cell r="B1921" t="str">
            <v>FABRICAÇÃO DE FÔRMA PARA VIGAS, COM MADEIRA SERRADA, E = 25 MM. AF_12/2015</v>
          </cell>
          <cell r="C1921" t="str">
            <v>M2</v>
          </cell>
          <cell r="D1921">
            <v>52.55</v>
          </cell>
        </row>
        <row r="1922">
          <cell r="A1922">
            <v>92271</v>
          </cell>
          <cell r="B1922" t="str">
            <v>FABRICAÇÃO DE FÔRMA PARA LAJES, EM MADEIRA SERRADA, E=25 MM. AF_12/2015</v>
          </cell>
          <cell r="C1922" t="str">
            <v>M2</v>
          </cell>
          <cell r="D1922">
            <v>32.380000000000003</v>
          </cell>
        </row>
        <row r="1923">
          <cell r="A1923">
            <v>92272</v>
          </cell>
          <cell r="B1923" t="str">
            <v>FABRICAÇÃO DE ESCORAS DE VIGA DO TIPO GARFO, EM MADEIRA. AF_12/2015</v>
          </cell>
          <cell r="C1923" t="str">
            <v>M</v>
          </cell>
          <cell r="D1923">
            <v>22.76</v>
          </cell>
        </row>
        <row r="1924">
          <cell r="A1924">
            <v>92273</v>
          </cell>
          <cell r="B1924" t="str">
            <v>FABRICAÇÃO DE ESCORAS DO TIPO PONTALETE, EM MADEIRA. AF_12/2015</v>
          </cell>
          <cell r="C1924" t="str">
            <v>M</v>
          </cell>
          <cell r="D1924">
            <v>10.15</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v>147.32</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v>138.25</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v>104.97</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v>96.94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v>71.84</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v>65.67</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v>99.51</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v>91.49</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v>115.99</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v>108</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v>64.599999999999994</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v>58.46</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v>77.28</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v>71.13</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v>53.44</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v>48.1</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v>64.47</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v>59.12</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v>47.8</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v>42.86</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v>58.02</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v>53.06</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v>44.26</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v>39.56</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v>53.95</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v>49.25</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v>42.22</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v>37.67</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v>51.56</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v>47.03</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v>40.75</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v>36.32</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v>49.84</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v>45.45</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v>37.729999999999997</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v>33.46</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v>46.54</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v>42.27</v>
          </cell>
        </row>
        <row r="1963">
          <cell r="A1963">
            <v>92446</v>
          </cell>
          <cell r="B1963" t="str">
            <v>MONTAGEM E DESMONTAGEM DE FÔRMA DE VIGA, ESCORAMENTO COM PONTALETE DE MADEIRA, PÉ-DIREITO SIMPLES, EM MADEIRA SERRADA, 1 UTILIZAÇÃO. AF_12/2015</v>
          </cell>
          <cell r="C1963" t="str">
            <v>M2</v>
          </cell>
          <cell r="D1963">
            <v>133.41999999999999</v>
          </cell>
        </row>
        <row r="1964">
          <cell r="A1964">
            <v>92447</v>
          </cell>
          <cell r="B1964" t="str">
            <v>MONTAGEM E DESMONTAGEM DE FÔRMA DE VIGA, ESCORAMENTO COM PONTALETE DE MADEIRA, PÉ-DIREITO SIMPLES, EM MADEIRA SERRADA, 2 UTILIZAÇÕES. AF_12/2015</v>
          </cell>
          <cell r="C1964" t="str">
            <v>M2</v>
          </cell>
          <cell r="D1964">
            <v>98.96</v>
          </cell>
        </row>
        <row r="1965">
          <cell r="A1965">
            <v>92448</v>
          </cell>
          <cell r="B1965" t="str">
            <v>MONTAGEM E DESMONTAGEM DE FÔRMA DE VIGA, ESCORAMENTO COM PONTALETE DE MADEIRA, PÉ-DIREITO SIMPLES, EM MADEIRA SERRADA, 4 UTILIZAÇÕES. AF_12/2015</v>
          </cell>
          <cell r="C1965" t="str">
            <v>M2</v>
          </cell>
          <cell r="D1965">
            <v>82.29</v>
          </cell>
        </row>
        <row r="1966">
          <cell r="A1966">
            <v>92449</v>
          </cell>
          <cell r="B1966" t="str">
            <v>MONTAGEM E DESMONTAGEM DE FÔRMA DE VIGA, ESCORAMENTO COM GARFO DE MADEIRA, PÉ-DIREITO DUPLO, EM CHAPA DE MADEIRA RESINADA, 2 UTILIZAÇÕES. AF_12/2015</v>
          </cell>
          <cell r="C1966" t="str">
            <v>M2</v>
          </cell>
          <cell r="D1966">
            <v>174.14</v>
          </cell>
        </row>
        <row r="1967">
          <cell r="A1967">
            <v>92450</v>
          </cell>
          <cell r="B1967" t="str">
            <v>MONTAGEM E DESMONTAGEM DE FÔRMA DE VIGA, ESCORAMENTO METÁLICO, PÉ-DIREITO DUPLO, EM CHAPA DE MADEIRA RESINADA, 2 UTILIZAÇÕES. AF_12/2015</v>
          </cell>
          <cell r="C1967" t="str">
            <v>M2</v>
          </cell>
          <cell r="D1967">
            <v>241.01</v>
          </cell>
        </row>
        <row r="1968">
          <cell r="A1968">
            <v>92451</v>
          </cell>
          <cell r="B1968" t="str">
            <v>MONTAGEM E DESMONTAGEM DE FÔRMA DE VIGA, ESCORAMENTO COM GARFO DE MADEIRA, PÉ-DIREITO SIMPLES, EM CHAPA DE MADEIRA RESINADA, 2 UTILIZAÇÕES. AF_12/2015</v>
          </cell>
          <cell r="C1968" t="str">
            <v>M2</v>
          </cell>
          <cell r="D1968">
            <v>119.29</v>
          </cell>
        </row>
        <row r="1969">
          <cell r="A1969">
            <v>92452</v>
          </cell>
          <cell r="B1969" t="str">
            <v>MONTAGEM E DESMONTAGEM DE FÔRMA DE VIGA, ESCORAMENTO METÁLICO, PÉ-DIREITO SIMPLES, EM CHAPA DE MADEIRA RESINADA, 2 UTILIZAÇÕES. AF_12/2015</v>
          </cell>
          <cell r="C1969" t="str">
            <v>M2</v>
          </cell>
          <cell r="D1969">
            <v>114.39</v>
          </cell>
        </row>
        <row r="1970">
          <cell r="A1970">
            <v>92453</v>
          </cell>
          <cell r="B1970" t="str">
            <v>MONTAGEM E DESMONTAGEM DE FÔRMA DE VIGA, ESCORAMENTO COM GARFO DE MADEIRA, PÉ-DIREITO DUPLO, EM CHAPA DE MADEIRA RESINADA, 4 UTILIZAÇÕES. AF_12/2015</v>
          </cell>
          <cell r="C1970" t="str">
            <v>M2</v>
          </cell>
          <cell r="D1970">
            <v>149.72999999999999</v>
          </cell>
        </row>
        <row r="1971">
          <cell r="A1971">
            <v>92454</v>
          </cell>
          <cell r="B1971" t="str">
            <v>MONTAGEM E DESMONTAGEM DE FÔRMA DE VIGA, ESCORAMENTO METÁLICO, PÉ-DIREITO DUPLO, EM CHAPA DE MADEIRA RESINADA, 4 UTILIZAÇÕES. AF_12/2015</v>
          </cell>
          <cell r="C1971" t="str">
            <v>M2</v>
          </cell>
          <cell r="D1971">
            <v>220.64</v>
          </cell>
        </row>
        <row r="1972">
          <cell r="A1972">
            <v>92455</v>
          </cell>
          <cell r="B1972" t="str">
            <v>MONTAGEM E DESMONTAGEM DE FÔRMA DE VIGA, ESCORAMENTO COM GARFO DE MADEIRA, PÉ-DIREITO SIMPLES, EM CHAPA DE MADEIRA RESINADA, 4 UTILIZAÇÕES. AF_12/2015</v>
          </cell>
          <cell r="C1972" t="str">
            <v>M2</v>
          </cell>
          <cell r="D1972">
            <v>98.17</v>
          </cell>
        </row>
        <row r="1973">
          <cell r="A1973">
            <v>92456</v>
          </cell>
          <cell r="B1973" t="str">
            <v>MONTAGEM E DESMONTAGEM DE FÔRMA DE VIGA, ESCORAMENTO METÁLICO, PÉ-DIREITO SIMPLES, EM CHAPA DE MADEIRA RESINADA, 4 UTILIZAÇÕES. AF_12/2015</v>
          </cell>
          <cell r="C1973" t="str">
            <v>M2</v>
          </cell>
          <cell r="D1973">
            <v>93.86</v>
          </cell>
        </row>
        <row r="1974">
          <cell r="A1974">
            <v>92457</v>
          </cell>
          <cell r="B1974" t="str">
            <v>MONTAGEM E DESMONTAGEM DE FÔRMA DE VIGA, ESCORAMENTO COM GARFO DE MADEIRA, PÉ-DIREITO DUPLO, EM CHAPA DE MADEIRA RESINADA, 6 UTILIZAÇÕES. AF_12/2015</v>
          </cell>
          <cell r="C1974" t="str">
            <v>M2</v>
          </cell>
          <cell r="D1974">
            <v>129.75</v>
          </cell>
        </row>
        <row r="1975">
          <cell r="A1975">
            <v>92458</v>
          </cell>
          <cell r="B1975" t="str">
            <v>MONTAGEM E DESMONTAGEM DE FÔRMA DE VIGA, ESCORAMENTO METÁLICO, PÉ-DIREITO DUPLO, EM CHAPA DE MADEIRA RESINADA, 6 UTILIZAÇÕES. AF_12/2015</v>
          </cell>
          <cell r="C1975" t="str">
            <v>M2</v>
          </cell>
          <cell r="D1975">
            <v>207.65</v>
          </cell>
        </row>
        <row r="1976">
          <cell r="A1976">
            <v>92459</v>
          </cell>
          <cell r="B1976" t="str">
            <v>MONTAGEM E DESMONTAGEM DE FÔRMA DE VIGA, ESCORAMENTO COM GARFO DE MADEIRA, PÉ-DIREITO SIMPLES, EM CHAPA DE MADEIRA RESINADA, 6 UTILIZAÇÕES. AF_12/2015</v>
          </cell>
          <cell r="C1976" t="str">
            <v>M2</v>
          </cell>
          <cell r="D1976">
            <v>83.12</v>
          </cell>
        </row>
        <row r="1977">
          <cell r="A1977">
            <v>92460</v>
          </cell>
          <cell r="B1977" t="str">
            <v>MONTAGEM E DESMONTAGEM DE FÔRMA DE VIGA, ESCORAMENTO METÁLICO, PÉ-DIREITO SIMPLES, EM CHAPA DE MADEIRA RESINADA, 6 UTILIZAÇÕES. AF_12/2015</v>
          </cell>
          <cell r="C1977" t="str">
            <v>M2</v>
          </cell>
          <cell r="D1977">
            <v>76.8</v>
          </cell>
        </row>
        <row r="1978">
          <cell r="A1978">
            <v>92461</v>
          </cell>
          <cell r="B1978" t="str">
            <v>MONTAGEM E DESMONTAGEM DE FÔRMA DE VIGA, ESCORAMENTO COM GARFO DE MADEIRA, PÉ-DIREITO DUPLO, EM CHAPA DE MADEIRA RESINADA, 8 UTILIZAÇÕES. AF_12/2015</v>
          </cell>
          <cell r="C1978" t="str">
            <v>M2</v>
          </cell>
          <cell r="D1978">
            <v>119.37</v>
          </cell>
        </row>
        <row r="1979">
          <cell r="A1979">
            <v>92462</v>
          </cell>
          <cell r="B1979" t="str">
            <v>MONTAGEM E DESMONTAGEM DE FÔRMA DE VIGA, ESCORAMENTO METÁLICO, PÉ-DIREITO DUPLO, EM CHAPA DE MADEIRA RESINADA, 8 UTILIZAÇÕES. AF_12/2015</v>
          </cell>
          <cell r="C1979" t="str">
            <v>M2</v>
          </cell>
          <cell r="D1979">
            <v>199.36</v>
          </cell>
        </row>
        <row r="1980">
          <cell r="A1980">
            <v>92463</v>
          </cell>
          <cell r="B1980" t="str">
            <v>MONTAGEM E DESMONTAGEM DE FÔRMA DE VIGA, ESCORAMENTO COM GARFO DE MADEIRA, PÉ-DIREITO SIMPLES, EM CHAPA DE MADEIRA RESINADA, 8 UTILIZAÇÕES. AF_12/2015</v>
          </cell>
          <cell r="C1980" t="str">
            <v>M2</v>
          </cell>
          <cell r="D1980">
            <v>75.069999999999993</v>
          </cell>
        </row>
        <row r="1981">
          <cell r="A1981">
            <v>92464</v>
          </cell>
          <cell r="B1981" t="str">
            <v>MONTAGEM E DESMONTAGEM DE FÔRMA DE VIGA, ESCORAMENTO METÁLICO, PÉ-DIREITO SIMPLES, EM CHAPA DE MADEIRA RESINADA, 8 UTILIZAÇÕES. AF_12/2015</v>
          </cell>
          <cell r="C1981" t="str">
            <v>M2</v>
          </cell>
          <cell r="D1981">
            <v>73.13</v>
          </cell>
        </row>
        <row r="1982">
          <cell r="A1982">
            <v>92465</v>
          </cell>
          <cell r="B1982" t="str">
            <v>MONTAGEM E DESMONTAGEM DE FÔRMA DE VIGA, ESCORAMENTO COM GARFO DE MADEIRA, PÉ-DIREITO DUPLO, EM CHAPA DE MADEIRA PLASTIFICADA, 10 UTILIZAÇÕES. AF_12/2015</v>
          </cell>
          <cell r="C1982" t="str">
            <v>M2</v>
          </cell>
          <cell r="D1982">
            <v>94.28</v>
          </cell>
        </row>
        <row r="1983">
          <cell r="A1983">
            <v>92466</v>
          </cell>
          <cell r="B1983" t="str">
            <v>MONTAGEM E DESMONTAGEM DE FÔRMA DE VIGA, ESCORAMENTO METÁLICO, PÉ-DIREITO DUPLO, EM CHAPA DE MADEIRA PLASTIFICADA, 10 UTILIZAÇÕES. AF_12/2015</v>
          </cell>
          <cell r="C1983" t="str">
            <v>M2</v>
          </cell>
          <cell r="D1983">
            <v>193.57</v>
          </cell>
        </row>
        <row r="1984">
          <cell r="A1984">
            <v>92467</v>
          </cell>
          <cell r="B1984" t="str">
            <v>MONTAGEM E DESMONTAGEM DE FÔRMA DE VIGA, ESCORAMENTO COM GARFO DE MADEIRA, PÉ-DIREITO SIMPLES, EM CHAPA DE MADEIRA PLASTIFICADA, 10 UTILIZAÇÕES. AF_12/2015</v>
          </cell>
          <cell r="C1984" t="str">
            <v>M2</v>
          </cell>
          <cell r="D1984">
            <v>60.84</v>
          </cell>
        </row>
        <row r="1985">
          <cell r="A1985">
            <v>92468</v>
          </cell>
          <cell r="B1985" t="str">
            <v>MONTAGEM E DESMONTAGEM DE FÔRMA DE VIGA, ESCORAMENTO METÁLICO, PÉ-DIREITO SIMPLES, EM CHAPA DE MADEIRA PLASTIFICADA, 10 UTILIZAÇÕES. AF_12/2015</v>
          </cell>
          <cell r="C1985" t="str">
            <v>M2</v>
          </cell>
          <cell r="D1985">
            <v>67.64</v>
          </cell>
        </row>
        <row r="1986">
          <cell r="A1986">
            <v>92469</v>
          </cell>
          <cell r="B1986" t="str">
            <v>MONTAGEM E DESMONTAGEM DE FÔRMA DE VIGA, ESCORAMENTO COM GARFO DE MADEIRA, PÉ-DIREITO DUPLO, EM CHAPA DE MADEIRA PLASTIFICADA, 12 UTILIZAÇÕES. AF_12/2015</v>
          </cell>
          <cell r="C1986" t="str">
            <v>M2</v>
          </cell>
          <cell r="D1986">
            <v>85.67</v>
          </cell>
        </row>
        <row r="1987">
          <cell r="A1987">
            <v>92470</v>
          </cell>
          <cell r="B1987" t="str">
            <v>MONTAGEM E DESMONTAGEM DE FÔRMA DE VIGA, ESCORAMENTO METÁLICO, PÉ-DIREITO DUPLO, EM CHAPA DE MADEIRA PLASTIFICADA, 12 UTILIZAÇÕES. AF_12/2015</v>
          </cell>
          <cell r="C1987" t="str">
            <v>M2</v>
          </cell>
          <cell r="D1987">
            <v>188.96</v>
          </cell>
        </row>
        <row r="1988">
          <cell r="A1988">
            <v>92471</v>
          </cell>
          <cell r="B1988" t="str">
            <v>MONTAGEM E DESMONTAGEM DE FÔRMA DE VIGA, ESCORAMENTO COM GARFO DE MADEIRA, PÉ-DIREITO SIMPLES, EM CHAPA DE MADEIRA PLASTIFICADA, 12 UTILIZAÇÕES. AF_12/2015</v>
          </cell>
          <cell r="C1988" t="str">
            <v>M2</v>
          </cell>
          <cell r="D1988">
            <v>55.35</v>
          </cell>
        </row>
        <row r="1989">
          <cell r="A1989">
            <v>92472</v>
          </cell>
          <cell r="B1989" t="str">
            <v>MONTAGEM E DESMONTAGEM DE FÔRMA DE VIGA, ESCORAMENTO METÁLICO, PÉ-DIREITO SIMPLES, EM CHAPA DE MADEIRA PLASTIFICADA, 12 UTILIZAÇÕES. AF_12/2015</v>
          </cell>
          <cell r="C1989" t="str">
            <v>M2</v>
          </cell>
          <cell r="D1989">
            <v>63.63</v>
          </cell>
        </row>
        <row r="1990">
          <cell r="A1990">
            <v>92473</v>
          </cell>
          <cell r="B1990" t="str">
            <v>MONTAGEM E DESMONTAGEM DE FÔRMA DE VIGA, ESCORAMENTO COM GARFO DE MADEIRA, PÉ-DIREITO DUPLO, EM CHAPA DE MADEIRA PLASTIFICADA, 14 UTILIZAÇÕES. AF_12/2015</v>
          </cell>
          <cell r="C1990" t="str">
            <v>M2</v>
          </cell>
          <cell r="D1990">
            <v>78.67</v>
          </cell>
        </row>
        <row r="1991">
          <cell r="A1991">
            <v>92474</v>
          </cell>
          <cell r="B1991" t="str">
            <v>MONTAGEM E DESMONTAGEM DE FÔRMA DE VIGA, ESCORAMENTO METÁLICO, PÉ-DIREITO DUPLO, EM CHAPA DE MADEIRA PLASTIFICADA, 14 UTILIZAÇÕES. AF_12/2015</v>
          </cell>
          <cell r="C1991" t="str">
            <v>M2</v>
          </cell>
          <cell r="D1991">
            <v>184.98</v>
          </cell>
        </row>
        <row r="1992">
          <cell r="A1992">
            <v>92475</v>
          </cell>
          <cell r="B1992" t="str">
            <v>MONTAGEM E DESMONTAGEM DE FÔRMA DE VIGA, ESCORAMENTO COM GARFO DE MADEIRA, PÉ-DIREITO SIMPLES, EM CHAPA DE MADEIRA PLASTIFICADA, 14 UTILIZAÇÕES. AF_12/2015</v>
          </cell>
          <cell r="C1992" t="str">
            <v>M2</v>
          </cell>
          <cell r="D1992">
            <v>50.87</v>
          </cell>
        </row>
        <row r="1993">
          <cell r="A1993">
            <v>92476</v>
          </cell>
          <cell r="B1993" t="str">
            <v>MONTAGEM E DESMONTAGEM DE FÔRMA DE VIGA, ESCORAMENTO METÁLICO, PÉ-DIREITO SIMPLES, EM CHAPA DE MADEIRA PLASTIFICADA, 14 UTILIZAÇÕES. AF_12/2015</v>
          </cell>
          <cell r="C1993" t="str">
            <v>M2</v>
          </cell>
          <cell r="D1993">
            <v>60.23</v>
          </cell>
        </row>
        <row r="1994">
          <cell r="A1994">
            <v>92477</v>
          </cell>
          <cell r="B1994" t="str">
            <v>MONTAGEM E DESMONTAGEM DE FÔRMA DE VIGA, ESCORAMENTO COM GARFO DE MADEIRA, PÉ-DIREITO DUPLO, EM CHAPA DE MADEIRA PLASTIFICADA, 18 UTILIZAÇÕES. AF_12/2015</v>
          </cell>
          <cell r="C1994" t="str">
            <v>M2</v>
          </cell>
          <cell r="D1994">
            <v>63.79</v>
          </cell>
        </row>
        <row r="1995">
          <cell r="A1995">
            <v>92478</v>
          </cell>
          <cell r="B1995" t="str">
            <v>MONTAGEM E DESMONTAGEM DE FÔRMA DE VIGA, ESCORAMENTO METÁLICO, PÉ-DIREITO DUPLO, EM CHAPA DE MADEIRA PLASTIFICADA, 18 UTILIZAÇÕES. AF_12/2015</v>
          </cell>
          <cell r="C1995" t="str">
            <v>M2</v>
          </cell>
          <cell r="D1995">
            <v>177.16</v>
          </cell>
        </row>
        <row r="1996">
          <cell r="A1996">
            <v>92479</v>
          </cell>
          <cell r="B1996" t="str">
            <v>MONTAGEM E DESMONTAGEM DE FÔRMA DE VIGA, ESCORAMENTO COM GARFO DE MADEIRA, PÉ-DIREITO SIMPLES, EM CHAPA DE MADEIRA PLASTIFICADA, 18 UTILIZAÇÕES. AF_12/2015</v>
          </cell>
          <cell r="C1996" t="str">
            <v>M2</v>
          </cell>
          <cell r="D1996">
            <v>41.36</v>
          </cell>
        </row>
        <row r="1997">
          <cell r="A1997">
            <v>92480</v>
          </cell>
          <cell r="B1997" t="str">
            <v>MONTAGEM E DESMONTAGEM DE FÔRMA DE VIGA, ESCORAMENTO METÁLICO, PÉ-DIREITO SIMPLES, EM CHAPA DE MADEIRA PLASTIFICADA, 18 UTILIZAÇÕES. AF_12/2015</v>
          </cell>
          <cell r="C1997" t="str">
            <v>M2</v>
          </cell>
          <cell r="D1997">
            <v>53.45</v>
          </cell>
        </row>
        <row r="1998">
          <cell r="A1998">
            <v>92481</v>
          </cell>
          <cell r="B1998" t="str">
            <v>MONTAGEM E DESMONTAGEM DE FÔRMA DE LAJE MACIÇA COM ÁREA MÉDIA MENOR OU IGUAL A 20 M², PÉ-DIREITO SIMPLES, EM MADEIRA SERRADA, 1 UTILIZAÇÃO. AF_12/2015</v>
          </cell>
          <cell r="C1998" t="str">
            <v>M2</v>
          </cell>
          <cell r="D1998">
            <v>167.16</v>
          </cell>
        </row>
        <row r="1999">
          <cell r="A1999">
            <v>92482</v>
          </cell>
          <cell r="B1999" t="str">
            <v>MONTAGEM E DESMONTAGEM DE FÔRMA DE LAJE MACIÇA COM ÁREA MÉDIA MAIOR QUE 20 M², PÉ-DIREITO SIMPLES, EM MADEIRA SERRADA, 1 UTILIZAÇÃO. AF_12/2015</v>
          </cell>
          <cell r="C1999" t="str">
            <v>M2</v>
          </cell>
          <cell r="D1999">
            <v>156.58000000000001</v>
          </cell>
        </row>
        <row r="2000">
          <cell r="A2000">
            <v>92483</v>
          </cell>
          <cell r="B2000" t="str">
            <v>MONTAGEM E DESMONTAGEM DE FÔRMA DE LAJE MACIÇA COM ÁREA MÉDIA MENOR OU IGUAL A 20 M², PÉ-DIREITO SIMPLES, EM MADEIRA SERRADA, 2 UTILIZAÇÕES. AF_12/2015</v>
          </cell>
          <cell r="C2000" t="str">
            <v>M2</v>
          </cell>
          <cell r="D2000">
            <v>132.15</v>
          </cell>
        </row>
        <row r="2001">
          <cell r="A2001">
            <v>92484</v>
          </cell>
          <cell r="B2001" t="str">
            <v>MONTAGEM E DESMONTAGEM DE FÔRMA DE LAJE MACIÇA COM ÁREA MÉDIA MAIOR QUE 20 M², PÉ-DIREITO SIMPLES, EM MADEIRA SERRADA, 2 UTILIZAÇÕES. AF_12/2015</v>
          </cell>
          <cell r="C2001" t="str">
            <v>M2</v>
          </cell>
          <cell r="D2001">
            <v>122.81</v>
          </cell>
        </row>
        <row r="2002">
          <cell r="A2002">
            <v>92485</v>
          </cell>
          <cell r="B2002" t="str">
            <v>MONTAGEM E DESMONTAGEM DE FÔRMA DE LAJE MACIÇA COM ÁREA MÉDIA MENOR OU IGUAL A 20 M², PÉ-DIREITO SIMPLES, EM MADEIRA SERRADA, 4 UTILIZAÇÕES. AF_12/2015</v>
          </cell>
          <cell r="C2002" t="str">
            <v>M2</v>
          </cell>
          <cell r="D2002">
            <v>97.4</v>
          </cell>
        </row>
        <row r="2003">
          <cell r="A2003">
            <v>92486</v>
          </cell>
          <cell r="B2003" t="str">
            <v>MONTAGEM E DESMONTAGEM DE FÔRMA DE LAJE MACIÇA COM ÁREA MÉDIA MAIOR QUE 20 M², PÉ-DIREITO SIMPLES, EM MADEIRA SERRADA, 4 UTILIZAÇÕES. AF_12/2015</v>
          </cell>
          <cell r="C2003" t="str">
            <v>M2</v>
          </cell>
          <cell r="D2003">
            <v>90.22</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v>74.849999999999994</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v>72.38</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v>42.22</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v>39.96</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v>72.36</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v>70</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v>37.630000000000003</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v>37.950000000000003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v>70.67</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v>68.400000000000006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v>38.700000000000003</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v>36.590000000000003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v>69.66</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v>67.459999999999994</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v>37.880000000000003</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v>35.82</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v>68.03</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v>41.17</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v>36.5</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v>34.520000000000003</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v>74.569999999999993</v>
          </cell>
        </row>
        <row r="2025">
          <cell r="A2025">
            <v>92508</v>
          </cell>
          <cell r="B2025" t="str">
            <v>MONTAGEM E DESMONTAGEM DE FÔRMA DE LAJE MACIÇA COM ÁREA MÉDIA MAIOR QUE 20 M², PÉ-DIREITO DUPLO, EM CHAPA DE MADEIRA COMPENSADA RESINADA, 2 UTILIZAÇÕES. AF_12/2015</v>
          </cell>
          <cell r="C2025" t="str">
            <v>M2</v>
          </cell>
          <cell r="D2025">
            <v>72.599999999999994</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v>38.43</v>
          </cell>
        </row>
        <row r="2027">
          <cell r="A2027">
            <v>92510</v>
          </cell>
          <cell r="B2027" t="str">
            <v>MONTAGEM E DESMONTAGEM DE FÔRMA DE LAJE MACIÇA COM ÁREA MÉDIA MAIOR QUE 20 M², PÉ-DIREITO SIMPLES, EM CHAPA DE MADEIRA COMPENSADA RESINADA, 2 UTILIZAÇÕES. AF_12/2015</v>
          </cell>
          <cell r="C2027" t="str">
            <v>M2</v>
          </cell>
          <cell r="D2027">
            <v>36.619999999999997</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v>61.13</v>
          </cell>
        </row>
        <row r="2029">
          <cell r="A2029">
            <v>92512</v>
          </cell>
          <cell r="B2029" t="str">
            <v>MONTAGEM E DESMONTAGEM DE FÔRMA DE LAJE MACIÇA COM ÁREA MÉDIA MAIOR QUE 20 M², PÉ-DIREITO DUPLO, EM CHAPA DE MADEIRA COMPENSADA RESINADA, 4 UTILIZAÇÕES. AF_12/2015</v>
          </cell>
          <cell r="C2029" t="str">
            <v>M2</v>
          </cell>
          <cell r="D2029">
            <v>59.61</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v>27.64</v>
          </cell>
        </row>
        <row r="2031">
          <cell r="A2031">
            <v>92514</v>
          </cell>
          <cell r="B2031" t="str">
            <v>MONTAGEM E DESMONTAGEM DE FÔRMA DE LAJE MACIÇA COM ÁREA MÉDIA MAIOR QUE 20 M², PÉ-DIREITO SIMPLES, EM CHAPA DE MADEIRA COMPENSADA RESINADA, 4 UTILIZAÇÕES. AF_12/2015</v>
          </cell>
          <cell r="C2031" t="str">
            <v>M2</v>
          </cell>
          <cell r="D2031">
            <v>26.24</v>
          </cell>
        </row>
        <row r="2032">
          <cell r="A2032">
            <v>92515</v>
          </cell>
          <cell r="B2032" t="str">
            <v>MONTAGEM E DESMONTAGEM DE FÔRMA DE LAJE MACIÇA COM ÁREA MÉDIA MAIOR QUE 20 M², PÉ-DIREITO DUPLO, EM CHAPA DE MADEIRA COMPENSADA RESINADA, 6 UTILIZAÇÕES. AF_12/2015</v>
          </cell>
          <cell r="C2032" t="str">
            <v>M2</v>
          </cell>
          <cell r="D2032">
            <v>55.44</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v>54.14</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v>23.15</v>
          </cell>
        </row>
        <row r="2035">
          <cell r="A2035">
            <v>92518</v>
          </cell>
          <cell r="B2035" t="str">
            <v>MONTAGEM E DESMONTAGEM DE FÔRMA DE LAJE MACIÇA COM ÁREA MÉDIA MAIOR QUE 20 M², PÉ-DIREITO SIMPLES, EM CHAPA DE MADEIRA COMPENSADA RESINADA, 6 UTILIZAÇÕES. AF_12/2015</v>
          </cell>
          <cell r="C2035" t="str">
            <v>M2</v>
          </cell>
          <cell r="D2035">
            <v>21.91</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v>52.55</v>
          </cell>
        </row>
        <row r="2037">
          <cell r="A2037">
            <v>92520</v>
          </cell>
          <cell r="B2037" t="str">
            <v>MONTAGEM E DESMONTAGEM DE FÔRMA DE LAJE MACIÇA COM ÁREA MÉDIA MAIOR QUE 20 M², PÉ-DIREITO DUPLO, EM CHAPA DE MADEIRA COMPENSADA RESINADA, 8 UTILIZAÇÕES. AF_12/2015</v>
          </cell>
          <cell r="C2037" t="str">
            <v>M2</v>
          </cell>
          <cell r="D2037">
            <v>51.35</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v>20.83</v>
          </cell>
        </row>
        <row r="2039">
          <cell r="A2039">
            <v>92522</v>
          </cell>
          <cell r="B2039" t="str">
            <v>MONTAGEM E DESMONTAGEM DE FÔRMA DE LAJE MACIÇA COM ÁREA MÉDIA MAIOR QUE 20 M², PÉ-DIREITO SIMPLES, EM CHAPA DE MADEIRA COMPENSADA RESINADA, 8 UTILIZAÇÕES. AF_12/2015</v>
          </cell>
          <cell r="C2039" t="str">
            <v>M2</v>
          </cell>
          <cell r="D2039">
            <v>19.7</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v>52.15</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v>50.99</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v>20.79</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v>19.690000000000001</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v>50.95</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v>49.83</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v>19.8</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v>18.75</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v>50.03</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v>48.94</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v>19.05</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v>18.05</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v>48.4</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v>47.35</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v>17.63</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v>16.649999999999999</v>
          </cell>
        </row>
        <row r="2056">
          <cell r="A2056">
            <v>95934</v>
          </cell>
          <cell r="B2056" t="str">
            <v>FABRICAÇÃO DE FÔRMA PARA ESCADAS, COM 2 LANCES, EM CHAPA DE MADEIRA COMPENSADA PLASTIFICADA, E=18 MM. AF_01/2017</v>
          </cell>
          <cell r="C2056" t="str">
            <v>M2</v>
          </cell>
          <cell r="D2056">
            <v>122.43</v>
          </cell>
        </row>
        <row r="2057">
          <cell r="A2057">
            <v>95935</v>
          </cell>
          <cell r="B2057" t="str">
            <v>FABRICAÇÃO DE FÔRMA PARA ESCADAS, COM 2 LANCES, EM CHAPA DE MADEIRA COMPENSADA RESINADA, E= 17 MM. AF_01/2017</v>
          </cell>
          <cell r="C2057" t="str">
            <v>M2</v>
          </cell>
          <cell r="D2057">
            <v>101.72</v>
          </cell>
        </row>
        <row r="2058">
          <cell r="A2058">
            <v>95936</v>
          </cell>
          <cell r="B2058" t="str">
            <v>FABRICAÇÃO DE FÔRMA PARA ESCADAS, COM 2 LANCES, EM MADEIRA SERRADA, E=25 MM. AF_01/2017</v>
          </cell>
          <cell r="C2058" t="str">
            <v>M2</v>
          </cell>
          <cell r="D2058">
            <v>89.65</v>
          </cell>
        </row>
        <row r="2059">
          <cell r="A2059">
            <v>95937</v>
          </cell>
          <cell r="B2059" t="str">
            <v>MONTAGEM E DESMONTAGEM DE FÔRMA PARA ESCADAS, COM 2 LANCES, EM MADEIRA SERRADA, 1 UTILIZAÇÃO. AF_01/2017</v>
          </cell>
          <cell r="C2059" t="str">
            <v>M2</v>
          </cell>
          <cell r="D2059">
            <v>245.89</v>
          </cell>
        </row>
        <row r="2060">
          <cell r="A2060">
            <v>95938</v>
          </cell>
          <cell r="B2060" t="str">
            <v>MONTAGEM E DESMONTAGEM DE FÔRMA PARA ESCADAS, COM 2 LANCES, EM MADEIRA SERRADA, 2 UTILIZAÇÕES. AF_01/2017</v>
          </cell>
          <cell r="C2060" t="str">
            <v>M2</v>
          </cell>
          <cell r="D2060">
            <v>204.33</v>
          </cell>
        </row>
        <row r="2061">
          <cell r="A2061">
            <v>95939</v>
          </cell>
          <cell r="B2061" t="str">
            <v>MONTAGEM E DESMONTAGEM DE FÔRMA PARA ESCADAS, COM 2 LANCES, EM CHAPA DE MADEIRA COMPENSADA RESINADA, 4 UTILIZAÇÕES. AF_01/2017</v>
          </cell>
          <cell r="C2061" t="str">
            <v>M2</v>
          </cell>
          <cell r="D2061">
            <v>160.22999999999999</v>
          </cell>
        </row>
        <row r="2062">
          <cell r="A2062">
            <v>95940</v>
          </cell>
          <cell r="B2062" t="str">
            <v>MONTAGEM E DESMONTAGEM DE FÔRMA PARA ESCADAS, COM 2 LANCES, EM CHAPA DE MADEIRA COMPENSADA PLASTIFICADA, 6 UTILIZAÇÕES. AF_01/2017</v>
          </cell>
          <cell r="C2062" t="str">
            <v>M2</v>
          </cell>
          <cell r="D2062">
            <v>131.35</v>
          </cell>
        </row>
        <row r="2063">
          <cell r="A2063">
            <v>95941</v>
          </cell>
          <cell r="B2063" t="str">
            <v>MONTAGEM E DESMONTAGEM DE FÔRMA PARA ESCADAS, COM 2 LANCES, EM CHAPA DE MADEIRA COMPENSADA PLASTIFICADA, 8 UTILIZAÇÕES. AF_01/2017</v>
          </cell>
          <cell r="C2063" t="str">
            <v>M2</v>
          </cell>
          <cell r="D2063">
            <v>115.78</v>
          </cell>
        </row>
        <row r="2064">
          <cell r="A2064">
            <v>95942</v>
          </cell>
          <cell r="B2064" t="str">
            <v>MONTAGEM E DESMONTAGEM DE FÔRMA PARA ESCADAS, COM 2 LANCES, EM CHAPA DE MADEIRA COMPENSADA PLASTIFICADA, 10 UTILIZAÇÕES. AF_01/2017</v>
          </cell>
          <cell r="C2064" t="str">
            <v>M2</v>
          </cell>
          <cell r="D2064">
            <v>106.06</v>
          </cell>
        </row>
        <row r="2065">
          <cell r="A2065">
            <v>96252</v>
          </cell>
          <cell r="B2065" t="str">
            <v>FABRICAÇÃO DE FÔRMA PARA PILARES CIRCULARES, EM CHAPA DE MADEIRA COMPENSADA RESINADA. AF_06/2017</v>
          </cell>
          <cell r="C2065" t="str">
            <v>M2</v>
          </cell>
          <cell r="D2065">
            <v>154.4</v>
          </cell>
        </row>
        <row r="2066">
          <cell r="A2066">
            <v>96257</v>
          </cell>
          <cell r="B2066" t="str">
            <v>MONTAGEM E DESMONTAGEM DE FÔRMA DE PILARES CIRCULARES, COM ÁREA MÉDIA DAS SEÇÕES MENOR OU IGUAL A 0,28 M², PÉ-DIREITO SIMPLES, EM MADEIRA, 2 UTILIZAÇÕES. AF_06/2017</v>
          </cell>
          <cell r="C2066" t="str">
            <v>M2</v>
          </cell>
          <cell r="D2066">
            <v>133.21</v>
          </cell>
        </row>
        <row r="2067">
          <cell r="A2067">
            <v>96258</v>
          </cell>
          <cell r="B2067" t="str">
            <v>MONTAGEM E DESMONTAGEM DE FÔRMA DE PILARES CIRCULARES, COM ÁREA MÉDIA DAS SEÇÕES MAIOR QUE 0,28 M², PÉ-DIREITO SIMPLES, EM MADEIRA, 2 UTILIZAÇÕES. AF_06/2017</v>
          </cell>
          <cell r="C2067" t="str">
            <v>M2</v>
          </cell>
          <cell r="D2067">
            <v>124.29</v>
          </cell>
        </row>
        <row r="2068">
          <cell r="A2068">
            <v>96259</v>
          </cell>
          <cell r="B2068" t="str">
            <v>MONTAGEM E DESMONTAGEM DE FÔRMA DE PILARES CIRCULARES, COM ÁREA MÉDIA DAS SEÇÕES MENOR OU IGUAL A 0,28 M², PÉ-DIREITO DUPLO, EM MADEIRA, 2 UTILIZAÇÕES. AF_06/2017</v>
          </cell>
          <cell r="C2068" t="str">
            <v>M2</v>
          </cell>
          <cell r="D2068">
            <v>150.62</v>
          </cell>
        </row>
        <row r="2069">
          <cell r="A2069">
            <v>96529</v>
          </cell>
          <cell r="B2069" t="str">
            <v>FABRICAÇÃO, MONTAGEM E DESMONTAGEM DE FÔRMA PARA SAPATA, EM MADEIRA SERRADA, E=25 MM, 1 UTILIZAÇÃO. AF_06/2017</v>
          </cell>
          <cell r="C2069" t="str">
            <v>M2</v>
          </cell>
          <cell r="D2069">
            <v>195.51</v>
          </cell>
        </row>
        <row r="2070">
          <cell r="A2070">
            <v>96530</v>
          </cell>
          <cell r="B2070" t="str">
            <v>FABRICAÇÃO, MONTAGEM E DESMONTAGEM DE FÔRMA PARA VIGA BALDRAME, EM MADEIRA SERRADA, E=25 MM, 1 UTILIZAÇÃO. AF_06/2017</v>
          </cell>
          <cell r="C2070" t="str">
            <v>M2</v>
          </cell>
          <cell r="D2070">
            <v>93.02</v>
          </cell>
        </row>
        <row r="2071">
          <cell r="A2071">
            <v>96531</v>
          </cell>
          <cell r="B2071" t="str">
            <v>FABRICAÇÃO, MONTAGEM E DESMONTAGEM DE FÔRMA PARA BLOCO DE COROAMENTO, EM MADEIRA SERRADA, E=25 MM, 2 UTILIZAÇÕES. AF_06/2017</v>
          </cell>
          <cell r="C2071" t="str">
            <v>M2</v>
          </cell>
          <cell r="D2071">
            <v>71.14</v>
          </cell>
        </row>
        <row r="2072">
          <cell r="A2072">
            <v>96532</v>
          </cell>
          <cell r="B2072" t="str">
            <v>FABRICAÇÃO, MONTAGEM E DESMONTAGEM DE FÔRMA PARA SAPATA, EM MADEIRA SERRADA, E=25 MM, 2 UTILIZAÇÕES. AF_06/2017</v>
          </cell>
          <cell r="C2072" t="str">
            <v>M2</v>
          </cell>
          <cell r="D2072">
            <v>129.93</v>
          </cell>
        </row>
        <row r="2073">
          <cell r="A2073">
            <v>96533</v>
          </cell>
          <cell r="B2073" t="str">
            <v>FABRICAÇÃO, MONTAGEM E DESMONTAGEM DE FÔRMA PARA VIGA BALDRAME, EM MADEIRA SERRADA, E=25 MM, 2 UTILIZAÇÕES. AF_06/2017</v>
          </cell>
          <cell r="C2073" t="str">
            <v>M2</v>
          </cell>
          <cell r="D2073">
            <v>61.42</v>
          </cell>
        </row>
        <row r="2074">
          <cell r="A2074">
            <v>96534</v>
          </cell>
          <cell r="B2074" t="str">
            <v>FABRICAÇÃO, MONTAGEM E DESMONTAGEM DE FÔRMA PARA BLOCO DE COROAMENTO, EM MADEIRA SERRADA, E=25 MM, 4 UTILIZAÇÕES. AF_06/2017</v>
          </cell>
          <cell r="C2074" t="str">
            <v>M2</v>
          </cell>
          <cell r="D2074">
            <v>53.47</v>
          </cell>
        </row>
        <row r="2075">
          <cell r="A2075">
            <v>96535</v>
          </cell>
          <cell r="B2075" t="str">
            <v>FABRICAÇÃO, MONTAGEM E DESMONTAGEM DE FÔRMA PARA SAPATA, EM MADEIRA SERRADA, E=25 MM, 4 UTILIZAÇÕES. AF_06/2017</v>
          </cell>
          <cell r="C2075" t="str">
            <v>M2</v>
          </cell>
          <cell r="D2075">
            <v>95.78</v>
          </cell>
        </row>
        <row r="2076">
          <cell r="A2076">
            <v>96536</v>
          </cell>
          <cell r="B2076" t="str">
            <v>FABRICAÇÃO, MONTAGEM E DESMONTAGEM DE FÔRMA PARA VIGA BALDRAME, EM MADEIRA SERRADA, E=25 MM, 4 UTILIZAÇÕES. AF_06/2017</v>
          </cell>
          <cell r="C2076" t="str">
            <v>M2</v>
          </cell>
          <cell r="D2076">
            <v>44.98</v>
          </cell>
        </row>
        <row r="2077">
          <cell r="A2077">
            <v>96537</v>
          </cell>
          <cell r="B2077" t="str">
            <v>FABRICAÇÃO, MONTAGEM E DESMONTAGEM DE FÔRMA PARA BLOCO DE COROAMENTO, EM CHAPA DE MADEIRA COMPENSADA RESINADA, E=17 MM, 2 UTILIZAÇÕES. AF_06/2017</v>
          </cell>
          <cell r="C2077" t="str">
            <v>M2</v>
          </cell>
          <cell r="D2077">
            <v>119.89</v>
          </cell>
        </row>
        <row r="2078">
          <cell r="A2078">
            <v>96538</v>
          </cell>
          <cell r="B2078" t="str">
            <v>FABRICAÇÃO, MONTAGEM E DESMONTAGEM DE FÔRMA PARA SAPATA, EM CHAPA DE MADEIRA COMPENSADA RESINADA, E=17 MM, 2 UTILIZAÇÕES. AF_06/2017</v>
          </cell>
          <cell r="C2078" t="str">
            <v>M2</v>
          </cell>
          <cell r="D2078">
            <v>188.29</v>
          </cell>
        </row>
        <row r="2079">
          <cell r="A2079">
            <v>96539</v>
          </cell>
          <cell r="B2079" t="str">
            <v>FABRICAÇÃO, MONTAGEM E DESMONTAGEM DE FÔRMA PARA VIGA BALDRAME, EM CHAPA DE MADEIRA COMPENSADA RESINADA, E=17 MM, 2 UTILIZAÇÕES. AF_06/2017</v>
          </cell>
          <cell r="C2079" t="str">
            <v>M2</v>
          </cell>
          <cell r="D2079">
            <v>84.07</v>
          </cell>
        </row>
        <row r="2080">
          <cell r="A2080">
            <v>96540</v>
          </cell>
          <cell r="B2080" t="str">
            <v>FABRICAÇÃO, MONTAGEM E DESMONTAGEM DE FÔRMA PARA BLOCO DE COROAMENTO, EM CHAPA DE MADEIRA COMPENSADA RESINADA, E=17 MM, 4 UTILIZAÇÕES. AF_06/2017</v>
          </cell>
          <cell r="C2080" t="str">
            <v>M2</v>
          </cell>
          <cell r="D2080">
            <v>86.57</v>
          </cell>
        </row>
        <row r="2081">
          <cell r="A2081">
            <v>96541</v>
          </cell>
          <cell r="B2081" t="str">
            <v>FABRICAÇÃO, MONTAGEM E DESMONTAGEM DE FÔRMA PARA SAPATA, EM CHAPA DE MADEIRA COMPENSADA RESINADA, E=17 MM, 4 UTILIZAÇÕES. AF_06/2017</v>
          </cell>
          <cell r="C2081" t="str">
            <v>M2</v>
          </cell>
          <cell r="D2081">
            <v>134.63999999999999</v>
          </cell>
        </row>
        <row r="2082">
          <cell r="A2082">
            <v>96542</v>
          </cell>
          <cell r="B2082" t="str">
            <v>FABRICAÇÃO, MONTAGEM E DESMONTAGEM DE FÔRMA PARA VIGA BALDRAME, EM CHAPA DE MADEIRA COMPENSADA RESINADA, E=17 MM, 4 UTILIZAÇÕES. AF_06/2017</v>
          </cell>
          <cell r="C2082" t="str">
            <v>M2</v>
          </cell>
          <cell r="D2082">
            <v>64.14</v>
          </cell>
        </row>
        <row r="2083">
          <cell r="A2083">
            <v>96543</v>
          </cell>
          <cell r="B2083" t="str">
            <v>ARMAÇÃO DE BLOCO, VIGA BALDRAME E SAPATA UTILIZANDO AÇO CA-60 DE 5 MM - MONTAGEM. AF_06/2017</v>
          </cell>
          <cell r="C2083" t="str">
            <v>KG</v>
          </cell>
          <cell r="D2083">
            <v>12.6</v>
          </cell>
        </row>
        <row r="2084">
          <cell r="A2084">
            <v>97747</v>
          </cell>
          <cell r="B2084" t="str">
            <v>MONTAGEM E DESMONTAGEM DE FÔRMA DE PILARES CIRCULARES, COM ÁREA MÉDIA DAS SEÇÕES MAIOR QUE 0,28 M², PÉ-DIREITO DUPLO, EM MADEIRA, 2 UTILIZAÇÕES.  AF_06/2017</v>
          </cell>
          <cell r="C2084" t="str">
            <v>M2</v>
          </cell>
          <cell r="D2084">
            <v>139.30000000000001</v>
          </cell>
        </row>
        <row r="2085">
          <cell r="A2085">
            <v>89996</v>
          </cell>
          <cell r="B2085" t="str">
            <v>ARMAÇÃO VERTICAL DE ALVENARIA ESTRUTURAL; DIÂMETRO DE 10,0 MM. AF_01/2015</v>
          </cell>
          <cell r="C2085" t="str">
            <v>KG</v>
          </cell>
          <cell r="D2085">
            <v>7.42</v>
          </cell>
        </row>
        <row r="2086">
          <cell r="A2086">
            <v>89997</v>
          </cell>
          <cell r="B2086" t="str">
            <v>ARMAÇÃO VERTICAL DE ALVENARIA ESTRUTURAL; DIÂMETRO DE 12,5 MM. AF_01/2015</v>
          </cell>
          <cell r="C2086" t="str">
            <v>KG</v>
          </cell>
          <cell r="D2086">
            <v>6</v>
          </cell>
        </row>
        <row r="2087">
          <cell r="A2087">
            <v>89998</v>
          </cell>
          <cell r="B2087" t="str">
            <v>ARMAÇÃO DE CINTA DE ALVENARIA ESTRUTURAL; DIÂMETRO DE 10,0 MM. AF_01/2015</v>
          </cell>
          <cell r="C2087" t="str">
            <v>KG</v>
          </cell>
          <cell r="D2087">
            <v>7</v>
          </cell>
        </row>
        <row r="2088">
          <cell r="A2088">
            <v>89999</v>
          </cell>
          <cell r="B2088" t="str">
            <v>ARMAÇÃO DE VERGA E CONTRAVERGA DE ALVENARIA ESTRUTURAL; DIÂMETRO DE 8,0 MM. AF_01/2015</v>
          </cell>
          <cell r="C2088" t="str">
            <v>KG</v>
          </cell>
          <cell r="D2088">
            <v>10.52</v>
          </cell>
        </row>
        <row r="2089">
          <cell r="A2089">
            <v>90000</v>
          </cell>
          <cell r="B2089" t="str">
            <v>ARMAÇÃO DE VERGA E CONTRAVERGA DE ALVENARIA ESTRUTURAL; DIÂMETRO DE 10,0 MM. AF_01/2015</v>
          </cell>
          <cell r="C2089" t="str">
            <v>KG</v>
          </cell>
          <cell r="D2089">
            <v>8.49</v>
          </cell>
        </row>
        <row r="2090">
          <cell r="A2090">
            <v>91593</v>
          </cell>
          <cell r="B2090" t="str">
            <v>ARMAÇÃO DO SISTEMA DE PAREDES DE CONCRETO, EXECUTADA EM PAREDES DE EDIFICAÇÕES DE MÚLTIPLOS PAVIMENTOS, TELA Q-138. AF_06/2019</v>
          </cell>
          <cell r="C2090" t="str">
            <v>KG</v>
          </cell>
          <cell r="D2090">
            <v>7.87</v>
          </cell>
        </row>
        <row r="2091">
          <cell r="A2091">
            <v>91594</v>
          </cell>
          <cell r="B2091" t="str">
            <v>ARMAÇÃO DO SISTEMA DE PAREDES DE CONCRETO, EXECUTADA EM PAREDES DE EDIFICAÇÕES TÉRREAS OU DE MÚLTIPLOS PAVIMENTOS, TELA Q-92. AF_06/2019</v>
          </cell>
          <cell r="C2091" t="str">
            <v>KG</v>
          </cell>
          <cell r="D2091">
            <v>8.16</v>
          </cell>
        </row>
        <row r="2092">
          <cell r="A2092">
            <v>91595</v>
          </cell>
          <cell r="B2092" t="str">
            <v>ARMAÇÃO DO SISTEMA DE PAREDES DE CONCRETO, EXECUTADA EM PAREDES DE EDIFICAÇÕES TÉRREAS, TELA Q-61. AF_06/2019</v>
          </cell>
          <cell r="C2092" t="str">
            <v>KG</v>
          </cell>
          <cell r="D2092">
            <v>8.67</v>
          </cell>
        </row>
        <row r="2093">
          <cell r="A2093">
            <v>91596</v>
          </cell>
          <cell r="B2093" t="str">
            <v>ARMAÇÃO DO SISTEMA DE PAREDES DE CONCRETO, EXECUTADA COMO ARMADURA POSITIVA DE LAJES, TELA Q-138. AF_06/2019</v>
          </cell>
          <cell r="C2093" t="str">
            <v>KG</v>
          </cell>
          <cell r="D2093">
            <v>8.09</v>
          </cell>
        </row>
        <row r="2094">
          <cell r="A2094">
            <v>91597</v>
          </cell>
          <cell r="B2094" t="str">
            <v>ARMAÇÃO DO SISTEMA DE PAREDES DE CONCRETO, EXECUTADA COMO ARMADURA NEGATIVA DE LAJES, TELA T-196. AF_06/2019</v>
          </cell>
          <cell r="C2094" t="str">
            <v>KG</v>
          </cell>
          <cell r="D2094">
            <v>5.77</v>
          </cell>
        </row>
        <row r="2095">
          <cell r="A2095">
            <v>91598</v>
          </cell>
          <cell r="B2095" t="str">
            <v>ARMAÇÃO DO SISTEMA DE PAREDES DE CONCRETO, EXECUTADA COMO ARMADURA POSITIVA DE LAJES, TELA Q-113. AF_06/2019</v>
          </cell>
          <cell r="C2095" t="str">
            <v>KG</v>
          </cell>
          <cell r="D2095">
            <v>7.95</v>
          </cell>
        </row>
        <row r="2096">
          <cell r="A2096">
            <v>91599</v>
          </cell>
          <cell r="B2096" t="str">
            <v>ARMAÇÃO DO SISTEMA DE PAREDES DE CONCRETO, EXECUTADA COMO ARMADURA NEGATIVA DE LAJES, TELA L-159. AF_06/2019</v>
          </cell>
          <cell r="C2096" t="str">
            <v>KG</v>
          </cell>
          <cell r="D2096">
            <v>6.04</v>
          </cell>
        </row>
        <row r="2097">
          <cell r="A2097">
            <v>91600</v>
          </cell>
          <cell r="B2097" t="str">
            <v>ARMAÇÃO DO SISTEMA DE PAREDES DE CONCRETO, EXECUTADA EM PLATIBANDAS, TELA Q-92. AF_06/2019</v>
          </cell>
          <cell r="C2097" t="str">
            <v>KG</v>
          </cell>
          <cell r="D2097">
            <v>9.9499999999999993</v>
          </cell>
        </row>
        <row r="2098">
          <cell r="A2098">
            <v>91601</v>
          </cell>
          <cell r="B2098" t="str">
            <v>ARMAÇÃO DO SISTEMA DE PAREDES DE CONCRETO, EXECUTADA COMO REFORÇO, VERGALHÃO DE 6,3 MM DE DIÂMETRO. AF_06/2019</v>
          </cell>
          <cell r="C2098" t="str">
            <v>KG</v>
          </cell>
          <cell r="D2098">
            <v>8.4600000000000009</v>
          </cell>
        </row>
        <row r="2099">
          <cell r="A2099">
            <v>91602</v>
          </cell>
          <cell r="B2099" t="str">
            <v>ARMAÇÃO DO SISTEMA DE PAREDES DE CONCRETO, EXECUTADA COMO REFORÇO, VERGALHÃO DE 8,0 MM DE DIÂMETRO. AF_06/2019</v>
          </cell>
          <cell r="C2099" t="str">
            <v>KG</v>
          </cell>
          <cell r="D2099">
            <v>7.75</v>
          </cell>
        </row>
        <row r="2100">
          <cell r="A2100">
            <v>91603</v>
          </cell>
          <cell r="B2100" t="str">
            <v>ARMAÇÃO DO SISTEMA DE PAREDES DE CONCRETO, EXECUTADA COMO REFORÇO, VERGALHÃO DE 10,0 MM DE DIÂMETRO. AF_06/2019</v>
          </cell>
          <cell r="C2100" t="str">
            <v>KG</v>
          </cell>
          <cell r="D2100">
            <v>7.31</v>
          </cell>
        </row>
        <row r="2101">
          <cell r="A2101">
            <v>92759</v>
          </cell>
          <cell r="B2101" t="str">
            <v>ARMAÇÃO DE PILAR OU VIGA DE UMA ESTRUTURA CONVENCIONAL DE CONCRETO ARMADO EM UM EDIFÍCIO DE MÚLTIPLOS PAVIMENTOS UTILIZANDO AÇO CA-60 DE 5,0 MM - MONTAGEM. AF_12/2015</v>
          </cell>
          <cell r="C2101" t="str">
            <v>KG</v>
          </cell>
          <cell r="D2101">
            <v>10.45</v>
          </cell>
        </row>
        <row r="2102">
          <cell r="A2102">
            <v>92760</v>
          </cell>
          <cell r="B2102" t="str">
            <v>ARMAÇÃO DE PILAR OU VIGA DE UMA ESTRUTURA CONVENCIONAL DE CONCRETO ARMADO EM UM EDIFÍCIO DE MÚLTIPLOS PAVIMENTOS UTILIZANDO AÇO CA-50 DE 6,3 MM - MONTAGEM. AF_12/2015</v>
          </cell>
          <cell r="C2102" t="str">
            <v>KG</v>
          </cell>
          <cell r="D2102">
            <v>9.6300000000000008</v>
          </cell>
        </row>
        <row r="2103">
          <cell r="A2103">
            <v>92761</v>
          </cell>
          <cell r="B2103" t="str">
            <v>ARMAÇÃO DE PILAR OU VIGA DE UMA ESTRUTURA CONVENCIONAL DE CONCRETO ARMADO EM UM EDIFÍCIO DE MÚLTIPLOS PAVIMENTOS UTILIZANDO AÇO CA-50 DE 8,0 MM - MONTAGEM. AF_12/2015</v>
          </cell>
          <cell r="C2103" t="str">
            <v>KG</v>
          </cell>
          <cell r="D2103">
            <v>8.93</v>
          </cell>
        </row>
        <row r="2104">
          <cell r="A2104">
            <v>92762</v>
          </cell>
          <cell r="B2104" t="str">
            <v>ARMAÇÃO DE PILAR OU VIGA DE UMA ESTRUTURA CONVENCIONAL DE CONCRETO ARMADO EM UM EDIFÍCIO DE MÚLTIPLOS PAVIMENTOS UTILIZANDO AÇO CA-50 DE 10,0 MM - MONTAGEM. AF_12/2015</v>
          </cell>
          <cell r="C2104" t="str">
            <v>KG</v>
          </cell>
          <cell r="D2104">
            <v>7.92</v>
          </cell>
        </row>
        <row r="2105">
          <cell r="A2105">
            <v>92763</v>
          </cell>
          <cell r="B2105" t="str">
            <v>ARMAÇÃO DE PILAR OU VIGA DE UMA ESTRUTURA CONVENCIONAL DE CONCRETO ARMADO EM UM EDIFÍCIO DE MÚLTIPLOS PAVIMENTOS UTILIZANDO AÇO CA-50 DE 12,5 MM - MONTAGEM. AF_12/2015</v>
          </cell>
          <cell r="C2105" t="str">
            <v>KG</v>
          </cell>
          <cell r="D2105">
            <v>6.64</v>
          </cell>
        </row>
        <row r="2106">
          <cell r="A2106">
            <v>92764</v>
          </cell>
          <cell r="B2106" t="str">
            <v>ARMAÇÃO DE PILAR OU VIGA DE UMA ESTRUTURA CONVENCIONAL DE CONCRETO ARMADO EM UM EDIFÍCIO DE MÚLTIPLOS PAVIMENTOS UTILIZANDO AÇO CA-50 DE 16,0 MM - MONTAGEM. AF_12/2015</v>
          </cell>
          <cell r="C2106" t="str">
            <v>KG</v>
          </cell>
          <cell r="D2106">
            <v>6.27</v>
          </cell>
        </row>
        <row r="2107">
          <cell r="A2107">
            <v>92765</v>
          </cell>
          <cell r="B2107" t="str">
            <v>ARMAÇÃO DE PILAR OU VIGA DE UMA ESTRUTURA CONVENCIONAL DE CONCRETO ARMADO EM UM EDIFÍCIO DE MÚLTIPLOS PAVIMENTOS UTILIZANDO AÇO CA-50 DE 20,0 MM - MONTAGEM. AF_12/2015</v>
          </cell>
          <cell r="C2107" t="str">
            <v>KG</v>
          </cell>
          <cell r="D2107">
            <v>6.98</v>
          </cell>
        </row>
        <row r="2108">
          <cell r="A2108">
            <v>92766</v>
          </cell>
          <cell r="B2108" t="str">
            <v>ARMAÇÃO DE PILAR OU VIGA DE UMA ESTRUTURA CONVENCIONAL DE CONCRETO ARMADO EM UM EDIFÍCIO DE MÚLTIPLOS PAVIMENTOS UTILIZANDO AÇO CA-50 DE 25,0 MM - MONTAGEM. AF_12/2015</v>
          </cell>
          <cell r="C2108" t="str">
            <v>KG</v>
          </cell>
          <cell r="D2108">
            <v>6.8</v>
          </cell>
        </row>
        <row r="2109">
          <cell r="A2109">
            <v>92767</v>
          </cell>
          <cell r="B2109" t="str">
            <v>ARMAÇÃO DE LAJE DE UMA ESTRUTURA CONVENCIONAL DE CONCRETO ARMADO EM UM EDIFÍCIO DE MÚLTIPLOS PAVIMENTOS UTILIZANDO AÇO CA-60 DE 4,2 MM - MONTAGEM. AF_12/2015</v>
          </cell>
          <cell r="C2109" t="str">
            <v>KG</v>
          </cell>
          <cell r="D2109">
            <v>10.58</v>
          </cell>
        </row>
        <row r="2110">
          <cell r="A2110">
            <v>92768</v>
          </cell>
          <cell r="B2110" t="str">
            <v>ARMAÇÃO DE LAJE DE UMA ESTRUTURA CONVENCIONAL DE CONCRETO ARMADO EM UM EDIFÍCIO DE MÚLTIPLOS PAVIMENTOS UTILIZANDO AÇO CA-60 DE 5,0 MM - MONTAGEM. AF_12/2015</v>
          </cell>
          <cell r="C2110" t="str">
            <v>KG</v>
          </cell>
          <cell r="D2110">
            <v>9.31</v>
          </cell>
        </row>
        <row r="2111">
          <cell r="A2111">
            <v>92769</v>
          </cell>
          <cell r="B2111" t="str">
            <v>ARMAÇÃO DE LAJE DE UMA ESTRUTURA CONVENCIONAL DE CONCRETO ARMADO EM UM EDIFÍCIO DE MÚLTIPLOS PAVIMENTOS UTILIZANDO AÇO CA-50 DE 6,3 MM - MONTAGEM. AF_12/2015</v>
          </cell>
          <cell r="C2111" t="str">
            <v>KG</v>
          </cell>
          <cell r="D2111">
            <v>8.7799999999999994</v>
          </cell>
        </row>
        <row r="2112">
          <cell r="A2112">
            <v>92770</v>
          </cell>
          <cell r="B2112" t="str">
            <v>ARMAÇÃO DE LAJE DE UMA ESTRUTURA CONVENCIONAL DE CONCRETO ARMADO EM UM EDIFÍCIO DE MÚLTIPLOS PAVIMENTOS UTILIZANDO AÇO CA-50 DE 8,0 MM - MONTAGEM. AF_12/2015</v>
          </cell>
          <cell r="C2112" t="str">
            <v>KG</v>
          </cell>
          <cell r="D2112">
            <v>8.27</v>
          </cell>
        </row>
        <row r="2113">
          <cell r="A2113">
            <v>92771</v>
          </cell>
          <cell r="B2113" t="str">
            <v>ARMAÇÃO DE LAJE DE UMA ESTRUTURA CONVENCIONAL DE CONCRETO ARMADO EM UM EDIFÍCIO DE MÚLTIPLOS PAVIMENTOS UTILIZANDO AÇO CA-50 DE 10,0 MM - MONTAGEM. AF_12/2015</v>
          </cell>
          <cell r="C2113" t="str">
            <v>KG</v>
          </cell>
          <cell r="D2113">
            <v>7.4</v>
          </cell>
        </row>
        <row r="2114">
          <cell r="A2114">
            <v>92772</v>
          </cell>
          <cell r="B2114" t="str">
            <v>ARMAÇÃO DE LAJE DE UMA ESTRUTURA CONVENCIONAL DE CONCRETO ARMADO EM UM EDIFÍCIO DE MÚLTIPLOS PAVIMENTOS UTILIZANDO AÇO CA-50 DE 12,5 MM - MONTAGEM. AF_12/2015</v>
          </cell>
          <cell r="C2114" t="str">
            <v>KG</v>
          </cell>
          <cell r="D2114">
            <v>6.26</v>
          </cell>
        </row>
        <row r="2115">
          <cell r="A2115">
            <v>92773</v>
          </cell>
          <cell r="B2115" t="str">
            <v>ARMAÇÃO DE LAJE DE UMA ESTRUTURA CONVENCIONAL DE CONCRETO ARMADO EM UM EDIFÍCIO DE MÚLTIPLOS PAVIMENTOS UTILIZANDO AÇO CA-50 DE 16,0 MM - MONTAGEM. AF_12/2015</v>
          </cell>
          <cell r="C2115" t="str">
            <v>KG</v>
          </cell>
          <cell r="D2115">
            <v>5.99</v>
          </cell>
        </row>
        <row r="2116">
          <cell r="A2116">
            <v>92774</v>
          </cell>
          <cell r="B2116" t="str">
            <v>ARMAÇÃO DE LAJE DE UMA ESTRUTURA CONVENCIONAL DE CONCRETO ARMADO EM UM EDIFÍCIO DE MÚLTIPLOS PAVIMENTOS UTILIZANDO AÇO CA-50 DE 20,0 MM - MONTAGEM. AF_12/2015</v>
          </cell>
          <cell r="C2116" t="str">
            <v>KG</v>
          </cell>
          <cell r="D2116">
            <v>6.79</v>
          </cell>
        </row>
        <row r="2117">
          <cell r="A2117">
            <v>92775</v>
          </cell>
          <cell r="B2117" t="str">
            <v>ARMAÇÃO DE PILAR OU VIGA DE UMA ESTRUTURA CONVENCIONAL DE CONCRETO ARMADO EM UMA EDIFICAÇÃO TÉRREA OU SOBRADO UTILIZANDO AÇO CA-60 DE 5,0 MM - MONTAGEM. AF_12/2015</v>
          </cell>
          <cell r="C2117" t="str">
            <v>KG</v>
          </cell>
          <cell r="D2117">
            <v>12.68</v>
          </cell>
        </row>
        <row r="2118">
          <cell r="A2118">
            <v>92776</v>
          </cell>
          <cell r="B2118" t="str">
            <v>ARMAÇÃO DE PILAR OU VIGA DE UMA ESTRUTURA CONVENCIONAL DE CONCRETO ARMADO EM UMA EDIFICAÇÃO TÉRREA OU SOBRADO UTILIZANDO AÇO CA-50 DE 6,3 MM - MONTAGEM. AF_12/2015</v>
          </cell>
          <cell r="C2118" t="str">
            <v>KG</v>
          </cell>
          <cell r="D2118">
            <v>11.33</v>
          </cell>
        </row>
        <row r="2119">
          <cell r="A2119">
            <v>92777</v>
          </cell>
          <cell r="B2119" t="str">
            <v>ARMAÇÃO DE PILAR OU VIGA DE UMA ESTRUTURA CONVENCIONAL DE CONCRETO ARMADO EM UMA EDIFICAÇÃO TÉRREA OU SOBRADO UTILIZANDO AÇO CA-50 DE 8,0 MM - MONTAGEM. AF_12/2015</v>
          </cell>
          <cell r="C2119" t="str">
            <v>KG</v>
          </cell>
          <cell r="D2119">
            <v>10.19</v>
          </cell>
        </row>
        <row r="2120">
          <cell r="A2120">
            <v>92778</v>
          </cell>
          <cell r="B2120" t="str">
            <v>ARMAÇÃO DE PILAR OU VIGA DE UMA ESTRUTURA CONVENCIONAL DE CONCRETO ARMADO EM UMA EDIFICAÇÃO TÉRREA OU SOBRADO UTILIZANDO AÇO CA-50 DE 10,0 MM - MONTAGEM. AF_12/2015</v>
          </cell>
          <cell r="C2120" t="str">
            <v>KG</v>
          </cell>
          <cell r="D2120">
            <v>8.86</v>
          </cell>
        </row>
        <row r="2121">
          <cell r="A2121">
            <v>92779</v>
          </cell>
          <cell r="B2121" t="str">
            <v>ARMAÇÃO DE PILAR OU VIGA DE UMA ESTRUTURA CONVENCIONAL DE CONCRETO ARMADO EM UMA EDIFICAÇÃO TÉRREA OU SOBRADO UTILIZANDO AÇO CA-50 DE 12,5 MM - MONTAGEM. AF_12/2015</v>
          </cell>
          <cell r="C2121" t="str">
            <v>KG</v>
          </cell>
          <cell r="D2121">
            <v>7.33</v>
          </cell>
        </row>
        <row r="2122">
          <cell r="A2122">
            <v>92780</v>
          </cell>
          <cell r="B2122" t="str">
            <v>ARMAÇÃO DE PILAR OU VIGA DE UMA ESTRUTURA CONVENCIONAL DE CONCRETO ARMADO EM UMA EDIFICAÇÃO TÉRREA OU SOBRADO UTILIZANDO AÇO CA-50 DE 16,0 MM - MONTAGEM. AF_12/2015</v>
          </cell>
          <cell r="C2122" t="str">
            <v>KG</v>
          </cell>
          <cell r="D2122">
            <v>6.74</v>
          </cell>
        </row>
        <row r="2123">
          <cell r="A2123">
            <v>92781</v>
          </cell>
          <cell r="B2123" t="str">
            <v>ARMAÇÃO DE PILAR OU VIGA DE UMA ESTRUTURA CONVENCIONAL DE CONCRETO ARMADO EM UMA EDIFICAÇÃO TÉRREA OU SOBRADO UTILIZANDO AÇO CA-50 DE 20,0 MM - MONTAGEM. AF_12/2015</v>
          </cell>
          <cell r="C2123" t="str">
            <v>KG</v>
          </cell>
          <cell r="D2123">
            <v>7.29</v>
          </cell>
        </row>
        <row r="2124">
          <cell r="A2124">
            <v>92782</v>
          </cell>
          <cell r="B2124" t="str">
            <v>ARMAÇÃO DE PILAR OU VIGA DE UMA ESTRUTURA CONVENCIONAL DE CONCRETO ARMADO EM UMA EDIFICAÇÃO TÉRREA OU SOBRADO UTILIZANDO AÇO CA-50 DE 25,0 MM - MONTAGEM. AF_12/2015</v>
          </cell>
          <cell r="C2124" t="str">
            <v>KG</v>
          </cell>
          <cell r="D2124">
            <v>6.99</v>
          </cell>
        </row>
        <row r="2125">
          <cell r="A2125">
            <v>92783</v>
          </cell>
          <cell r="B2125" t="str">
            <v>ARMAÇÃO DE LAJE DE UMA ESTRUTURA CONVENCIONAL DE CONCRETO ARMADO EM UMA EDIFICAÇÃO TÉRREA OU SOBRADO UTILIZANDO AÇO CA-60 DE 4,2 MM - MONTAGEM. AF_12/2015</v>
          </cell>
          <cell r="C2125" t="str">
            <v>KG</v>
          </cell>
          <cell r="D2125">
            <v>12.47</v>
          </cell>
        </row>
        <row r="2126">
          <cell r="A2126">
            <v>92784</v>
          </cell>
          <cell r="B2126" t="str">
            <v>ARMAÇÃO DE LAJE DE UMA ESTRUTURA CONVENCIONAL DE CONCRETO ARMADO EM UMA EDIFICAÇÃO TÉRREA OU SOBRADO UTILIZANDO AÇO CA-60 DE 5,0 MM - MONTAGEM. AF_12/2015</v>
          </cell>
          <cell r="C2126" t="str">
            <v>KG</v>
          </cell>
          <cell r="D2126">
            <v>10.84</v>
          </cell>
        </row>
        <row r="2127">
          <cell r="A2127">
            <v>92785</v>
          </cell>
          <cell r="B2127" t="str">
            <v>ARMAÇÃO DE LAJE DE UMA ESTRUTURA CONVENCIONAL DE CONCRETO ARMADO EM UMA EDIFICAÇÃO TÉRREA OU SOBRADO UTILIZANDO AÇO CA-50 DE 6,3 MM - MONTAGEM. AF_12/2015</v>
          </cell>
          <cell r="C2127" t="str">
            <v>KG</v>
          </cell>
          <cell r="D2127">
            <v>9.94</v>
          </cell>
        </row>
        <row r="2128">
          <cell r="A2128">
            <v>92786</v>
          </cell>
          <cell r="B2128" t="str">
            <v>ARMAÇÃO DE LAJE DE UMA ESTRUTURA CONVENCIONAL DE CONCRETO ARMADO EM UMA EDIFICAÇÃO TÉRREA OU SOBRADO UTILIZANDO AÇO CA-50 DE 8,0 MM - MONTAGEM. AF_12/2015</v>
          </cell>
          <cell r="C2128" t="str">
            <v>KG</v>
          </cell>
          <cell r="D2128">
            <v>9.1300000000000008</v>
          </cell>
        </row>
        <row r="2129">
          <cell r="A2129">
            <v>92787</v>
          </cell>
          <cell r="B2129" t="str">
            <v>ARMAÇÃO DE LAJE DE UMA ESTRUTURA CONVENCIONAL DE CONCRETO ARMADO EM UMA EDIFICAÇÃO TÉRREA OU SOBRADO UTILIZANDO AÇO CA-50 DE 10,0 MM - MONTAGEM. AF_12/2015</v>
          </cell>
          <cell r="C2129" t="str">
            <v>KG</v>
          </cell>
          <cell r="D2129">
            <v>8.02</v>
          </cell>
        </row>
        <row r="2130">
          <cell r="A2130">
            <v>92788</v>
          </cell>
          <cell r="B2130" t="str">
            <v>ARMAÇÃO DE LAJE DE UMA ESTRUTURA CONVENCIONAL DE CONCRETO ARMADO EM UMA EDIFICAÇÃO TÉRREA OU SOBRADO UTILIZANDO AÇO CA-50 DE 12,5 MM - MONTAGEM. AF_12/2015</v>
          </cell>
          <cell r="C2130" t="str">
            <v>KG</v>
          </cell>
          <cell r="D2130">
            <v>6.7</v>
          </cell>
        </row>
        <row r="2131">
          <cell r="A2131">
            <v>92789</v>
          </cell>
          <cell r="B2131" t="str">
            <v>ARMAÇÃO DE LAJE DE UMA ESTRUTURA CONVENCIONAL DE CONCRETO ARMADO EM UMA EDIFICAÇÃO TÉRREA OU SOBRADO UTILIZANDO AÇO CA-50 DE 16,0 MM - MONTAGEM. AF_12/2015</v>
          </cell>
          <cell r="C2131" t="str">
            <v>KG</v>
          </cell>
          <cell r="D2131">
            <v>6.28</v>
          </cell>
        </row>
        <row r="2132">
          <cell r="A2132">
            <v>92790</v>
          </cell>
          <cell r="B2132" t="str">
            <v>ARMAÇÃO DE LAJE DE UMA ESTRUTURA CONVENCIONAL DE CONCRETO ARMADO EM UMA EDIFICAÇÃO TÉRREA OU SOBRADO UTILIZANDO AÇO CA-50 DE 20,0 MM - MONTAGEM. AF_12/2015</v>
          </cell>
          <cell r="C2132" t="str">
            <v>KG</v>
          </cell>
          <cell r="D2132">
            <v>6.96</v>
          </cell>
        </row>
        <row r="2133">
          <cell r="A2133">
            <v>92791</v>
          </cell>
          <cell r="B2133" t="str">
            <v>CORTE E DOBRA DE AÇO CA-60, DIÂMETRO DE 5,0 MM, UTILIZADO EM ESTRUTURAS DIVERSAS, EXCETO LAJES. AF_12/2015</v>
          </cell>
          <cell r="C2133" t="str">
            <v>KG</v>
          </cell>
          <cell r="D2133">
            <v>7.22</v>
          </cell>
        </row>
        <row r="2134">
          <cell r="A2134">
            <v>92792</v>
          </cell>
          <cell r="B2134" t="str">
            <v>CORTE E DOBRA DE AÇO CA-50, DIÂMETRO DE 6,3 MM, UTILIZADO EM ESTRUTURAS DIVERSAS, EXCETO LAJES. AF_12/2015</v>
          </cell>
          <cell r="C2134" t="str">
            <v>KG</v>
          </cell>
          <cell r="D2134">
            <v>7.08</v>
          </cell>
        </row>
        <row r="2135">
          <cell r="A2135">
            <v>92793</v>
          </cell>
          <cell r="B2135" t="str">
            <v>CORTE E DOBRA DE AÇO CA-50, DIÂMETRO DE 8,0 MM, UTILIZADO EM ESTRUTURAS DIVERSAS, EXCETO LAJES. AF_12/2015</v>
          </cell>
          <cell r="C2135" t="str">
            <v>KG</v>
          </cell>
          <cell r="D2135">
            <v>6.94</v>
          </cell>
        </row>
        <row r="2136">
          <cell r="A2136">
            <v>92794</v>
          </cell>
          <cell r="B2136" t="str">
            <v>CORTE E DOBRA DE AÇO CA-50, DIÂMETRO DE 10,0 MM, UTILIZADO EM ESTRUTURAS DIVERSAS, EXCETO LAJES. AF_12/2015</v>
          </cell>
          <cell r="C2136" t="str">
            <v>KG</v>
          </cell>
          <cell r="D2136">
            <v>6.34</v>
          </cell>
        </row>
        <row r="2137">
          <cell r="A2137">
            <v>92795</v>
          </cell>
          <cell r="B2137" t="str">
            <v>CORTE E DOBRA DE AÇO CA-50, DIÂMETRO DE 12,5 MM, UTILIZADO EM ESTRUTURAS DIVERSAS, EXCETO LAJES. AF_12/2015</v>
          </cell>
          <cell r="C2137" t="str">
            <v>KG</v>
          </cell>
          <cell r="D2137">
            <v>5.41</v>
          </cell>
        </row>
        <row r="2138">
          <cell r="A2138">
            <v>92796</v>
          </cell>
          <cell r="B2138" t="str">
            <v>CORTE E DOBRA DE AÇO CA-50, DIÂMETRO DE 16,0 MM, UTILIZADO EM ESTRUTURAS DIVERSAS, EXCETO LAJES. AF_12/2015</v>
          </cell>
          <cell r="C2138" t="str">
            <v>KG</v>
          </cell>
          <cell r="D2138">
            <v>5.34</v>
          </cell>
        </row>
        <row r="2139">
          <cell r="A2139">
            <v>92797</v>
          </cell>
          <cell r="B2139" t="str">
            <v>CORTE E DOBRA DE AÇO CA-50, DIÂMETRO DE 20,0 MM, UTILIZADO EM ESTRUTURAS DIVERSAS, EXCETO LAJES. AF_12/2015</v>
          </cell>
          <cell r="C2139" t="str">
            <v>KG</v>
          </cell>
          <cell r="D2139">
            <v>6.26</v>
          </cell>
        </row>
        <row r="2140">
          <cell r="A2140">
            <v>92798</v>
          </cell>
          <cell r="B2140" t="str">
            <v>CORTE E DOBRA DE AÇO CA-50, DIÂMETRO DE 25,0 MM, UTILIZADO EM ESTRUTURAS DIVERSAS, EXCETO LAJES. AF_12/2015</v>
          </cell>
          <cell r="C2140" t="str">
            <v>KG</v>
          </cell>
          <cell r="D2140">
            <v>6.25</v>
          </cell>
        </row>
        <row r="2141">
          <cell r="A2141">
            <v>92799</v>
          </cell>
          <cell r="B2141" t="str">
            <v>CORTE E DOBRA DE AÇO CA-60, DIÂMETRO DE 4,2 MM, UTILIZADO EM LAJE. AF_12/2015</v>
          </cell>
          <cell r="C2141" t="str">
            <v>KG</v>
          </cell>
          <cell r="D2141">
            <v>7.57</v>
          </cell>
        </row>
        <row r="2142">
          <cell r="A2142">
            <v>92800</v>
          </cell>
          <cell r="B2142" t="str">
            <v>CORTE E DOBRA DE AÇO CA-60, DIÂMETRO DE 5,0 MM, UTILIZADO EM LAJE. AF_12/2015</v>
          </cell>
          <cell r="C2142" t="str">
            <v>KG</v>
          </cell>
          <cell r="D2142">
            <v>6.81</v>
          </cell>
        </row>
        <row r="2143">
          <cell r="A2143">
            <v>92801</v>
          </cell>
          <cell r="B2143" t="str">
            <v>CORTE E DOBRA DE AÇO CA-50, DIÂMETRO DE 6,3 MM, UTILIZADO EM LAJE. AF_12/2015</v>
          </cell>
          <cell r="C2143" t="str">
            <v>KG</v>
          </cell>
          <cell r="D2143">
            <v>6.85</v>
          </cell>
        </row>
        <row r="2144">
          <cell r="A2144">
            <v>92802</v>
          </cell>
          <cell r="B2144" t="str">
            <v>CORTE E DOBRA DE AÇO CA-50, DIÂMETRO DE 8,0 MM, UTILIZADO EM LAJE. AF_12/2015</v>
          </cell>
          <cell r="C2144" t="str">
            <v>KG</v>
          </cell>
          <cell r="D2144">
            <v>6.8</v>
          </cell>
        </row>
        <row r="2145">
          <cell r="A2145">
            <v>92803</v>
          </cell>
          <cell r="B2145" t="str">
            <v>CORTE E DOBRA DE AÇO CA-50, DIÂMETRO DE 10,0 MM, UTILIZADO EM LAJE. AF_12/2015</v>
          </cell>
          <cell r="C2145" t="str">
            <v>KG</v>
          </cell>
          <cell r="D2145">
            <v>6.26</v>
          </cell>
        </row>
        <row r="2146">
          <cell r="A2146">
            <v>92804</v>
          </cell>
          <cell r="B2146" t="str">
            <v>CORTE E DOBRA DE AÇO CA-50, DIÂMETRO DE 12,5 MM, UTILIZADO EM LAJE. AF_12/2015</v>
          </cell>
          <cell r="C2146" t="str">
            <v>KG</v>
          </cell>
          <cell r="D2146">
            <v>5.37</v>
          </cell>
        </row>
        <row r="2147">
          <cell r="A2147">
            <v>92805</v>
          </cell>
          <cell r="B2147" t="str">
            <v>CORTE E DOBRA DE AÇO CA-50, DIÂMETRO DE 16,0 MM, UTILIZADO EM LAJE. AF_12/2015</v>
          </cell>
          <cell r="C2147" t="str">
            <v>KG</v>
          </cell>
          <cell r="D2147">
            <v>5.31</v>
          </cell>
        </row>
        <row r="2148">
          <cell r="A2148">
            <v>92806</v>
          </cell>
          <cell r="B2148" t="str">
            <v>CORTE E DOBRA DE AÇO CA-50, DIÂMETRO DE 20,0 MM, UTILIZADO EM LAJE. AF_12/2015</v>
          </cell>
          <cell r="C2148" t="str">
            <v>KG</v>
          </cell>
          <cell r="D2148">
            <v>6.25</v>
          </cell>
        </row>
        <row r="2149">
          <cell r="A2149">
            <v>92875</v>
          </cell>
          <cell r="B2149" t="str">
            <v>CORTE E DOBRA DE AÇO CA-25, DIÂMETRO DE 6,3 MM. AF_12/2015</v>
          </cell>
          <cell r="C2149" t="str">
            <v>KG</v>
          </cell>
          <cell r="D2149">
            <v>6.52</v>
          </cell>
        </row>
        <row r="2150">
          <cell r="A2150">
            <v>92876</v>
          </cell>
          <cell r="B2150" t="str">
            <v>CORTE E DOBRA DE AÇO CA-25, DIÂMETRO DE 8,0 MM. AF_12/2015</v>
          </cell>
          <cell r="C2150" t="str">
            <v>KG</v>
          </cell>
          <cell r="D2150">
            <v>6.31</v>
          </cell>
        </row>
        <row r="2151">
          <cell r="A2151">
            <v>92877</v>
          </cell>
          <cell r="B2151" t="str">
            <v>CORTE E DOBRA DE AÇO CA-25, DIÂMETRO DE 10,0 MM. AF_12/2015</v>
          </cell>
          <cell r="C2151" t="str">
            <v>KG</v>
          </cell>
          <cell r="D2151">
            <v>6.79</v>
          </cell>
        </row>
        <row r="2152">
          <cell r="A2152">
            <v>92878</v>
          </cell>
          <cell r="B2152" t="str">
            <v>CORTE E DOBRA DE AÇO CA-25, DIÂMETRO DE 12,5 MM. AF_12/2015</v>
          </cell>
          <cell r="C2152" t="str">
            <v>KG</v>
          </cell>
          <cell r="D2152">
            <v>6.67</v>
          </cell>
        </row>
        <row r="2153">
          <cell r="A2153">
            <v>92879</v>
          </cell>
          <cell r="B2153" t="str">
            <v>CORTE E DOBRA DE AÇO CA-25, DIÂMETRO DE 16,0 MM. AF_12/2015</v>
          </cell>
          <cell r="C2153" t="str">
            <v>KG</v>
          </cell>
          <cell r="D2153">
            <v>6.6</v>
          </cell>
        </row>
        <row r="2154">
          <cell r="A2154">
            <v>92880</v>
          </cell>
          <cell r="B2154" t="str">
            <v>CORTE E DOBRA DE AÇO CA-25, DIÂMETRO DE 20,0 MM. AF_12/2015</v>
          </cell>
          <cell r="C2154" t="str">
            <v>KG</v>
          </cell>
          <cell r="D2154">
            <v>6.74</v>
          </cell>
        </row>
        <row r="2155">
          <cell r="A2155">
            <v>92881</v>
          </cell>
          <cell r="B2155" t="str">
            <v>CORTE E DOBRA DE AÇO CA-25, DIÂMETRO DE 25,0 MM. AF_12/2015</v>
          </cell>
          <cell r="C2155" t="str">
            <v>KG</v>
          </cell>
          <cell r="D2155">
            <v>6.73</v>
          </cell>
        </row>
        <row r="2156">
          <cell r="A2156">
            <v>92882</v>
          </cell>
          <cell r="B2156" t="str">
            <v>ARMAÇÃO UTILIZANDO AÇO CA-25 DE 6,3 MM - MONTAGEM. AF_12/2015</v>
          </cell>
          <cell r="C2156" t="str">
            <v>KG</v>
          </cell>
          <cell r="D2156">
            <v>9.07</v>
          </cell>
        </row>
        <row r="2157">
          <cell r="A2157">
            <v>92883</v>
          </cell>
          <cell r="B2157" t="str">
            <v>ARMAÇÃO UTILIZANDO AÇO CA-25 DE 8,0 MM - MONTAGEM. AF_12/2015</v>
          </cell>
          <cell r="C2157" t="str">
            <v>KG</v>
          </cell>
          <cell r="D2157">
            <v>8.3000000000000007</v>
          </cell>
        </row>
        <row r="2158">
          <cell r="A2158">
            <v>92884</v>
          </cell>
          <cell r="B2158" t="str">
            <v>ARMAÇÃO UTILIZANDO AÇO CA-25 DE 10,0 MM - MONTAGEM. AF_12/2015</v>
          </cell>
          <cell r="C2158" t="str">
            <v>KG</v>
          </cell>
          <cell r="D2158">
            <v>8.3699999999999992</v>
          </cell>
        </row>
        <row r="2159">
          <cell r="A2159">
            <v>92885</v>
          </cell>
          <cell r="B2159" t="str">
            <v>ARMAÇÃO UTILIZANDO AÇO CA-25 DE 12,5 MM - MONTAGEM. AF_12/2015</v>
          </cell>
          <cell r="C2159" t="str">
            <v>KG</v>
          </cell>
          <cell r="D2159">
            <v>7.9</v>
          </cell>
        </row>
        <row r="2160">
          <cell r="A2160">
            <v>92886</v>
          </cell>
          <cell r="B2160" t="str">
            <v>ARMAÇÃO UTILIZANDO AÇO CA-25 DE 16,0 MM - MONTAGEM. AF_12/2015</v>
          </cell>
          <cell r="C2160" t="str">
            <v>KG</v>
          </cell>
          <cell r="D2160">
            <v>7.53</v>
          </cell>
        </row>
        <row r="2161">
          <cell r="A2161">
            <v>92887</v>
          </cell>
          <cell r="B2161" t="str">
            <v>ARMAÇÃO UTILIZANDO AÇO CA-25 DE 20,0 MM - MONTAGEM. AF_12/2015</v>
          </cell>
          <cell r="C2161" t="str">
            <v>KG</v>
          </cell>
          <cell r="D2161">
            <v>7.46</v>
          </cell>
        </row>
        <row r="2162">
          <cell r="A2162">
            <v>92888</v>
          </cell>
          <cell r="B2162" t="str">
            <v>ARMAÇÃO UTILIZANDO AÇO CA-25 DE 25,0 MM - MONTAGEM. AF_12/2015</v>
          </cell>
          <cell r="C2162" t="str">
            <v>KG</v>
          </cell>
          <cell r="D2162">
            <v>7.28</v>
          </cell>
        </row>
        <row r="2163">
          <cell r="A2163">
            <v>92915</v>
          </cell>
          <cell r="B2163" t="str">
            <v>ARMAÇÃO DE ESTRUTURAS DE CONCRETO ARMADO, EXCETO VIGAS, PILARES, LAJES E FUNDAÇÕES, UTILIZANDO AÇO CA-60 DE 5,0 MM - MONTAGEM. AF_12/2015</v>
          </cell>
          <cell r="C2163" t="str">
            <v>KG</v>
          </cell>
          <cell r="D2163">
            <v>11.57</v>
          </cell>
        </row>
        <row r="2164">
          <cell r="A2164">
            <v>92916</v>
          </cell>
          <cell r="B2164" t="str">
            <v>ARMAÇÃO DE ESTRUTURAS DE CONCRETO ARMADO, EXCETO VIGAS, PILARES, LAJES E FUNDAÇÕES, UTILIZANDO AÇO CA-50 DE 6,3 MM - MONTAGEM. AF_12/2015</v>
          </cell>
          <cell r="C2164" t="str">
            <v>KG</v>
          </cell>
          <cell r="D2164">
            <v>10.49</v>
          </cell>
        </row>
        <row r="2165">
          <cell r="A2165">
            <v>92917</v>
          </cell>
          <cell r="B2165" t="str">
            <v>ARMAÇÃO DE ESTRUTURAS DE CONCRETO ARMADO, EXCETO VIGAS, PILARES, LAJES E FUNDAÇÕES, UTILIZANDO AÇO CA-50 DE 8,0 MM - MONTAGEM. AF_12/2015</v>
          </cell>
          <cell r="C2165" t="str">
            <v>KG</v>
          </cell>
          <cell r="D2165">
            <v>9.56</v>
          </cell>
        </row>
        <row r="2166">
          <cell r="A2166">
            <v>92919</v>
          </cell>
          <cell r="B2166" t="str">
            <v>ARMAÇÃO DE ESTRUTURAS DE CONCRETO ARMADO, EXCETO VIGAS, PILARES, LAJES E FUNDAÇÕES, UTILIZANDO AÇO CA-50 DE 10,0 MM - MONTAGEM. AF_12/2015</v>
          </cell>
          <cell r="C2166" t="str">
            <v>KG</v>
          </cell>
          <cell r="D2166">
            <v>8.39</v>
          </cell>
        </row>
        <row r="2167">
          <cell r="A2167">
            <v>92921</v>
          </cell>
          <cell r="B2167" t="str">
            <v>ARMAÇÃO DE ESTRUTURAS DE CONCRETO ARMADO, EXCETO VIGAS, PILARES, LAJES E FUNDAÇÕES, UTILIZANDO AÇO CA-50 DE 12,5 MM - MONTAGEM. AF_12/2015</v>
          </cell>
          <cell r="C2167" t="str">
            <v>KG</v>
          </cell>
          <cell r="D2167">
            <v>6.98</v>
          </cell>
        </row>
        <row r="2168">
          <cell r="A2168">
            <v>92922</v>
          </cell>
          <cell r="B2168" t="str">
            <v>ARMAÇÃO DE ESTRUTURAS DE CONCRETO ARMADO, EXCETO VIGAS, PILARES, LAJES E FUNDAÇÕES, UTILIZANDO AÇO CA-50 DE 16,0 MM - MONTAGEM. AF_12/2015</v>
          </cell>
          <cell r="C2168" t="str">
            <v>KG</v>
          </cell>
          <cell r="D2168">
            <v>6.51</v>
          </cell>
        </row>
        <row r="2169">
          <cell r="A2169">
            <v>92923</v>
          </cell>
          <cell r="B2169" t="str">
            <v>ARMAÇÃO DE ESTRUTURAS DE CONCRETO ARMADO, EXCETO VIGAS, PILARES, LAJES E FUNDAÇÕES, UTILIZANDO AÇO CA-50 DE 20,0 MM - MONTAGEM. AF_12/2015</v>
          </cell>
          <cell r="C2169" t="str">
            <v>KG</v>
          </cell>
          <cell r="D2169">
            <v>7.14</v>
          </cell>
        </row>
        <row r="2170">
          <cell r="A2170">
            <v>92924</v>
          </cell>
          <cell r="B2170" t="str">
            <v>ARMAÇÃO DE ESTRUTURAS DE CONCRETO ARMADO, EXCETO VIGAS, PILARES, LAJES E FUNDAÇÕES, UTILIZANDO AÇO CA-50 DE 25,0 MM - MONTAGEM. AF_12/2015</v>
          </cell>
          <cell r="C2170" t="str">
            <v>KG</v>
          </cell>
          <cell r="D2170">
            <v>6.89</v>
          </cell>
        </row>
        <row r="2171">
          <cell r="A2171">
            <v>95445</v>
          </cell>
          <cell r="B2171" t="str">
            <v>CORTE E DOBRA DE AÇO CA-60, DIÂMETRO DE 5,0 MM, UTILIZADO EM ESTRIBO CONTÍNUO HELICOIDAL. AF_10/2016</v>
          </cell>
          <cell r="C2171" t="str">
            <v>KG</v>
          </cell>
          <cell r="D2171">
            <v>5.74</v>
          </cell>
        </row>
        <row r="2172">
          <cell r="A2172">
            <v>95446</v>
          </cell>
          <cell r="B2172" t="str">
            <v>CORTE E DOBRA DE AÇO CA-50, DIÂMETRO DE 6,3 MM, UTILIZADO EM ESTRIBO CONTÍNUO HELICOIDAL. AF_10/2016</v>
          </cell>
          <cell r="C2172" t="str">
            <v>KG</v>
          </cell>
          <cell r="D2172">
            <v>6.19</v>
          </cell>
        </row>
        <row r="2173">
          <cell r="A2173">
            <v>95448</v>
          </cell>
          <cell r="B2173" t="str">
            <v>CORTE E DOBRA DE AÇO CA-50, DIÂMERO DE 32 MM, UTILIZADO EM ESTRUTURAS DIVERSAS, EXCETO LAJE. AF_10/2016</v>
          </cell>
          <cell r="C2173" t="str">
            <v>KG</v>
          </cell>
          <cell r="D2173">
            <v>6.88</v>
          </cell>
        </row>
        <row r="2174">
          <cell r="A2174">
            <v>95576</v>
          </cell>
          <cell r="B2174" t="str">
            <v>MONTAGEM DE ARMADURA LONGITUDINAL/TRANSVERSAL DE ESTACAS DE SEÇÃO CIRCULAR, DIÂMETRO = 8,0 MM. AF_11/2016</v>
          </cell>
          <cell r="C2174" t="str">
            <v>KG</v>
          </cell>
          <cell r="D2174">
            <v>9.07</v>
          </cell>
        </row>
        <row r="2175">
          <cell r="A2175">
            <v>95577</v>
          </cell>
          <cell r="B2175" t="str">
            <v>MONTAGEM DE ARMADURA LONGITUDINAL DE ESTACAS DE SEÇÃO CIRCULAR, DIÂMETRO = 10,0 MM. AF_11/2016</v>
          </cell>
          <cell r="C2175" t="str">
            <v>KG</v>
          </cell>
          <cell r="D2175">
            <v>8.1</v>
          </cell>
        </row>
        <row r="2176">
          <cell r="A2176">
            <v>95578</v>
          </cell>
          <cell r="B2176" t="str">
            <v>MONTAGEM DE ARMADURA LONGITUDINAL/TRANSVERSAL DE ESTACAS DE SEÇÃO CIRCULAR, DIÂMETRO = 12,5 MM. AF_11/2016</v>
          </cell>
          <cell r="C2176" t="str">
            <v>KG</v>
          </cell>
          <cell r="D2176">
            <v>6.89</v>
          </cell>
        </row>
        <row r="2177">
          <cell r="A2177">
            <v>95579</v>
          </cell>
          <cell r="B2177" t="str">
            <v>MONTAGEM DE ARMADURA LONGITUDINAL DE ESTACAS DE SEÇÃO CIRCULAR, DIÂMETRO = 16,0 MM. AF_11/2016</v>
          </cell>
          <cell r="C2177" t="str">
            <v>KG</v>
          </cell>
          <cell r="D2177">
            <v>6.54</v>
          </cell>
        </row>
        <row r="2178">
          <cell r="A2178">
            <v>95580</v>
          </cell>
          <cell r="B2178" t="str">
            <v>MONTAGEM DE ARMADURA LONGITUDINAL DE ESTACAS DE SEÇÃO CIRCULAR, DIÂMETRO = 20,0 MM. AF_11/2016</v>
          </cell>
          <cell r="C2178" t="str">
            <v>KG</v>
          </cell>
          <cell r="D2178">
            <v>7.29</v>
          </cell>
        </row>
        <row r="2179">
          <cell r="A2179">
            <v>95581</v>
          </cell>
          <cell r="B2179" t="str">
            <v>MONTAGEM DE ARMADURA LONGITUDINAL DE ESTACAS DE SEÇÃO CIRCULAR, DIÂMETRO = 25,0 MM. AF_11/2016</v>
          </cell>
          <cell r="C2179" t="str">
            <v>KG</v>
          </cell>
          <cell r="D2179">
            <v>7.13</v>
          </cell>
        </row>
        <row r="2180">
          <cell r="A2180">
            <v>95582</v>
          </cell>
          <cell r="B2180" t="str">
            <v>MONTAGEM DE ARMADURA LONGITUDINAL DE ESTACAS DE SEÇÃO CIRCULAR, DIÂMETRO = 32,0 MM. AF_11/2016</v>
          </cell>
          <cell r="C2180" t="str">
            <v>KG</v>
          </cell>
          <cell r="D2180">
            <v>7.64</v>
          </cell>
        </row>
        <row r="2181">
          <cell r="A2181">
            <v>95583</v>
          </cell>
          <cell r="B2181" t="str">
            <v>MONTAGEM DE ARMADURA TRANSVERSAL DE ESTACAS DE SEÇÃO CIRCULAR, DIÂMETRO = 5,0 MM. AF_11/2016</v>
          </cell>
          <cell r="C2181" t="str">
            <v>KG</v>
          </cell>
          <cell r="D2181">
            <v>11.97</v>
          </cell>
        </row>
        <row r="2182">
          <cell r="A2182">
            <v>95584</v>
          </cell>
          <cell r="B2182" t="str">
            <v>MONTAGEM DE ARMADURA TRANSVERSAL DE ESTACAS DE SEÇÃO CIRCULAR, DIÂMETRO = 6,3 MM. AF_11/2016</v>
          </cell>
          <cell r="C2182" t="str">
            <v>KG</v>
          </cell>
          <cell r="D2182">
            <v>10.16</v>
          </cell>
        </row>
        <row r="2183">
          <cell r="A2183">
            <v>95585</v>
          </cell>
          <cell r="B2183" t="str">
            <v>MONTAGEM DE ARMADURA LONGITUDINAL/TRANSVERSAL DE ESTACAS DE SEÇÃO RETANGULAR (BARRETE), DIÂMETRO = 8,0 MM. AF_11/2016</v>
          </cell>
          <cell r="C2183" t="str">
            <v>KG</v>
          </cell>
          <cell r="D2183">
            <v>9.4499999999999993</v>
          </cell>
        </row>
        <row r="2184">
          <cell r="A2184">
            <v>95586</v>
          </cell>
          <cell r="B2184" t="str">
            <v>MONTAGEM DE ARMADURA LONGITUDINAL DE ESTACAS DE SEÇÃO RETANGULAR (BARRETE), DIÂMETRO = 10,0 MM. AF_11/2016</v>
          </cell>
          <cell r="C2184" t="str">
            <v>KG</v>
          </cell>
          <cell r="D2184">
            <v>8.39</v>
          </cell>
        </row>
        <row r="2185">
          <cell r="A2185">
            <v>95587</v>
          </cell>
          <cell r="B2185" t="str">
            <v>MONTAGEM DE ARMADURA LONGITUDINAL/TRANSVERSAL DE ESTACAS DE SEÇÃO RETANGULAR (BARRETE), DIÂMETRO = 12,5 MM. AF_11/2016</v>
          </cell>
          <cell r="C2185" t="str">
            <v>KG</v>
          </cell>
          <cell r="D2185">
            <v>7.14</v>
          </cell>
        </row>
        <row r="2186">
          <cell r="A2186">
            <v>95588</v>
          </cell>
          <cell r="B2186" t="str">
            <v>MONTAGEM DE ARMADURA LONGITUDINAL DE ESTACAS DE SEÇÃO RETANGULAR (BARRETE), DIÂMETRO = 16,0 MM. AF_11/2016</v>
          </cell>
          <cell r="C2186" t="str">
            <v>KG</v>
          </cell>
          <cell r="D2186">
            <v>6.74</v>
          </cell>
        </row>
        <row r="2187">
          <cell r="A2187">
            <v>95589</v>
          </cell>
          <cell r="B2187" t="str">
            <v>MONTAGEM DE ARMADURA LONGITUDINAL DE ESTACAS DE SEÇÃO RETANGULAR (BARRETE), DIÂMETRO = 20,0 MM. AF_11/2016</v>
          </cell>
          <cell r="C2187" t="str">
            <v>KG</v>
          </cell>
          <cell r="D2187">
            <v>7.44</v>
          </cell>
        </row>
        <row r="2188">
          <cell r="A2188">
            <v>95590</v>
          </cell>
          <cell r="B2188" t="str">
            <v>MONTAGEM DE ARMADURA LONGITUDINAL DE ESTACAS DE SEÇÃO RETANGULAR (BARRETE), DIÂMETRO = 25,0 MM. AF_11/2016</v>
          </cell>
          <cell r="C2188" t="str">
            <v>KG</v>
          </cell>
          <cell r="D2188">
            <v>7.26</v>
          </cell>
        </row>
        <row r="2189">
          <cell r="A2189">
            <v>95591</v>
          </cell>
          <cell r="B2189" t="str">
            <v>MONTAGEM DE ARMADURA LONGITUDINAL DE ESTACAS DE SEÇÃO RETANGULAR (BARRETE), DIÂMETRO = 32,0 MM. AF_11/2016</v>
          </cell>
          <cell r="C2189" t="str">
            <v>KG</v>
          </cell>
          <cell r="D2189">
            <v>7.72</v>
          </cell>
        </row>
        <row r="2190">
          <cell r="A2190">
            <v>95592</v>
          </cell>
          <cell r="B2190" t="str">
            <v>MONTAGEM DE ARMADURA TRANSVERSAL DE ESTACAS DE SEÇÃO RETANGULAR (BARRETE), DIÂMETRO = 5,0 MM. AF_11/2016</v>
          </cell>
          <cell r="C2190" t="str">
            <v>KG</v>
          </cell>
          <cell r="D2190">
            <v>14.65</v>
          </cell>
        </row>
        <row r="2191">
          <cell r="A2191">
            <v>95593</v>
          </cell>
          <cell r="B2191" t="str">
            <v>MONTAGEM DE ARMADURA TRANSVERSAL DE ESTACAS DE SEÇÃO RETANGULAR (BARRETE), DIÂMETRO = 6,3 MM. AF_11/2016</v>
          </cell>
          <cell r="C2191" t="str">
            <v>KG</v>
          </cell>
          <cell r="D2191">
            <v>11.78</v>
          </cell>
        </row>
        <row r="2192">
          <cell r="A2192">
            <v>95943</v>
          </cell>
          <cell r="B2192" t="str">
            <v>ARMAÇÃO DE ESCADA, COM 2 LANCES, DE UMA ESTRUTURA CONVENCIONAL DE CONCRETO ARMADO UTILIZANDO AÇO CA-60 DE 5,0 MM - MONTAGEM. AF_01/2017</v>
          </cell>
          <cell r="C2192" t="str">
            <v>KG</v>
          </cell>
          <cell r="D2192">
            <v>15.37</v>
          </cell>
        </row>
        <row r="2193">
          <cell r="A2193">
            <v>95944</v>
          </cell>
          <cell r="B2193" t="str">
            <v>ARMAÇÃO DE ESCADA, COM 2 LANCES, DE UMA ESTRUTURA CONVENCIONAL DE CONCRETO ARMADO UTILIZANDO AÇO CA-50 DE 6,3 MM - MONTAGEM. AF_01/2017</v>
          </cell>
          <cell r="C2193" t="str">
            <v>KG</v>
          </cell>
          <cell r="D2193">
            <v>13.85</v>
          </cell>
        </row>
        <row r="2194">
          <cell r="A2194">
            <v>95945</v>
          </cell>
          <cell r="B2194" t="str">
            <v>ARMAÇÃO DE ESCADA, COM 2 LANCES, DE UMA ESTRUTURA CONVENCIONAL DE CONCRETO ARMADO UTILIZANDO AÇO CA-50 DE 8,0 MM - MONTAGEM. AF_01/2017</v>
          </cell>
          <cell r="C2194" t="str">
            <v>KG</v>
          </cell>
          <cell r="D2194">
            <v>11.07</v>
          </cell>
        </row>
        <row r="2195">
          <cell r="A2195">
            <v>95946</v>
          </cell>
          <cell r="B2195" t="str">
            <v>ARMAÇÃO DE ESCADA, COM 2 LANCES, DE UMA ESTRUTURA CONVENCIONAL DE CONCRETO ARMADO UTILIZANDO AÇO CA-50 DE 10,0 MM - MONTAGEM. AF_01/2017</v>
          </cell>
          <cell r="C2195" t="str">
            <v>KG</v>
          </cell>
          <cell r="D2195">
            <v>8.7200000000000006</v>
          </cell>
        </row>
        <row r="2196">
          <cell r="A2196">
            <v>95947</v>
          </cell>
          <cell r="B2196" t="str">
            <v>ARMAÇÃO DE ESCADA, COM 2 LANCES, DE UMA ESTRUTURA CONVENCIONAL DE CONCRETO ARMADO UTILIZANDO AÇO CA-50 DE 12,5 MM - MONTAGEM. AF_01/2017</v>
          </cell>
          <cell r="C2196" t="str">
            <v>KG</v>
          </cell>
          <cell r="D2196">
            <v>6.66</v>
          </cell>
        </row>
        <row r="2197">
          <cell r="A2197">
            <v>95948</v>
          </cell>
          <cell r="B2197" t="str">
            <v>ARMAÇÃO DE ESCADA, COM 2 LANCES, DE UMA ESTRUTURA CONVENCIONAL DE CONCRETO ARMADO UTILIZANDO AÇO CA-50 DE 16,0 MM - MONTAGEM. AF_01/2017</v>
          </cell>
          <cell r="C2197" t="str">
            <v>KG</v>
          </cell>
          <cell r="D2197">
            <v>5.8</v>
          </cell>
        </row>
        <row r="2198">
          <cell r="A2198">
            <v>96544</v>
          </cell>
          <cell r="B2198" t="str">
            <v>ARMAÇÃO DE BLOCO, VIGA BALDRAME OU SAPATA UTILIZANDO AÇO CA-50 DE 6,3 MM - MONTAGEM. AF_06/2017</v>
          </cell>
          <cell r="C2198" t="str">
            <v>KG</v>
          </cell>
          <cell r="D2198">
            <v>11.28</v>
          </cell>
        </row>
        <row r="2199">
          <cell r="A2199">
            <v>96545</v>
          </cell>
          <cell r="B2199" t="str">
            <v>ARMAÇÃO DE BLOCO, VIGA BALDRAME OU SAPATA UTILIZANDO AÇO CA-50 DE 8 MM - MONTAGEM. AF_06/2017</v>
          </cell>
          <cell r="C2199" t="str">
            <v>KG</v>
          </cell>
          <cell r="D2199">
            <v>10.199999999999999</v>
          </cell>
        </row>
        <row r="2200">
          <cell r="A2200">
            <v>96546</v>
          </cell>
          <cell r="B2200" t="str">
            <v>ARMAÇÃO DE BLOCO, VIGA BALDRAME OU SAPATA UTILIZANDO AÇO CA-50 DE 10 MM - MONTAGEM. AF_06/2017</v>
          </cell>
          <cell r="C2200" t="str">
            <v>KG</v>
          </cell>
          <cell r="D2200">
            <v>8.93</v>
          </cell>
        </row>
        <row r="2201">
          <cell r="A2201">
            <v>96547</v>
          </cell>
          <cell r="B2201" t="str">
            <v>ARMAÇÃO DE BLOCO, VIGA BALDRAME OU SAPATA UTILIZANDO AÇO CA-50 DE 12,5 MM - MONTAGEM. AF_06/2017</v>
          </cell>
          <cell r="C2201" t="str">
            <v>KG</v>
          </cell>
          <cell r="D2201">
            <v>7.45</v>
          </cell>
        </row>
        <row r="2202">
          <cell r="A2202">
            <v>96548</v>
          </cell>
          <cell r="B2202" t="str">
            <v>ARMAÇÃO DE BLOCO, VIGA BALDRAME OU SAPATA UTILIZANDO AÇO CA-50 DE 16 MM - MONTAGEM. AF_06/2017</v>
          </cell>
          <cell r="C2202" t="str">
            <v>KG</v>
          </cell>
          <cell r="D2202">
            <v>6.91</v>
          </cell>
        </row>
        <row r="2203">
          <cell r="A2203">
            <v>96549</v>
          </cell>
          <cell r="B2203" t="str">
            <v>ARMAÇÃO DE BLOCO, VIGA BALDRAME OU SAPATA UTILIZANDO AÇO CA-50 DE 20 MM - MONTAGEM. AF_06/2017</v>
          </cell>
          <cell r="C2203" t="str">
            <v>KG</v>
          </cell>
          <cell r="D2203">
            <v>7.5</v>
          </cell>
        </row>
        <row r="2204">
          <cell r="A2204">
            <v>96550</v>
          </cell>
          <cell r="B2204" t="str">
            <v>ARMAÇÃO DE BLOCO, VIGA BALDRAME OU SAPATA UTILIZANDO AÇO CA-50 DE 25 MM - MONTAGEM. AF_06/2017</v>
          </cell>
          <cell r="C2204" t="str">
            <v>KG</v>
          </cell>
          <cell r="D2204">
            <v>7.23</v>
          </cell>
        </row>
        <row r="2205">
          <cell r="A2205">
            <v>100066</v>
          </cell>
          <cell r="B2205" t="str">
            <v>ARMAÇÃO DO SISTEMA DE PAREDES DE CONCRETO, EXECUTADA COMO ARMADURA POSITIVA DE LAJES, TELA Q-196. AF_06/2019</v>
          </cell>
          <cell r="C2205" t="str">
            <v>KG</v>
          </cell>
          <cell r="D2205">
            <v>7.99</v>
          </cell>
        </row>
        <row r="2206">
          <cell r="A2206">
            <v>100067</v>
          </cell>
          <cell r="B2206" t="str">
            <v>ARMAÇÃO DO SISTEMA DE PAREDES DE CONCRETO, EXECUTADA COMO REFORÇO, VERGALHÃO DE 5,0 MM DE DIÂMETRO. AF_06/2019</v>
          </cell>
          <cell r="C2206" t="str">
            <v>KG</v>
          </cell>
          <cell r="D2206">
            <v>8.27</v>
          </cell>
        </row>
        <row r="2207">
          <cell r="A2207">
            <v>100068</v>
          </cell>
          <cell r="B2207" t="str">
            <v>ARMAÇÃO DO SISTEMA DE PAREDES DE CONCRETO, EXECUTADA COMO REFORÇO, VERGALHÃO DE 12,5 MM DE DIÂMETRO. AF_06/2019</v>
          </cell>
          <cell r="C2207" t="str">
            <v>KG</v>
          </cell>
          <cell r="D2207">
            <v>6.24</v>
          </cell>
        </row>
        <row r="2208">
          <cell r="A2208">
            <v>89993</v>
          </cell>
          <cell r="B2208" t="str">
            <v>GRAUTEAMENTO VERTICAL EM ALVENARIA ESTRUTURAL. AF_01/2015</v>
          </cell>
          <cell r="C2208" t="str">
            <v>M3</v>
          </cell>
          <cell r="D2208">
            <v>636.27</v>
          </cell>
        </row>
        <row r="2209">
          <cell r="A2209">
            <v>89994</v>
          </cell>
          <cell r="B2209" t="str">
            <v>GRAUTEAMENTO DE CINTA INTERMEDIÁRIA OU DE CONTRAVERGA EM ALVENARIA ESTRUTURAL. AF_01/2015</v>
          </cell>
          <cell r="C2209" t="str">
            <v>M3</v>
          </cell>
          <cell r="D2209">
            <v>531.63</v>
          </cell>
        </row>
        <row r="2210">
          <cell r="A2210">
            <v>89995</v>
          </cell>
          <cell r="B2210" t="str">
            <v>GRAUTEAMENTO DE CINTA SUPERIOR OU DE VERGA EM ALVENARIA ESTRUTURAL. AF_01/2015</v>
          </cell>
          <cell r="C2210" t="str">
            <v>M3</v>
          </cell>
          <cell r="D2210">
            <v>609.51</v>
          </cell>
        </row>
        <row r="2211">
          <cell r="A2211">
            <v>90278</v>
          </cell>
          <cell r="B2211" t="str">
            <v>GRAUTE FGK=15 MPA; TRAÇO 1:0,04:2,0:2,4 (CIMENTO/ CAL/ AREIA GROSSA/ BRITA 0) - PREPARO MECÂNICO COM BETONEIRA 400 L. AF_02/2015</v>
          </cell>
          <cell r="C2211" t="str">
            <v>M3</v>
          </cell>
          <cell r="D2211">
            <v>302.14</v>
          </cell>
        </row>
        <row r="2212">
          <cell r="A2212">
            <v>90279</v>
          </cell>
          <cell r="B2212" t="str">
            <v>GRAUTE FGK=20 MPA; TRAÇO 1:0,04:1,6:1,9 (CIMENTO/ CAL/ AREIA GROSSA/ BRITA 0) - PREPARO MECÂNICO COM BETONEIRA 400 L. AF_02/2015</v>
          </cell>
          <cell r="C2212" t="str">
            <v>M3</v>
          </cell>
          <cell r="D2212">
            <v>319.76</v>
          </cell>
        </row>
        <row r="2213">
          <cell r="A2213">
            <v>90280</v>
          </cell>
          <cell r="B2213" t="str">
            <v>GRAUTE FGK=25 MPA; TRAÇO 1:0,02:1,2:1,5 (CIMENTO/ CAL/ AREIA GROSSA/ BRITA 0) - PREPARO MECÂNICO COM BETONEIRA 400 L. AF_02/2015</v>
          </cell>
          <cell r="C2213" t="str">
            <v>M3</v>
          </cell>
          <cell r="D2213">
            <v>353.62</v>
          </cell>
        </row>
        <row r="2214">
          <cell r="A2214">
            <v>90281</v>
          </cell>
          <cell r="B2214" t="str">
            <v>GRAUTE FGK=30 MPA; TRAÇO 1:0,02:0,8:1,1 (CIMENTO/ CAL/ AREIA GROSSA/ BRITA 0) - PREPARO MECÂNICO COM BETONEIRA 400 L. AF_02/2015</v>
          </cell>
          <cell r="C2214" t="str">
            <v>M3</v>
          </cell>
          <cell r="D2214">
            <v>400.6</v>
          </cell>
        </row>
        <row r="2215">
          <cell r="A2215">
            <v>90282</v>
          </cell>
          <cell r="B2215" t="str">
            <v>GRAUTE FGK=15 MPA; TRAÇO 1:2,0:2,4 (CIMENTO/ AREIA GROSSA/ BRITA 0/ ADITIVO) - PREPARO MECÂNICO COM BETONEIRA 400 L. AF_02/2015</v>
          </cell>
          <cell r="C2215" t="str">
            <v>M3</v>
          </cell>
          <cell r="D2215">
            <v>306.16000000000003</v>
          </cell>
        </row>
        <row r="2216">
          <cell r="A2216">
            <v>90283</v>
          </cell>
          <cell r="B2216" t="str">
            <v>GRAUTE FGK=20 MPA; TRAÇO 1:1,6:1,9 (CIMENTO/ AREIA GROSSA/ BRITA 0/ ADITIVO) - PREPARO MECÂNICO COM BETONEIRA 400 L. AF_02/2015</v>
          </cell>
          <cell r="C2216" t="str">
            <v>M3</v>
          </cell>
          <cell r="D2216">
            <v>324.93</v>
          </cell>
        </row>
        <row r="2217">
          <cell r="A2217">
            <v>90284</v>
          </cell>
          <cell r="B2217" t="str">
            <v>GRAUTE FGK=25 MPA; TRAÇO 1:1,2:1,5 (CIMENTO/ AREIA GROSSA/ BRITA 0/ ADITIVO) - PREPARO MECÂNICO COM BETONEIRA 400 L. AF_02/2015</v>
          </cell>
          <cell r="C2217" t="str">
            <v>M3</v>
          </cell>
          <cell r="D2217">
            <v>359.63</v>
          </cell>
        </row>
        <row r="2218">
          <cell r="A2218">
            <v>90285</v>
          </cell>
          <cell r="B2218" t="str">
            <v>GRAUTE FGK=30 MPA; TRAÇO 1:0,8:1,1 (CIMENTO/ AREIA GROSSA/ BRITA 0/ ADITIVO) - PREPARO MECÂNICO COM BETONEIRA 400 L. AF_02/2015</v>
          </cell>
          <cell r="C2218" t="str">
            <v>M3</v>
          </cell>
          <cell r="D2218">
            <v>409.25</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v>518.65</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v>503.11</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v>548.11</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v>522.26</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v>505.49</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v>564.58000000000004</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v>521.86</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v>526.84</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v>510.29</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v>491.28</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v>585.15</v>
          </cell>
        </row>
        <row r="2230">
          <cell r="A2230">
            <v>92719</v>
          </cell>
          <cell r="B2230" t="str">
            <v>CONCRETAGEM DE PILARES, FCK = 25 MPA, COM USO DE GRUA EM EDIFICAÇÃO COM SEÇÃO MÉDIA DE PILARES MENOR OU IGUAL A 0,25 M² - LANÇAMENTO, ADENSAMENTO E ACABAMENTO. AF_12/2015</v>
          </cell>
          <cell r="C2230" t="str">
            <v>M3</v>
          </cell>
          <cell r="D2230">
            <v>453.85</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v>484.98</v>
          </cell>
        </row>
        <row r="2232">
          <cell r="A2232">
            <v>92721</v>
          </cell>
          <cell r="B2232" t="str">
            <v>CONCRETAGEM DE PILARES, FCK = 25 MPA, COM USO DE GRUA EM EDIFICAÇÃO COM SEÇÃO MÉDIA DE PILARES MAIOR QUE 0,25 M² - LANÇAMENTO, ADENSAMENTO E ACABAMENTO. AF_12/2015</v>
          </cell>
          <cell r="C2232" t="str">
            <v>M3</v>
          </cell>
          <cell r="D2232">
            <v>445.82</v>
          </cell>
        </row>
        <row r="2233">
          <cell r="A2233">
            <v>92722</v>
          </cell>
          <cell r="B2233" t="str">
            <v>CONCRETAGEM DE PILARES, FCK = 25 MPA, COM USO DE BOMBA EM EDIFICAÇÃO COM SEÇÃO MÉDIA DE PILARES MAIOR QUE 0,25 M² - LANÇAMENTO, ADENSAMENTO E ACABAMENTO. AF_12/2015</v>
          </cell>
          <cell r="C2233" t="str">
            <v>M3</v>
          </cell>
          <cell r="D2233">
            <v>481.63</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v>471.41</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v>468.47</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v>467.24</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v>465.17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v>525.41</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v>504.44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v>495.55</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v>480.76</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v>497.94</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v>483.58</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v>477.46</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v>467.31</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v>472.9</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v>461.97</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v>446.13</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v>440.73</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v>640.21</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v>849.86</v>
          </cell>
        </row>
        <row r="2252">
          <cell r="A2252">
            <v>92873</v>
          </cell>
          <cell r="B2252" t="str">
            <v>LANÇAMENTO COM USO DE BALDES, ADENSAMENTO E ACABAMENTO DE CONCRETO EM ESTRUTURAS. AF_12/2015</v>
          </cell>
          <cell r="C2252" t="str">
            <v>M3</v>
          </cell>
          <cell r="D2252">
            <v>162.34</v>
          </cell>
        </row>
        <row r="2253">
          <cell r="A2253">
            <v>92874</v>
          </cell>
          <cell r="B2253" t="str">
            <v>LANÇAMENTO COM USO DE BOMBA, ADENSAMENTO E ACABAMENTO DE CONCRETO EM ESTRUTURAS. AF_12/2015</v>
          </cell>
          <cell r="C2253" t="str">
            <v>M3</v>
          </cell>
          <cell r="D2253">
            <v>26.94</v>
          </cell>
        </row>
        <row r="2254">
          <cell r="A2254">
            <v>94962</v>
          </cell>
          <cell r="B2254" t="str">
            <v>CONCRETO MAGRO PARA LASTRO, TRAÇO 1:4,5:4,5 (CIMENTO/ AREIA MÉDIA/ BRITA 1)  - PREPARO MECÂNICO COM BETONEIRA 400 L. AF_07/2016</v>
          </cell>
          <cell r="C2254" t="str">
            <v>M3</v>
          </cell>
          <cell r="D2254">
            <v>261.44</v>
          </cell>
        </row>
        <row r="2255">
          <cell r="A2255">
            <v>94963</v>
          </cell>
          <cell r="B2255" t="str">
            <v>CONCRETO FCK = 15MPA, TRAÇO 1:3,4:3,5 (CIMENTO/ AREIA MÉDIA/ BRITA 1)  - PREPARO MECÂNICO COM BETONEIRA 400 L. AF_07/2016</v>
          </cell>
          <cell r="C2255" t="str">
            <v>M3</v>
          </cell>
          <cell r="D2255">
            <v>289.76</v>
          </cell>
        </row>
        <row r="2256">
          <cell r="A2256">
            <v>94964</v>
          </cell>
          <cell r="B2256" t="str">
            <v>CONCRETO FCK = 20MPA, TRAÇO 1:2,7:3 (CIMENTO/ AREIA MÉDIA/ BRITA 1)  - PREPARO MECÂNICO COM BETONEIRA 400 L. AF_07/2016</v>
          </cell>
          <cell r="C2256" t="str">
            <v>M3</v>
          </cell>
          <cell r="D2256">
            <v>316.95</v>
          </cell>
        </row>
        <row r="2257">
          <cell r="A2257">
            <v>94965</v>
          </cell>
          <cell r="B2257" t="str">
            <v>CONCRETO FCK = 25MPA, TRAÇO 1:2,3:2,7 (CIMENTO/ AREIA MÉDIA/ BRITA 1)  - PREPARO MECÂNICO COM BETONEIRA 400 L. AF_07/2016</v>
          </cell>
          <cell r="C2257" t="str">
            <v>M3</v>
          </cell>
          <cell r="D2257">
            <v>329.18</v>
          </cell>
        </row>
        <row r="2258">
          <cell r="A2258">
            <v>94966</v>
          </cell>
          <cell r="B2258" t="str">
            <v>CONCRETO FCK = 30MPA, TRAÇO 1:2,1:2,5 (CIMENTO/ AREIA MÉDIA/ BRITA 1)  - PREPARO MECÂNICO COM BETONEIRA 400 L. AF_07/2016</v>
          </cell>
          <cell r="C2258" t="str">
            <v>M3</v>
          </cell>
          <cell r="D2258">
            <v>340.48</v>
          </cell>
        </row>
        <row r="2259">
          <cell r="A2259">
            <v>94967</v>
          </cell>
          <cell r="B2259" t="str">
            <v>CONCRETO FCK = 40MPA, TRAÇO 1:1,6:1,9 (CIMENTO/ AREIA MÉDIA/ BRITA 1)  - PREPARO MECÂNICO COM BETONEIRA 400 L. AF_07/2016</v>
          </cell>
          <cell r="C2259" t="str">
            <v>M3</v>
          </cell>
          <cell r="D2259">
            <v>387.76</v>
          </cell>
        </row>
        <row r="2260">
          <cell r="A2260">
            <v>94968</v>
          </cell>
          <cell r="B2260" t="str">
            <v>CONCRETO MAGRO PARA LASTRO, TRAÇO 1:4,5:4,5 (CIMENTO/ AREIA MÉDIA/ BRITA 1)  - PREPARO MECÂNICO COM BETONEIRA 600 L. AF_07/2016</v>
          </cell>
          <cell r="C2260" t="str">
            <v>M3</v>
          </cell>
          <cell r="D2260">
            <v>259.11</v>
          </cell>
        </row>
        <row r="2261">
          <cell r="A2261">
            <v>94969</v>
          </cell>
          <cell r="B2261" t="str">
            <v>CONCRETO FCK = 15MPA, TRAÇO 1:3,4:3,5 (CIMENTO/ AREIA MÉDIA/ BRITA 1)  - PREPARO MECÂNICO COM BETONEIRA 600 L. AF_07/2016</v>
          </cell>
          <cell r="C2261" t="str">
            <v>M3</v>
          </cell>
          <cell r="D2261">
            <v>285.07</v>
          </cell>
        </row>
        <row r="2262">
          <cell r="A2262">
            <v>94970</v>
          </cell>
          <cell r="B2262" t="str">
            <v>CONCRETO FCK = 20MPA, TRAÇO 1:2,7:3 (CIMENTO/ AREIA MÉDIA/ BRITA 1)  - PREPARO MECÂNICO COM BETONEIRA 600 L. AF_07/2016</v>
          </cell>
          <cell r="C2262" t="str">
            <v>M3</v>
          </cell>
          <cell r="D2262">
            <v>307.97000000000003</v>
          </cell>
        </row>
        <row r="2263">
          <cell r="A2263">
            <v>94971</v>
          </cell>
          <cell r="B2263" t="str">
            <v>CONCRETO FCK = 25MPA, TRAÇO 1:2,3:2,7 (CIMENTO/ AREIA MÉDIA/ BRITA 1)  - PREPARO MECÂNICO COM BETONEIRA 600 L. AF_07/2016</v>
          </cell>
          <cell r="C2263" t="str">
            <v>M3</v>
          </cell>
          <cell r="D2263">
            <v>324.52</v>
          </cell>
        </row>
        <row r="2264">
          <cell r="A2264">
            <v>94972</v>
          </cell>
          <cell r="B2264" t="str">
            <v>CONCRETO FCK = 30MPA, TRAÇO 1:2,1:2,5 (CIMENTO/ AREIA MÉDIA/ BRITA 1)  - PREPARO MECÂNICO COM BETONEIRA 600 L. AF_07/2016</v>
          </cell>
          <cell r="C2264" t="str">
            <v>M3</v>
          </cell>
          <cell r="D2264">
            <v>335.62</v>
          </cell>
        </row>
        <row r="2265">
          <cell r="A2265">
            <v>94973</v>
          </cell>
          <cell r="B2265" t="str">
            <v>CONCRETO FCK = 40MPA, TRAÇO 1:1,6:1,9 (CIMENTO/ AREIA MÉDIA/ BRITA 1)  - PREPARO MECÂNICO COM BETONEIRA 600 L. AF_07/2016</v>
          </cell>
          <cell r="C2265" t="str">
            <v>M3</v>
          </cell>
          <cell r="D2265">
            <v>381.78</v>
          </cell>
        </row>
        <row r="2266">
          <cell r="A2266">
            <v>94974</v>
          </cell>
          <cell r="B2266" t="str">
            <v>CONCRETO MAGRO PARA LASTRO, TRAÇO 1:4,5:4,5 (CIMENTO/ AREIA MÉDIA/ BRITA 1)  - PREPARO MANUAL. AF_07/2016</v>
          </cell>
          <cell r="C2266" t="str">
            <v>M3</v>
          </cell>
          <cell r="D2266">
            <v>367.22</v>
          </cell>
        </row>
        <row r="2267">
          <cell r="A2267">
            <v>94975</v>
          </cell>
          <cell r="B2267" t="str">
            <v>CONCRETO FCK = 15MPA, TRAÇO 1:3,4:3,5 (CIMENTO/ AREIA MÉDIA/ BRITA 1)  - PREPARO MANUAL. AF_07/2016</v>
          </cell>
          <cell r="C2267" t="str">
            <v>M3</v>
          </cell>
          <cell r="D2267">
            <v>393.73</v>
          </cell>
        </row>
        <row r="2268">
          <cell r="A2268">
            <v>96555</v>
          </cell>
          <cell r="B2268" t="str">
            <v>CONCRETAGEM DE BLOCOS DE COROAMENTO E VIGAS BALDRAME, FCK 30 MPA, COM USO DE JERICA  LANÇAMENTO, ADENSAMENTO E ACABAMENTO. AF_06/2017</v>
          </cell>
          <cell r="C2268" t="str">
            <v>M3</v>
          </cell>
          <cell r="D2268">
            <v>472.93</v>
          </cell>
        </row>
        <row r="2269">
          <cell r="A2269">
            <v>96556</v>
          </cell>
          <cell r="B2269" t="str">
            <v>CONCRETAGEM DE SAPATAS, FCK 30 MPA, COM USO DE JERICA  LANÇAMENTO, ADENSAMENTO E ACABAMENTO. AF_06/2017</v>
          </cell>
          <cell r="C2269" t="str">
            <v>M3</v>
          </cell>
          <cell r="D2269">
            <v>536.57000000000005</v>
          </cell>
        </row>
        <row r="2270">
          <cell r="A2270">
            <v>96557</v>
          </cell>
          <cell r="B2270" t="str">
            <v>CONCRETAGEM DE BLOCOS DE COROAMENTO E VIGAS BALDRAMES, FCK 30 MPA, COM USO DE BOMBA  LANÇAMENTO, ADENSAMENTO E ACABAMENTO. AF_06/2017</v>
          </cell>
          <cell r="C2270" t="str">
            <v>M3</v>
          </cell>
          <cell r="D2270">
            <v>508.24</v>
          </cell>
        </row>
        <row r="2271">
          <cell r="A2271">
            <v>96558</v>
          </cell>
          <cell r="B2271" t="str">
            <v>CONCRETAGEM DE SAPATAS, FCK 30 MPA, COM USO DE BOMBA  LANÇAMENTO, ADENSAMENTO E ACABAMENTO. AF_11/2016</v>
          </cell>
          <cell r="C2271" t="str">
            <v>M3</v>
          </cell>
          <cell r="D2271">
            <v>513.99</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v>496.62</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v>516.53</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v>490.52</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v>545.91</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v>520.14</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v>503.43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v>562.38</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v>527.5</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v>532.48</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v>508.21</v>
          </cell>
        </row>
        <row r="2282">
          <cell r="A2282" t="str">
            <v>74141/1</v>
          </cell>
          <cell r="B2282" t="str">
            <v>LAJE PRE-MOLD BETA 11 P/1KN/M2 VAOS 4,40M/INCL VIGOTAS TIJOLOS ARMADURA NEGATIVA CAPEAMENTO 3CM CONCRETO 20MPA ESCORAMENTO MATERIAL E MAO  DE OBRA.</v>
          </cell>
          <cell r="C2282" t="str">
            <v>M2</v>
          </cell>
          <cell r="D2282">
            <v>81.400000000000006</v>
          </cell>
        </row>
        <row r="2283">
          <cell r="A2283" t="str">
            <v>74141/2</v>
          </cell>
          <cell r="B2283" t="str">
            <v>LAJE PRE-MOLD BETA 12 P/3,5KN/M2 VAO 4,1M INCL VIGOTAS TIJOLOS ARMADU-RA NEGATIVA CAPEAMENTO 3CM CONCRETO 15MPA ESCORAMENTO MATERIAIS E MAO DE OBRA.</v>
          </cell>
          <cell r="C2283" t="str">
            <v>M2</v>
          </cell>
          <cell r="D2283">
            <v>89.86</v>
          </cell>
        </row>
        <row r="2284">
          <cell r="A2284" t="str">
            <v>74141/3</v>
          </cell>
          <cell r="B2284" t="str">
            <v>LAJE PRE-MOLD BETA 16 P/3,5KN/M2 VAO 5,2M INCL VIGOTAS TIJOLOS ARMADU-RA NEGATIVA CAPEAMENTO 3CM CONCRETO 15MPA ESCORAMENTO MATERIAL E MAO  DE OBRA.</v>
          </cell>
          <cell r="C2284" t="str">
            <v>M2</v>
          </cell>
          <cell r="D2284">
            <v>107.5</v>
          </cell>
        </row>
        <row r="2285">
          <cell r="A2285" t="str">
            <v>74141/4</v>
          </cell>
          <cell r="B2285" t="str">
            <v>LAJE PRE-MOLD BETA 20 P/3,5KN/M2 VAO 6,2M INCL VIGOTAS TIJOLOS ARMADU-RA NEGATIVA CAPEAMENTO 3CM CONCRETO 15MPA ESCORAMENTO MATERIAL E MAO  DE OBRA.</v>
          </cell>
          <cell r="C2285" t="str">
            <v>M2</v>
          </cell>
          <cell r="D2285">
            <v>123.68</v>
          </cell>
        </row>
        <row r="2286">
          <cell r="A2286" t="str">
            <v>74202/1</v>
          </cell>
          <cell r="B2286" t="str">
            <v>LAJE PRE-MOLDADA P/FORRO, SOBRECARGA 100KG/M2, VAOS ATE 3,50M/E=8CM, C/LAJOTAS E CAP.C/CONC FCK=20MPA, 3CM, INTER-EIXO 38CM, C/ESCORAMENTO (REAPR.3X) E FERRAGEM NEGATIVA</v>
          </cell>
          <cell r="C2286" t="str">
            <v>M2</v>
          </cell>
          <cell r="D2286">
            <v>72.62</v>
          </cell>
        </row>
        <row r="2287">
          <cell r="A2287" t="str">
            <v>74202/2</v>
          </cell>
          <cell r="B2287" t="str">
            <v>LAJE PRE-MOLDADA P/PISO, SOBRECARGA 200KG/M2, VAOS ATE 3,50M/E=8CM, C/LAJOTAS E CAP.C/CONC FCK=20MPA, 4CM, INTER-EIXO 38CM, C/ESCORAMENTO (REAPR.3X) E FERRAGEM NEGATIVA</v>
          </cell>
          <cell r="C2287" t="str">
            <v>M2</v>
          </cell>
          <cell r="D2287">
            <v>79.680000000000007</v>
          </cell>
        </row>
        <row r="2288">
          <cell r="A2288">
            <v>101165</v>
          </cell>
          <cell r="B2288" t="str">
            <v>ALVENARIA DE EMBASAMENTO COM BLOCO ESTRUTURAL DE CONCRETO, DE 14X19X29CM E ARGAMASSA DE ASSENTAMENTO COM PREPARO EM BETONEIRA. AF_05/2020</v>
          </cell>
          <cell r="C2288" t="str">
            <v>M3</v>
          </cell>
          <cell r="D2288">
            <v>657.91</v>
          </cell>
        </row>
        <row r="2289">
          <cell r="A2289">
            <v>101166</v>
          </cell>
          <cell r="B2289" t="str">
            <v>ALVENARIA DE EMBASAMENTO COM BLOCO ESTRUTURAL DE CERÂMICA, DE 14X19X29CM E ARGAMASSA DE ASSENTAMENTO COM PREPARO EM BETONEIRA. AF_05/2020</v>
          </cell>
          <cell r="C2289" t="str">
            <v>M3</v>
          </cell>
          <cell r="D2289">
            <v>481.12</v>
          </cell>
        </row>
        <row r="2290">
          <cell r="A2290">
            <v>98576</v>
          </cell>
          <cell r="B2290" t="str">
            <v>TRATAMENTO DE JUNTA DE DILATAÇÃO COM MANTA ASFÁLTICA ADERIDA COM MAÇARICO. AF_06/2018</v>
          </cell>
          <cell r="C2290" t="str">
            <v>M</v>
          </cell>
          <cell r="D2290">
            <v>14.75</v>
          </cell>
        </row>
        <row r="2291">
          <cell r="A2291">
            <v>93182</v>
          </cell>
          <cell r="B2291" t="str">
            <v>VERGA PRÉ-MOLDADA PARA JANELAS COM ATÉ 1,5 M DE VÃO. AF_03/2016</v>
          </cell>
          <cell r="C2291" t="str">
            <v>M</v>
          </cell>
          <cell r="D2291">
            <v>22.64</v>
          </cell>
        </row>
        <row r="2292">
          <cell r="A2292">
            <v>93183</v>
          </cell>
          <cell r="B2292" t="str">
            <v>VERGA PRÉ-MOLDADA PARA JANELAS COM MAIS DE 1,5 M DE VÃO. AF_03/2016</v>
          </cell>
          <cell r="C2292" t="str">
            <v>M</v>
          </cell>
          <cell r="D2292">
            <v>28.54</v>
          </cell>
        </row>
        <row r="2293">
          <cell r="A2293">
            <v>93184</v>
          </cell>
          <cell r="B2293" t="str">
            <v>VERGA PRÉ-MOLDADA PARA PORTAS COM ATÉ 1,5 M DE VÃO. AF_03/2016</v>
          </cell>
          <cell r="C2293" t="str">
            <v>M</v>
          </cell>
          <cell r="D2293">
            <v>17.309999999999999</v>
          </cell>
        </row>
        <row r="2294">
          <cell r="A2294">
            <v>93185</v>
          </cell>
          <cell r="B2294" t="str">
            <v>VERGA PRÉ-MOLDADA PARA PORTAS COM MAIS DE 1,5 M DE VÃO. AF_03/2016</v>
          </cell>
          <cell r="C2294" t="str">
            <v>M</v>
          </cell>
          <cell r="D2294">
            <v>28.05</v>
          </cell>
        </row>
        <row r="2295">
          <cell r="A2295">
            <v>93186</v>
          </cell>
          <cell r="B2295" t="str">
            <v>VERGA MOLDADA IN LOCO EM CONCRETO PARA JANELAS COM ATÉ 1,5 M DE VÃO. AF_03/2016</v>
          </cell>
          <cell r="C2295" t="str">
            <v>M</v>
          </cell>
          <cell r="D2295">
            <v>40.6</v>
          </cell>
        </row>
        <row r="2296">
          <cell r="A2296">
            <v>93187</v>
          </cell>
          <cell r="B2296" t="str">
            <v>VERGA MOLDADA IN LOCO EM CONCRETO PARA JANELAS COM MAIS DE 1,5 M DE VÃO. AF_03/2016</v>
          </cell>
          <cell r="C2296" t="str">
            <v>M</v>
          </cell>
          <cell r="D2296">
            <v>45.92</v>
          </cell>
        </row>
        <row r="2297">
          <cell r="A2297">
            <v>93188</v>
          </cell>
          <cell r="B2297" t="str">
            <v>VERGA MOLDADA IN LOCO EM CONCRETO PARA PORTAS COM ATÉ 1,5 M DE VÃO. AF_03/2016</v>
          </cell>
          <cell r="C2297" t="str">
            <v>M</v>
          </cell>
          <cell r="D2297">
            <v>40.049999999999997</v>
          </cell>
        </row>
        <row r="2298">
          <cell r="A2298">
            <v>93189</v>
          </cell>
          <cell r="B2298" t="str">
            <v>VERGA MOLDADA IN LOCO EM CONCRETO PARA PORTAS COM MAIS DE 1,5 M DE VÃO. AF_03/2016</v>
          </cell>
          <cell r="C2298" t="str">
            <v>M</v>
          </cell>
          <cell r="D2298">
            <v>46.54</v>
          </cell>
        </row>
        <row r="2299">
          <cell r="A2299">
            <v>93190</v>
          </cell>
          <cell r="B2299" t="str">
            <v>VERGA MOLDADA IN LOCO COM UTILIZAÇÃO DE BLOCOS CANALETA PARA JANELAS COM ATÉ 1,5 M DE VÃO. AF_03/2016</v>
          </cell>
          <cell r="C2299" t="str">
            <v>M</v>
          </cell>
          <cell r="D2299">
            <v>30.73</v>
          </cell>
        </row>
        <row r="2300">
          <cell r="A2300">
            <v>93191</v>
          </cell>
          <cell r="B2300" t="str">
            <v>VERGA MOLDADA IN LOCO COM UTILIZAÇÃO DE BLOCOS CANALETA PARA JANELAS COM MAIS DE 1,5 M DE VÃO. AF_03/2016</v>
          </cell>
          <cell r="C2300" t="str">
            <v>M</v>
          </cell>
          <cell r="D2300">
            <v>31.6</v>
          </cell>
        </row>
        <row r="2301">
          <cell r="A2301">
            <v>93192</v>
          </cell>
          <cell r="B2301" t="str">
            <v>VERGA MOLDADA IN LOCO COM UTILIZAÇÃO DE BLOCOS CANALETA PARA PORTAS COM ATÉ 1,5 M DE VÃO. AF_03/2016</v>
          </cell>
          <cell r="C2301" t="str">
            <v>M</v>
          </cell>
          <cell r="D2301">
            <v>34.630000000000003</v>
          </cell>
        </row>
        <row r="2302">
          <cell r="A2302">
            <v>93193</v>
          </cell>
          <cell r="B2302" t="str">
            <v>VERGA MOLDADA IN LOCO COM UTILIZAÇÃO DE BLOCOS CANALETA PARA PORTAS COM MAIS DE 1,5 M DE VÃO. AF_03/2016</v>
          </cell>
          <cell r="C2302" t="str">
            <v>M</v>
          </cell>
          <cell r="D2302">
            <v>32.26</v>
          </cell>
        </row>
        <row r="2303">
          <cell r="A2303">
            <v>93194</v>
          </cell>
          <cell r="B2303" t="str">
            <v>CONTRAVERGA PRÉ-MOLDADA PARA VÃOS DE ATÉ 1,5 M DE COMPRIMENTO. AF_03/2016</v>
          </cell>
          <cell r="C2303" t="str">
            <v>M</v>
          </cell>
          <cell r="D2303">
            <v>22.32</v>
          </cell>
        </row>
        <row r="2304">
          <cell r="A2304">
            <v>93195</v>
          </cell>
          <cell r="B2304" t="str">
            <v>CONTRAVERGA PRÉ-MOLDADA PARA VÃOS DE MAIS DE 1,5 M DE COMPRIMENTO. AF_03/2016</v>
          </cell>
          <cell r="C2304" t="str">
            <v>M</v>
          </cell>
          <cell r="D2304">
            <v>26.31</v>
          </cell>
        </row>
        <row r="2305">
          <cell r="A2305">
            <v>93196</v>
          </cell>
          <cell r="B2305" t="str">
            <v>CONTRAVERGA MOLDADA IN LOCO EM CONCRETO PARA VÃOS DE ATÉ 1,5 M DE COMPRIMENTO. AF_03/2016</v>
          </cell>
          <cell r="C2305" t="str">
            <v>M</v>
          </cell>
          <cell r="D2305">
            <v>38.619999999999997</v>
          </cell>
        </row>
        <row r="2306">
          <cell r="A2306">
            <v>93197</v>
          </cell>
          <cell r="B2306" t="str">
            <v>CONTRAVERGA MOLDADA IN LOCO EM CONCRETO PARA VÃOS DE MAIS DE 1,5 M DE COMPRIMENTO. AF_03/2016</v>
          </cell>
          <cell r="C2306" t="str">
            <v>M</v>
          </cell>
          <cell r="D2306">
            <v>42.67</v>
          </cell>
        </row>
        <row r="2307">
          <cell r="A2307">
            <v>93198</v>
          </cell>
          <cell r="B2307" t="str">
            <v>CONTRAVERGA MOLDADA IN LOCO COM UTILIZAÇÃO DE BLOCOS CANALETA PARA VÃOS DE ATÉ 1,5 M DE COMPRIMENTO. AF_03/2016</v>
          </cell>
          <cell r="C2307" t="str">
            <v>M</v>
          </cell>
          <cell r="D2307">
            <v>27.7</v>
          </cell>
        </row>
        <row r="2308">
          <cell r="A2308">
            <v>93199</v>
          </cell>
          <cell r="B2308" t="str">
            <v>CONTRAVERGA MOLDADA IN LOCO COM UTILIZAÇÃO DE BLOCOS CANALETA PARA VÃOS DE MAIS DE 1,5 M DE COMPRIMENTO. AF_03/2016</v>
          </cell>
          <cell r="C2308" t="str">
            <v>M</v>
          </cell>
          <cell r="D2308">
            <v>27.26</v>
          </cell>
        </row>
        <row r="2309">
          <cell r="A2309">
            <v>93200</v>
          </cell>
          <cell r="B2309" t="str">
            <v>FIXAÇÃO (ENCUNHAMENTO) DE ALVENARIA DE VEDAÇÃO COM ARGAMASSA APLICADA COM BISNAGA. AF_03/2016</v>
          </cell>
          <cell r="C2309" t="str">
            <v>M</v>
          </cell>
          <cell r="D2309">
            <v>2.15</v>
          </cell>
        </row>
        <row r="2310">
          <cell r="A2310">
            <v>93201</v>
          </cell>
          <cell r="B2310" t="str">
            <v>FIXAÇÃO (ENCUNHAMENTO) DE ALVENARIA DE VEDAÇÃO COM ARGAMASSA APLICADA COM COLHER. AF_03/2016</v>
          </cell>
          <cell r="C2310" t="str">
            <v>M</v>
          </cell>
          <cell r="D2310">
            <v>4.5999999999999996</v>
          </cell>
        </row>
        <row r="2311">
          <cell r="A2311">
            <v>93202</v>
          </cell>
          <cell r="B2311" t="str">
            <v>FIXAÇÃO (ENCUNHAMENTO) DE ALVENARIA DE VEDAÇÃO COM TIJOLO MACIÇO. AF_03/2016</v>
          </cell>
          <cell r="C2311" t="str">
            <v>M</v>
          </cell>
          <cell r="D2311">
            <v>19.59</v>
          </cell>
        </row>
        <row r="2312">
          <cell r="A2312">
            <v>93203</v>
          </cell>
          <cell r="B2312" t="str">
            <v>FIXAÇÃO (ENCUNHAMENTO) DE ALVENARIA DE VEDAÇÃO COM ESPUMA DE POLIURETANO EXPANSIVA. AF_03/2016</v>
          </cell>
          <cell r="C2312" t="str">
            <v>M</v>
          </cell>
          <cell r="D2312">
            <v>13.68</v>
          </cell>
        </row>
        <row r="2313">
          <cell r="A2313">
            <v>93204</v>
          </cell>
          <cell r="B2313" t="str">
            <v>CINTA DE AMARRAÇÃO DE ALVENARIA MOLDADA IN LOCO EM CONCRETO. AF_03/2016</v>
          </cell>
          <cell r="C2313" t="str">
            <v>M</v>
          </cell>
          <cell r="D2313">
            <v>31.51</v>
          </cell>
        </row>
        <row r="2314">
          <cell r="A2314">
            <v>93205</v>
          </cell>
          <cell r="B2314" t="str">
            <v>CINTA DE AMARRAÇÃO DE ALVENARIA MOLDADA IN LOCO COM UTILIZAÇÃO DE BLOCOS CANALETA. AF_03/2016</v>
          </cell>
          <cell r="C2314" t="str">
            <v>M</v>
          </cell>
          <cell r="D2314">
            <v>26.36</v>
          </cell>
        </row>
        <row r="2315">
          <cell r="A2315">
            <v>85233</v>
          </cell>
          <cell r="B2315" t="str">
            <v>ESCADA EM CONCRETO ARMADO, FCK = 15 MPA, MOLDADA IN LOCO</v>
          </cell>
          <cell r="C2315" t="str">
            <v>M3</v>
          </cell>
          <cell r="D2315">
            <v>2354.59</v>
          </cell>
        </row>
        <row r="2316">
          <cell r="A2316">
            <v>95952</v>
          </cell>
          <cell r="B2316" t="str">
            <v>(COMPOSIÇÃO REPRESENTATIVA) EXECUÇÃO DE ESTRUTURAS DE CONCRETO ARMADO CONVENCIONAL, PARA EDIFICAÇÃO HABITACIONAL MULTIFAMILIAR (PRÉDIO), FCK = 25 MPA. AF_01/2017</v>
          </cell>
          <cell r="C2316" t="str">
            <v>M3</v>
          </cell>
          <cell r="D2316">
            <v>1567.48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v>2522.61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v>1792.57</v>
          </cell>
        </row>
        <row r="2319">
          <cell r="A2319">
            <v>95955</v>
          </cell>
          <cell r="B2319" t="str">
            <v>(COMPOSIÇÃO REPRESENTATIVA) EXECUÇÃO DE ESTRUTURAS DE CONCRETO ARMADO, PARA EDIFICAÇÃO HABITACIONAL UNIFAMILIAR TÉRREA (CASA ISOLADA), FCK = 25 MPA. AF_01/2017</v>
          </cell>
          <cell r="C2319" t="str">
            <v>M3</v>
          </cell>
          <cell r="D2319">
            <v>2203.2199999999998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v>1721.46</v>
          </cell>
        </row>
        <row r="2321">
          <cell r="A2321">
            <v>95957</v>
          </cell>
          <cell r="B2321" t="str">
            <v>(COMPOSIÇÃO REPRESENTATIVA) EXECUÇÃO DE ESTRUTURAS DE CONCRETO ARMADO, PARA EDIFICAÇÃO INSTITUCIONAL TÉRREA, FCK = 25 MPA. AF_01/2017</v>
          </cell>
          <cell r="C2321" t="str">
            <v>M3</v>
          </cell>
          <cell r="D2321">
            <v>2201.25</v>
          </cell>
        </row>
        <row r="2322">
          <cell r="A2322">
            <v>95969</v>
          </cell>
          <cell r="B2322" t="str">
            <v>(COMPOSIÇÃO REPRESENTATIVA) EXECUÇÃO DE ESCADA EM CONCRETO ARMADO, MOLDADA IN LOCO, FCK = 25 MPA. AF_02/2017</v>
          </cell>
          <cell r="C2322" t="str">
            <v>M3</v>
          </cell>
          <cell r="D2322">
            <v>2169.1999999999998</v>
          </cell>
        </row>
        <row r="2323">
          <cell r="A2323">
            <v>97733</v>
          </cell>
          <cell r="B2323" t="str">
            <v>PEÇA RETANGULAR PRÉ-MOLDADA, VOLUME DE CONCRETO DE ATÉ 10 LITROS, TAXA DE AÇO APROXIMADA DE 30KG/M³. AF_01/2018</v>
          </cell>
          <cell r="C2323" t="str">
            <v>M3</v>
          </cell>
          <cell r="D2323">
            <v>2424.85</v>
          </cell>
        </row>
        <row r="2324">
          <cell r="A2324">
            <v>97734</v>
          </cell>
          <cell r="B2324" t="str">
            <v>PEÇA RETANGULAR PRÉ-MOLDADA, VOLUME DE CONCRETO DE 10 A 30 LITROS, TAXA DE AÇO APROXIMADA DE 30KG/M³. AF_01/2018</v>
          </cell>
          <cell r="C2324" t="str">
            <v>M3</v>
          </cell>
          <cell r="D2324">
            <v>2112.9299999999998</v>
          </cell>
        </row>
        <row r="2325">
          <cell r="A2325">
            <v>97735</v>
          </cell>
          <cell r="B2325" t="str">
            <v>PEÇA RETANGULAR PRÉ-MOLDADA, VOLUME DE CONCRETO DE 30 A 100 LITROS, TAXA DE AÇO APROXIMADA DE 30KG/M³. AF_01/2018</v>
          </cell>
          <cell r="C2325" t="str">
            <v>M3</v>
          </cell>
          <cell r="D2325">
            <v>1741.24</v>
          </cell>
        </row>
        <row r="2326">
          <cell r="A2326">
            <v>97736</v>
          </cell>
          <cell r="B2326" t="str">
            <v>PEÇA RETANGULAR PRÉ-MOLDADA, VOLUME DE CONCRETO ACIMA DE 100 LITROS, TAXA DE AÇO APROXIMADA DE 30KG/M³. AF_01/2018</v>
          </cell>
          <cell r="C2326" t="str">
            <v>M3</v>
          </cell>
          <cell r="D2326">
            <v>1064.8900000000001</v>
          </cell>
        </row>
        <row r="2327">
          <cell r="A2327">
            <v>97737</v>
          </cell>
          <cell r="B2327" t="str">
            <v>PEÇA RETANGULAR PRÉ-MOLDADA, VOLUME DE CONCRETO DE 30 A 70 LITROS , TAXA DE AÇO APROXIMADA DE 70KG/M³. AF_01/2018</v>
          </cell>
          <cell r="C2327" t="str">
            <v>M3</v>
          </cell>
          <cell r="D2327">
            <v>2387.5500000000002</v>
          </cell>
        </row>
        <row r="2328">
          <cell r="A2328">
            <v>97738</v>
          </cell>
          <cell r="B2328" t="str">
            <v>PEÇA CIRCULAR PRÉ-MOLDADA, VOLUME DE CONCRETO DE 10 A 30 LITROS, TAXA DE FIBRA DE POLIPROPILENO APROXIMADA DE 6 KG/M³. AF_01/2018_P</v>
          </cell>
          <cell r="C2328" t="str">
            <v>M3</v>
          </cell>
          <cell r="D2328">
            <v>3227.64</v>
          </cell>
        </row>
        <row r="2329">
          <cell r="A2329">
            <v>97739</v>
          </cell>
          <cell r="B2329" t="str">
            <v>PEÇA CIRCULAR PRÉ-MOLDADA, VOLUME DE CONCRETO DE 30 A 100 LITROS, TAXA DE AÇO APROXIMADA DE 30KG/M³. AF_01/2018</v>
          </cell>
          <cell r="C2329" t="str">
            <v>M3</v>
          </cell>
          <cell r="D2329">
            <v>1984.55</v>
          </cell>
        </row>
        <row r="2330">
          <cell r="A2330">
            <v>97740</v>
          </cell>
          <cell r="B2330" t="str">
            <v>PEÇA CIRCULAR PRÉ-MOLDADA, VOLUME DE CONCRETO ACIMA DE 100 LITROS, TAXA DE AÇO APROXIMADA DE 30KG/M³. AF_01/2018</v>
          </cell>
          <cell r="C2330" t="str">
            <v>M3</v>
          </cell>
          <cell r="D2330">
            <v>1412.57</v>
          </cell>
        </row>
        <row r="2331">
          <cell r="A2331">
            <v>98615</v>
          </cell>
          <cell r="B2331" t="str">
            <v>CONTENÇÃO EM CORTINA COM ESTACAS ESPAÇADAS COM 30 CM DE DIÂMETRO E PROFUNDIDADE MENOR OU IGUAL A 10 M. AF_06/2018</v>
          </cell>
          <cell r="C2331" t="str">
            <v>M2</v>
          </cell>
          <cell r="D2331">
            <v>97.25</v>
          </cell>
        </row>
        <row r="2332">
          <cell r="A2332">
            <v>98616</v>
          </cell>
          <cell r="B2332" t="str">
            <v>CONTENÇÃO EM CORTINA COM ESTACAS ESPAÇADAS COM 30 CM DE DIÂMETRO E PROFUNDIDADE MAIOR QUE 10 M E MENOR OU IGUAL A 15 M. AF_06/2018</v>
          </cell>
          <cell r="C2332" t="str">
            <v>M2</v>
          </cell>
          <cell r="D2332">
            <v>79.510000000000005</v>
          </cell>
        </row>
        <row r="2333">
          <cell r="A2333">
            <v>98617</v>
          </cell>
          <cell r="B2333" t="str">
            <v>CONTENÇÃO EM CORTINA COM ESTACAS ESPAÇADAS COM 30 CM DE DIÂMETRO E PROFUNDIDADE MAIOR QUE 15 M. AF_06/2018</v>
          </cell>
          <cell r="C2333" t="str">
            <v>M2</v>
          </cell>
          <cell r="D2333">
            <v>74.55</v>
          </cell>
        </row>
        <row r="2334">
          <cell r="A2334">
            <v>98618</v>
          </cell>
          <cell r="B2334" t="str">
            <v>CONTENÇÃO EM CORTINA COM ESTACAS ESPAÇADAS COM 40 CM DE DIÂMETRO E PROFUNDIDADE MENOR OU IGUAL A 10 M. AF_06/2018</v>
          </cell>
          <cell r="C2334" t="str">
            <v>M2</v>
          </cell>
          <cell r="D2334">
            <v>101.81</v>
          </cell>
        </row>
        <row r="2335">
          <cell r="A2335">
            <v>98619</v>
          </cell>
          <cell r="B2335" t="str">
            <v>CONTENÇÃO EM CORTINA COM ESTACAS ESPAÇADAS COM 40 CM DE DIÂMETRO E PROFUNDIDADE MAIOR QUE 10 M E MENOR OU IGUAL A 15 M. AF_06/2018</v>
          </cell>
          <cell r="C2335" t="str">
            <v>M2</v>
          </cell>
          <cell r="D2335">
            <v>94.29</v>
          </cell>
        </row>
        <row r="2336">
          <cell r="A2336">
            <v>98620</v>
          </cell>
          <cell r="B2336" t="str">
            <v>CONTENÇÃO EM CORTINA COM ESTACAS ESPAÇADAS COM 40 CM DE DIÂMETRO E PROFUNDIDADE MAIOR QUE 15 M. AF_06/2018</v>
          </cell>
          <cell r="C2336" t="str">
            <v>M2</v>
          </cell>
          <cell r="D2336">
            <v>90.47</v>
          </cell>
        </row>
        <row r="2337">
          <cell r="A2337">
            <v>98621</v>
          </cell>
          <cell r="B2337" t="str">
            <v>CONTENÇÃO EM CORTINA COM ESTACAS ESPAÇADAS COM 50 CM DE DIÂMETRO E PROFUNDIDADE MENOR OU IGUAL A 10 M. AF_06/2018</v>
          </cell>
          <cell r="C2337" t="str">
            <v>M2</v>
          </cell>
          <cell r="D2337">
            <v>117.49</v>
          </cell>
        </row>
        <row r="2338">
          <cell r="A2338">
            <v>98622</v>
          </cell>
          <cell r="B2338" t="str">
            <v>CONTENÇÃO EM CORTINA COM ESTACAS ESPAÇADAS COM 50 CM DE DIÂMETRO E PROFUNDIDADE MAIOR QUE 10 M E MENOR OU IGUAL A 15 M. AF_06/2018</v>
          </cell>
          <cell r="C2338" t="str">
            <v>M2</v>
          </cell>
          <cell r="D2338">
            <v>111.4</v>
          </cell>
        </row>
        <row r="2339">
          <cell r="A2339">
            <v>98623</v>
          </cell>
          <cell r="B2339" t="str">
            <v>CONTENÇÃO EM CORTINA COM ESTACAS ESPAÇADAS COM 50 CM DE DIÂMETRO E PROFUNDIDADE MAIOR QUE 15 M. AF_06/2018</v>
          </cell>
          <cell r="C2339" t="str">
            <v>M2</v>
          </cell>
          <cell r="D2339">
            <v>108.31</v>
          </cell>
        </row>
        <row r="2340">
          <cell r="A2340">
            <v>98624</v>
          </cell>
          <cell r="B2340" t="str">
            <v>CONTENÇÃO EM CORTINA COM ESTACAS ESPAÇADAS COM 60 CM DE DIÂMETRO E PROFUNDIDADE MENOR OU IGUAL A 10 M. AF_06/2018</v>
          </cell>
          <cell r="C2340" t="str">
            <v>M2</v>
          </cell>
          <cell r="D2340">
            <v>134.19</v>
          </cell>
        </row>
        <row r="2341">
          <cell r="A2341">
            <v>98625</v>
          </cell>
          <cell r="B2341" t="str">
            <v>CONTENÇÃO EM CORTINA COM ESTACAS ESPAÇADAS COM 60 CM DE DIÂMETRO E PROFUNDIDADE MAIOR QUE 10 M E MENOR OU IGUAL A 15 M. AF_06/2018</v>
          </cell>
          <cell r="C2341" t="str">
            <v>M2</v>
          </cell>
          <cell r="D2341">
            <v>129.05000000000001</v>
          </cell>
        </row>
        <row r="2342">
          <cell r="A2342">
            <v>98626</v>
          </cell>
          <cell r="B2342" t="str">
            <v>CONTENÇÃO EM CORTINA COM ESTACAS ESPAÇADAS COM 60 CM DE DIÂMETRO E PROFUNDIDADE MAIOR QUE 15 M. AF_06/2018</v>
          </cell>
          <cell r="C2342" t="str">
            <v>M2</v>
          </cell>
          <cell r="D2342">
            <v>126.35</v>
          </cell>
        </row>
        <row r="2343">
          <cell r="A2343">
            <v>98655</v>
          </cell>
          <cell r="B2343" t="str">
            <v>EXECUÇÃO DE MURETA GUIA PARA CONTENÇÃO/ FUNDAÇÃO COM 30 CM DE ESPESSURA. AF_06/2018</v>
          </cell>
          <cell r="C2343" t="str">
            <v>M</v>
          </cell>
          <cell r="D2343">
            <v>425.25</v>
          </cell>
        </row>
        <row r="2344">
          <cell r="A2344">
            <v>98656</v>
          </cell>
          <cell r="B2344" t="str">
            <v>EXECUÇÃO DE MURETA GUIA PARA CONTENÇÃO/ FUNDAÇÃO COM 40 CM DE ESPESSURA. AF_06/2018</v>
          </cell>
          <cell r="C2344" t="str">
            <v>M</v>
          </cell>
          <cell r="D2344">
            <v>431.04</v>
          </cell>
        </row>
        <row r="2345">
          <cell r="A2345">
            <v>98657</v>
          </cell>
          <cell r="B2345" t="str">
            <v>EXECUÇÃO DE MURETA GUIA PARA CONTENÇÃO/ FUNDAÇÃO COM 50 CM DE ESPESSURA. AF_06/2018</v>
          </cell>
          <cell r="C2345" t="str">
            <v>M</v>
          </cell>
          <cell r="D2345">
            <v>436.82</v>
          </cell>
        </row>
        <row r="2346">
          <cell r="A2346">
            <v>98658</v>
          </cell>
          <cell r="B2346" t="str">
            <v>EXECUÇÃO DE MURETA GUIA PARA CONTENÇÃO/ FUNDAÇÃO COM 60 CM DE ESPESSURA. AF_06/2018</v>
          </cell>
          <cell r="C2346" t="str">
            <v>M</v>
          </cell>
          <cell r="D2346">
            <v>442.61</v>
          </cell>
        </row>
        <row r="2347">
          <cell r="A2347">
            <v>98659</v>
          </cell>
          <cell r="B2347" t="str">
            <v>EXECUÇÃO DE MURETA GUIA PARA CONTENÇÃO/ FUNDAÇÃO COM 80 CM DE ESPESSURA. AF_06/2018</v>
          </cell>
          <cell r="C2347" t="str">
            <v>M</v>
          </cell>
          <cell r="D2347">
            <v>454.2</v>
          </cell>
        </row>
        <row r="2348">
          <cell r="A2348">
            <v>98746</v>
          </cell>
          <cell r="B2348" t="str">
            <v>SOLDA DE TOPO EM CHAPA/PERFIL/TUBO DE AÇO CHANFRADO, ESPESSURA=1/4''. AF_06/2018</v>
          </cell>
          <cell r="C2348" t="str">
            <v>M</v>
          </cell>
          <cell r="D2348">
            <v>39.28</v>
          </cell>
        </row>
        <row r="2349">
          <cell r="A2349">
            <v>98749</v>
          </cell>
          <cell r="B2349" t="str">
            <v>SOLDA DE TOPO EM CHAPA/PERFIL/TUBO DE AÇO CHANFRADO, ESPESSURA=5/16''. AF_06/2018</v>
          </cell>
          <cell r="C2349" t="str">
            <v>M</v>
          </cell>
          <cell r="D2349">
            <v>44.63</v>
          </cell>
        </row>
        <row r="2350">
          <cell r="A2350">
            <v>98750</v>
          </cell>
          <cell r="B2350" t="str">
            <v>SOLDA DE TOPO EM CHAPA/PERFIL/TUBO DE AÇO CHANFRADO, ESPESSURA=3/8''. AF_06/2018</v>
          </cell>
          <cell r="C2350" t="str">
            <v>M</v>
          </cell>
          <cell r="D2350">
            <v>50.89</v>
          </cell>
        </row>
        <row r="2351">
          <cell r="A2351">
            <v>98751</v>
          </cell>
          <cell r="B2351" t="str">
            <v>SOLDA DE TOPO EM CHAPA/PERFIL/TUBO DE AÇO CHANFRADO, ESPESSURA=1/2''. AF_06/2018</v>
          </cell>
          <cell r="C2351" t="str">
            <v>M</v>
          </cell>
          <cell r="D2351">
            <v>67.11</v>
          </cell>
        </row>
        <row r="2352">
          <cell r="A2352">
            <v>98752</v>
          </cell>
          <cell r="B2352" t="str">
            <v>SOLDA DE TOPO EM CHAPA/PERFIL/TUBO DE AÇO CHANFRADO, ESPESSURA=5/8''. AF_06/2018</v>
          </cell>
          <cell r="C2352" t="str">
            <v>M</v>
          </cell>
          <cell r="D2352">
            <v>86.32</v>
          </cell>
        </row>
        <row r="2353">
          <cell r="A2353">
            <v>98753</v>
          </cell>
          <cell r="B2353" t="str">
            <v>SOLDA DE TOPO EM CHAPA/PERFIL/TUBO DE AÇO CHANFRADO, ESPESSURA=3/4''. AF_06/2018</v>
          </cell>
          <cell r="C2353" t="str">
            <v>M</v>
          </cell>
          <cell r="D2353">
            <v>109.95</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v>9.32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v>9.27</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v>8.48</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v>8.7200000000000006</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v>9.1999999999999993</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v>12.11</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v>14.26</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v>13.96</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v>16</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v>9.31</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v>12.58</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v>6.59</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v>8</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v>12.62</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v>8.6999999999999993</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v>5.43</v>
          </cell>
        </row>
        <row r="2370">
          <cell r="A2370">
            <v>98560</v>
          </cell>
          <cell r="B2370" t="str">
            <v>IMPERMEABILIZAÇÃO DE PISO COM ARGAMASSA DE CIMENTO E AREIA, COM ADITIVO IMPERMEABILIZANTE, E = 2CM. AF_06/2018</v>
          </cell>
          <cell r="C2370" t="str">
            <v>M2</v>
          </cell>
          <cell r="D2370">
            <v>34.49</v>
          </cell>
        </row>
        <row r="2371">
          <cell r="A2371">
            <v>98561</v>
          </cell>
          <cell r="B2371" t="str">
            <v>IMPERMEABILIZAÇÃO DE PAREDES COM ARGAMASSA DE CIMENTO E AREIA, COM ADITIVO IMPERMEABILIZANTE, E = 2CM. AF_06/2018</v>
          </cell>
          <cell r="C2371" t="str">
            <v>M2</v>
          </cell>
          <cell r="D2371">
            <v>30.79</v>
          </cell>
        </row>
        <row r="2372">
          <cell r="A2372">
            <v>98562</v>
          </cell>
          <cell r="B2372" t="str">
            <v>IMPERMEABILIZAÇÃO DE FLOREIRA OU VIGA BALDRAME COM ARGAMASSA DE CIMENTO E AREIA, COM ADITIVO IMPERMEABILIZANTE, E = 2 CM. AF_06/2018</v>
          </cell>
          <cell r="C2372" t="str">
            <v>M2</v>
          </cell>
          <cell r="D2372">
            <v>30.26</v>
          </cell>
        </row>
        <row r="2373">
          <cell r="A2373">
            <v>98555</v>
          </cell>
          <cell r="B2373" t="str">
            <v>IMPERMEABILIZAÇÃO DE SUPERFÍCIE COM ARGAMASSA POLIMÉRICA / MEMBRANA ACRÍLICA, 3 DEMÃOS. AF_06/2018</v>
          </cell>
          <cell r="C2373" t="str">
            <v>M2</v>
          </cell>
          <cell r="D2373">
            <v>20.46</v>
          </cell>
        </row>
        <row r="2374">
          <cell r="A2374">
            <v>98556</v>
          </cell>
          <cell r="B2374" t="str">
            <v>IMPERMEABILIZAÇÃO DE SUPERFÍCIE COM ARGAMASSA POLIMÉRICA / MEMBRANA ACRÍLICA, 4 DEMÃOS, REFORÇADA COM VÉU DE POLIÉSTER (MAV). AF_06/2018</v>
          </cell>
          <cell r="C2374" t="str">
            <v>M2</v>
          </cell>
          <cell r="D2374">
            <v>37.36</v>
          </cell>
        </row>
        <row r="2375">
          <cell r="A2375">
            <v>98558</v>
          </cell>
          <cell r="B2375" t="str">
            <v>TRATAMENTO DE RALO OU PONTO EMERGENTE COM ARGAMASSA POLIMÉRICA / MEMBRANA ACRÍLICA REFORÇADO COM VÉU DE POLIÉSTER (MAV). AF_06/2018</v>
          </cell>
          <cell r="C2375" t="str">
            <v>UN</v>
          </cell>
          <cell r="D2375">
            <v>5.66</v>
          </cell>
        </row>
        <row r="2376">
          <cell r="A2376">
            <v>98559</v>
          </cell>
          <cell r="B2376" t="str">
            <v>TRATAMENTO DE RODAPÉ COM VÉU DE POLIÉSTER. AF_06/2018</v>
          </cell>
          <cell r="C2376" t="str">
            <v>M</v>
          </cell>
          <cell r="D2376">
            <v>3.2</v>
          </cell>
        </row>
        <row r="2377">
          <cell r="A2377">
            <v>98546</v>
          </cell>
          <cell r="B2377" t="str">
            <v>IMPERMEABILIZAÇÃO DE SUPERFÍCIE COM MANTA ASFÁLTICA, UMA CAMADA, INCLUSIVE APLICAÇÃO DE PRIMER ASFÁLTICO, E=3MM. AF_06/2018</v>
          </cell>
          <cell r="C2377" t="str">
            <v>M2</v>
          </cell>
          <cell r="D2377">
            <v>73.349999999999994</v>
          </cell>
        </row>
        <row r="2378">
          <cell r="A2378">
            <v>98547</v>
          </cell>
          <cell r="B2378" t="str">
            <v>IMPERMEABILIZAÇÃO DE SUPERFÍCIE COM MANTA ASFÁLTICA, DUAS CAMADAS, INCLUSIVE APLICAÇÃO DE PRIMER ASFÁLTICO, E=3MM E E=4MM. AF_06/2018</v>
          </cell>
          <cell r="C2378" t="str">
            <v>M2</v>
          </cell>
          <cell r="D2378">
            <v>132.94</v>
          </cell>
        </row>
        <row r="2379">
          <cell r="A2379">
            <v>98553</v>
          </cell>
          <cell r="B2379" t="str">
            <v>IMPERMEABILIZAÇÃO DE SUPERFÍCIE COM MEMBRANA À BASE DE POLIURETANO, 2 DEMÃOS. AF_06/2018</v>
          </cell>
          <cell r="C2379" t="str">
            <v>M2</v>
          </cell>
          <cell r="D2379">
            <v>95.52</v>
          </cell>
        </row>
        <row r="2380">
          <cell r="A2380">
            <v>98554</v>
          </cell>
          <cell r="B2380" t="str">
            <v>IMPERMEABILIZAÇÃO DE SUPERFÍCIE COM MEMBRANA À BASE DE RESINA ACRÍLICA, 3 DEMÃOS. AF_06/2018</v>
          </cell>
          <cell r="C2380" t="str">
            <v>M2</v>
          </cell>
          <cell r="D2380">
            <v>33.659999999999997</v>
          </cell>
        </row>
        <row r="2381">
          <cell r="A2381">
            <v>98557</v>
          </cell>
          <cell r="B2381" t="str">
            <v>IMPERMEABILIZAÇÃO DE SUPERFÍCIE COM EMULSÃO ASFÁLTICA, 2 DEMÃOS AF_06/2018</v>
          </cell>
          <cell r="C2381" t="str">
            <v>M2</v>
          </cell>
          <cell r="D2381">
            <v>27.01</v>
          </cell>
        </row>
        <row r="2382">
          <cell r="A2382">
            <v>98563</v>
          </cell>
          <cell r="B2382" t="str">
            <v>PROTEÇÃO MECÂNICA DE SUPERFÍCIE HORIZONTAL COM ARGAMASSA DE CIMENTO E AREIA, TRAÇO 1:3, E=2CM. AF_06/2018</v>
          </cell>
          <cell r="C2382" t="str">
            <v>M2</v>
          </cell>
          <cell r="D2382">
            <v>24.51</v>
          </cell>
        </row>
        <row r="2383">
          <cell r="A2383">
            <v>98564</v>
          </cell>
          <cell r="B2383" t="str">
            <v>PROTEÇÃO MECÂNICA DE SUPERFÍCIE VERTICAL COM ARGAMASSA DE CIMENTO E AREIA, TRAÇO 1:3, E=2CM. AF_06/2018</v>
          </cell>
          <cell r="C2383" t="str">
            <v>M2</v>
          </cell>
          <cell r="D2383">
            <v>34.07</v>
          </cell>
        </row>
        <row r="2384">
          <cell r="A2384">
            <v>98565</v>
          </cell>
          <cell r="B2384" t="str">
            <v>PROTEÇÃO MECÂNICA DE SUPERFICIE HORIZONTAL COM ARGAMASSA DE CIMENTO E AREIA, TRAÇO 1:3, E=3CM. AF_06/2018</v>
          </cell>
          <cell r="C2384" t="str">
            <v>M2</v>
          </cell>
          <cell r="D2384">
            <v>35.409999999999997</v>
          </cell>
        </row>
        <row r="2385">
          <cell r="A2385">
            <v>98566</v>
          </cell>
          <cell r="B2385" t="str">
            <v>PROTEÇÃO MECÂNICA DE SUPERFÍCIE VERTICAL COM ARGAMASSA DE CIMENTO E AREIA, TRAÇO 1:3, E=3CM. AF_06/2018</v>
          </cell>
          <cell r="C2385" t="str">
            <v>M2</v>
          </cell>
          <cell r="D2385">
            <v>44.97</v>
          </cell>
        </row>
        <row r="2386">
          <cell r="A2386">
            <v>98567</v>
          </cell>
          <cell r="B2386" t="str">
            <v>PROTEÇÃO MECÂNICA DE SUPERFICIE HORIZONTAL COM ARGAMASSA DE CIMENTO E AREIA, TRAÇO 1:3, E=4CM. AF_06/2018</v>
          </cell>
          <cell r="C2386" t="str">
            <v>M2</v>
          </cell>
          <cell r="D2386">
            <v>45.8</v>
          </cell>
        </row>
        <row r="2387">
          <cell r="A2387">
            <v>98568</v>
          </cell>
          <cell r="B2387" t="str">
            <v>PROTEÇÃO MECÂNICA DE SUPERFÍCIE VERTICAL COM ARGAMASSA DE CIMENTO E AREIA, TRAÇO 1:3, E=4CM. AF_06/2018</v>
          </cell>
          <cell r="C2387" t="str">
            <v>M2</v>
          </cell>
          <cell r="D2387">
            <v>55.35</v>
          </cell>
        </row>
        <row r="2388">
          <cell r="A2388">
            <v>98569</v>
          </cell>
          <cell r="B2388" t="str">
            <v>PROTEÇÃO MECÂNICA DE SUPERFICIE HORIZONTAL COM ARGAMASSA DE CIMENTO E AREIA, TRAÇO 1:3, E=5CM. AF_06/2018</v>
          </cell>
          <cell r="C2388" t="str">
            <v>M2</v>
          </cell>
          <cell r="D2388">
            <v>56.69</v>
          </cell>
        </row>
        <row r="2389">
          <cell r="A2389">
            <v>98570</v>
          </cell>
          <cell r="B2389" t="str">
            <v>PROTEÇÃO MECÂNICA DE SUPERFÍCIE VERTICAL COM ARGAMASSA DE CIMENTO E AREIA, TRAÇO 1:3, E=5CM. AF_06/2018</v>
          </cell>
          <cell r="C2389" t="str">
            <v>M2</v>
          </cell>
          <cell r="D2389">
            <v>66.27</v>
          </cell>
        </row>
        <row r="2390">
          <cell r="A2390">
            <v>98571</v>
          </cell>
          <cell r="B2390" t="str">
            <v>PROTEÇÃO MECÂNICA DE SUPERFICIE HORIZONTAL COM CONCRETO 15 MPA, E=4CM. AF_06/2018</v>
          </cell>
          <cell r="C2390" t="str">
            <v>M2</v>
          </cell>
          <cell r="D2390">
            <v>31.77</v>
          </cell>
        </row>
        <row r="2391">
          <cell r="A2391">
            <v>98572</v>
          </cell>
          <cell r="B2391" t="str">
            <v>PROTEÇÃO MECÂNICA DE SUPERFICIE HORIZONTAL COM CONCRETO 15 MPA, E=5CM. AF_06/2018</v>
          </cell>
          <cell r="C2391" t="str">
            <v>M2</v>
          </cell>
          <cell r="D2391">
            <v>39.21</v>
          </cell>
        </row>
        <row r="2392">
          <cell r="A2392">
            <v>98573</v>
          </cell>
          <cell r="B2392" t="str">
            <v>PROTEÇÃO MECÂNICA DE SUPERFÍCIE VERTICAL COM CONCRETO 15 MPA, E=5CM. AF_06/2018</v>
          </cell>
          <cell r="C2392" t="str">
            <v>M2</v>
          </cell>
          <cell r="D2392">
            <v>48.47</v>
          </cell>
        </row>
        <row r="2393">
          <cell r="A2393">
            <v>91831</v>
          </cell>
          <cell r="B2393" t="str">
            <v>ELETRODUTO FLEXÍVEL CORRUGADO, PVC, DN 20 MM (1/2"), PARA CIRCUITOS TERMINAIS, INSTALADO EM FORRO - FORNECIMENTO E INSTALAÇÃO. AF_12/2015</v>
          </cell>
          <cell r="C2393" t="str">
            <v>M</v>
          </cell>
          <cell r="D2393">
            <v>5.65</v>
          </cell>
        </row>
        <row r="2394">
          <cell r="A2394">
            <v>91833</v>
          </cell>
          <cell r="B2394" t="str">
            <v>ELETRODUTO FLEXÍVEL CORRUGADO REFORÇADO, PVC, DN 20 MM (1/2"), PARA CIRCUITOS TERMINAIS, INSTALADO EM FORRO - FORNECIMENTO E INSTALAÇÃO. AF_12/2015</v>
          </cell>
          <cell r="C2394" t="str">
            <v>M</v>
          </cell>
          <cell r="D2394">
            <v>5.94</v>
          </cell>
        </row>
        <row r="2395">
          <cell r="A2395">
            <v>91834</v>
          </cell>
          <cell r="B2395" t="str">
            <v>ELETRODUTO FLEXÍVEL CORRUGADO, PVC, DN 25 MM (3/4"), PARA CIRCUITOS TERMINAIS, INSTALADO EM FORRO - FORNECIMENTO E INSTALAÇÃO. AF_12/2015</v>
          </cell>
          <cell r="C2395" t="str">
            <v>M</v>
          </cell>
          <cell r="D2395">
            <v>6.3</v>
          </cell>
        </row>
        <row r="2396">
          <cell r="A2396">
            <v>91835</v>
          </cell>
          <cell r="B2396" t="str">
            <v>ELETRODUTO FLEXÍVEL CORRUGADO REFORÇADO, PVC, DN 25 MM (3/4"), PARA CIRCUITOS TERMINAIS, INSTALADO EM FORRO - FORNECIMENTO E INSTALAÇÃO. AF_12/2015</v>
          </cell>
          <cell r="C2396" t="str">
            <v>M</v>
          </cell>
          <cell r="D2396">
            <v>7.06</v>
          </cell>
        </row>
        <row r="2397">
          <cell r="A2397">
            <v>91836</v>
          </cell>
          <cell r="B2397" t="str">
            <v>ELETRODUTO FLEXÍVEL CORRUGADO, PVC, DN 32 MM (1"), PARA CIRCUITOS TERMINAIS, INSTALADO EM FORRO - FORNECIMENTO E INSTALAÇÃO. AF_12/2015</v>
          </cell>
          <cell r="C2397" t="str">
            <v>M</v>
          </cell>
          <cell r="D2397">
            <v>8.06</v>
          </cell>
        </row>
        <row r="2398">
          <cell r="A2398">
            <v>91837</v>
          </cell>
          <cell r="B2398" t="str">
            <v>ELETRODUTO FLEXÍVEL CORRUGADO REFORÇADO, PVC, DN 32 MM (1"), PARA CIRCUITOS TERMINAIS, INSTALADO EM FORRO - FORNECIMENTO E INSTALAÇÃO. AF_12/2015</v>
          </cell>
          <cell r="C2398" t="str">
            <v>M</v>
          </cell>
          <cell r="D2398">
            <v>9.83</v>
          </cell>
        </row>
        <row r="2399">
          <cell r="A2399">
            <v>91839</v>
          </cell>
          <cell r="B2399" t="str">
            <v>ELETRODUTO FLEXÍVEL LISO, PEAD, DN 32 MM (1"), PARA CIRCUITOS TERMINAIS, INSTALADO EM FORRO - FORNECIMENTO E INSTALAÇÃO. AF_12/2015</v>
          </cell>
          <cell r="C2399" t="str">
            <v>M</v>
          </cell>
          <cell r="D2399">
            <v>7.88</v>
          </cell>
        </row>
        <row r="2400">
          <cell r="A2400">
            <v>91840</v>
          </cell>
          <cell r="B2400" t="str">
            <v>ELETRODUTO FLEXÍVEL CORRUGADO, PEAD, DN 40 MM (1 1/4"), PARA CIRCUITOS TERMINAIS, INSTALADO EM FORRO - FORNECIMENTO E INSTALAÇÃO. AF_12/2015</v>
          </cell>
          <cell r="C2400" t="str">
            <v>M</v>
          </cell>
          <cell r="D2400">
            <v>9.89</v>
          </cell>
        </row>
        <row r="2401">
          <cell r="A2401">
            <v>91841</v>
          </cell>
          <cell r="B2401" t="str">
            <v>ELETRODUTO FLEXÍVEL LISO, PEAD, DN 40 MM (1 1/4"), PARA CIRCUITOS TERMINAIS, INSTALADO EM FORRO - FORNECIMENTO E INSTALAÇÃO. AF_12/2015</v>
          </cell>
          <cell r="C2401" t="str">
            <v>M</v>
          </cell>
          <cell r="D2401">
            <v>9.36</v>
          </cell>
        </row>
        <row r="2402">
          <cell r="A2402">
            <v>91842</v>
          </cell>
          <cell r="B2402" t="str">
            <v>ELETRODUTO FLEXÍVEL CORRUGADO, PVC, DN 20 MM (1/2"), PARA CIRCUITOS TERMINAIS, INSTALADO EM LAJE - FORNECIMENTO E INSTALAÇÃO. AF_12/2015</v>
          </cell>
          <cell r="C2402" t="str">
            <v>M</v>
          </cell>
          <cell r="D2402">
            <v>3.96</v>
          </cell>
        </row>
        <row r="2403">
          <cell r="A2403">
            <v>91843</v>
          </cell>
          <cell r="B2403" t="str">
            <v>ELETRODUTO FLEXÍVEL CORRUGADO REFORÇADO, PVC, DN 20 MM (1/2"), PARA CIRCUITOS TERMINAIS, INSTALADO EM LAJE - FORNECIMENTO E INSTALAÇÃO. AF_12/2015</v>
          </cell>
          <cell r="C2403" t="str">
            <v>M</v>
          </cell>
          <cell r="D2403">
            <v>4.25</v>
          </cell>
        </row>
        <row r="2404">
          <cell r="A2404">
            <v>91844</v>
          </cell>
          <cell r="B2404" t="str">
            <v>ELETRODUTO FLEXÍVEL CORRUGADO, PVC, DN 25 MM (3/4"), PARA CIRCUITOS TERMINAIS, INSTALADO EM LAJE - FORNECIMENTO E INSTALAÇÃO. AF_12/2015</v>
          </cell>
          <cell r="C2404" t="str">
            <v>M</v>
          </cell>
          <cell r="D2404">
            <v>4.6100000000000003</v>
          </cell>
        </row>
        <row r="2405">
          <cell r="A2405">
            <v>91845</v>
          </cell>
          <cell r="B2405" t="str">
            <v>ELETRODUTO FLEXÍVEL CORRUGADO REFORÇADO, PVC, DN 25 MM (3/4"), PARA CIRCUITOS TERMINAIS, INSTALADO EM LAJE - FORNECIMENTO E INSTALAÇÃO. AF_12/2015</v>
          </cell>
          <cell r="C2405" t="str">
            <v>M</v>
          </cell>
          <cell r="D2405">
            <v>5.37</v>
          </cell>
        </row>
        <row r="2406">
          <cell r="A2406">
            <v>91846</v>
          </cell>
          <cell r="B2406" t="str">
            <v>ELETRODUTO FLEXÍVEL CORRUGADO, PVC, DN 32 MM (1"), PARA CIRCUITOS TERMINAIS, INSTALADO EM LAJE - FORNECIMENTO E INSTALAÇÃO. AF_12/2015</v>
          </cell>
          <cell r="C2406" t="str">
            <v>M</v>
          </cell>
          <cell r="D2406">
            <v>6.37</v>
          </cell>
        </row>
        <row r="2407">
          <cell r="A2407">
            <v>91847</v>
          </cell>
          <cell r="B2407" t="str">
            <v>ELETRODUTO FLEXÍVEL CORRUGADO REFORÇADO, PVC, DN 32 MM (1"), PARA CIRCUITOS TERMINAIS, INSTALADO EM LAJE - FORNECIMENTO E INSTALAÇÃO. AF_12/2015</v>
          </cell>
          <cell r="C2407" t="str">
            <v>M</v>
          </cell>
          <cell r="D2407">
            <v>8.14</v>
          </cell>
        </row>
        <row r="2408">
          <cell r="A2408">
            <v>91849</v>
          </cell>
          <cell r="B2408" t="str">
            <v>ELETRODUTO FLEXÍVEL LISO, PEAD, DN 32 MM (1"), PARA CIRCUITOS TERMINAIS, INSTALADO EM LAJE - FORNECIMENTO E INSTALAÇÃO. AF_12/2015</v>
          </cell>
          <cell r="C2408" t="str">
            <v>M</v>
          </cell>
          <cell r="D2408">
            <v>6.19</v>
          </cell>
        </row>
        <row r="2409">
          <cell r="A2409">
            <v>91850</v>
          </cell>
          <cell r="B2409" t="str">
            <v>ELETRODUTO FLEXÍVEL CORRUGADO, PEAD, DN 40 MM (1 1/4"), PARA CIRCUITOS TERMINAIS, INSTALADO EM LAJE - FORNECIMENTO E INSTALAÇÃO. AF_12/2015</v>
          </cell>
          <cell r="C2409" t="str">
            <v>M</v>
          </cell>
          <cell r="D2409">
            <v>8.25</v>
          </cell>
        </row>
        <row r="2410">
          <cell r="A2410">
            <v>91851</v>
          </cell>
          <cell r="B2410" t="str">
            <v>ELETRODUTO FLEXÍVEL LISO, PEAD, DN 40 MM (1 1/4"), PARA CIRCUITOS TERMINAIS, INSTALADO EM LAJE - FORNECIMENTO E INSTALAÇÃO. AF_12/2015</v>
          </cell>
          <cell r="C2410" t="str">
            <v>M</v>
          </cell>
          <cell r="D2410">
            <v>7.72</v>
          </cell>
        </row>
        <row r="2411">
          <cell r="A2411">
            <v>91852</v>
          </cell>
          <cell r="B2411" t="str">
            <v>ELETRODUTO FLEXÍVEL CORRUGADO, PVC, DN 20 MM (1/2"), PARA CIRCUITOS TERMINAIS, INSTALADO EM PAREDE - FORNECIMENTO E INSTALAÇÃO. AF_12/2015</v>
          </cell>
          <cell r="C2411" t="str">
            <v>M</v>
          </cell>
          <cell r="D2411">
            <v>5.91</v>
          </cell>
        </row>
        <row r="2412">
          <cell r="A2412">
            <v>91853</v>
          </cell>
          <cell r="B2412" t="str">
            <v>ELETRODUTO FLEXÍVEL CORRUGADO REFORÇADO, PVC, DN 20 MM (1/2"), PARA CIRCUITOS TERMINAIS, INSTALADO EM PAREDE - FORNECIMENTO E INSTALAÇÃO. AF_12/2015</v>
          </cell>
          <cell r="C2412" t="str">
            <v>M</v>
          </cell>
          <cell r="D2412">
            <v>6.18</v>
          </cell>
        </row>
        <row r="2413">
          <cell r="A2413">
            <v>91854</v>
          </cell>
          <cell r="B2413" t="str">
            <v>ELETRODUTO FLEXÍVEL CORRUGADO, PVC, DN 25 MM (3/4"), PARA CIRCUITOS TERMINAIS, INSTALADO EM PAREDE - FORNECIMENTO E INSTALAÇÃO. AF_12/2015</v>
          </cell>
          <cell r="C2413" t="str">
            <v>M</v>
          </cell>
          <cell r="D2413">
            <v>6.56</v>
          </cell>
        </row>
        <row r="2414">
          <cell r="A2414">
            <v>91855</v>
          </cell>
          <cell r="B2414" t="str">
            <v>ELETRODUTO FLEXÍVEL CORRUGADO REFORÇADO, PVC, DN 25 MM (3/4"), PARA CIRCUITOS TERMINAIS, INSTALADO EM PAREDE - FORNECIMENTO E INSTALAÇÃO. AF_12/2015</v>
          </cell>
          <cell r="C2414" t="str">
            <v>M</v>
          </cell>
          <cell r="D2414">
            <v>7.26</v>
          </cell>
        </row>
        <row r="2415">
          <cell r="A2415">
            <v>91856</v>
          </cell>
          <cell r="B2415" t="str">
            <v>ELETRODUTO FLEXÍVEL CORRUGADO, PVC, DN 32 MM (1"), PARA CIRCUITOS TERMINAIS, INSTALADO EM PAREDE - FORNECIMENTO E INSTALAÇÃO. AF_12/2015</v>
          </cell>
          <cell r="C2415" t="str">
            <v>M</v>
          </cell>
          <cell r="D2415">
            <v>8.23</v>
          </cell>
        </row>
        <row r="2416">
          <cell r="A2416">
            <v>91857</v>
          </cell>
          <cell r="B2416" t="str">
            <v>ELETRODUTO FLEXÍVEL CORRUGADO REFORÇADO, PVC, DN 32 MM (1"), PARA CIRCUITOS TERMINAIS, INSTALADO EM PAREDE - FORNECIMENTO E INSTALAÇÃO. AF_12/2015</v>
          </cell>
          <cell r="C2416" t="str">
            <v>M</v>
          </cell>
          <cell r="D2416">
            <v>9.8699999999999992</v>
          </cell>
        </row>
        <row r="2417">
          <cell r="A2417">
            <v>91859</v>
          </cell>
          <cell r="B2417" t="str">
            <v>ELETRODUTO FLEXÍVEL LISO, PEAD, DN 32 MM (1"), PARA CIRCUITOS TERMINAIS, INSTALADO EM PAREDE - FORNECIMENTO E INSTALAÇÃO. AF_12/2015</v>
          </cell>
          <cell r="C2417" t="str">
            <v>M</v>
          </cell>
          <cell r="D2417">
            <v>8.07</v>
          </cell>
        </row>
        <row r="2418">
          <cell r="A2418">
            <v>91860</v>
          </cell>
          <cell r="B2418" t="str">
            <v>ELETRODUTO FLEXÍVEL CORRUGADO, PEAD, DN 40 MM (1 1/4"), PARA CIRCUITOS TERMINAIS, INSTALADO EM PAREDE - FORNECIMENTO E INSTALAÇÃO. AF_12/2015</v>
          </cell>
          <cell r="C2418" t="str">
            <v>M</v>
          </cell>
          <cell r="D2418">
            <v>10.029999999999999</v>
          </cell>
        </row>
        <row r="2419">
          <cell r="A2419">
            <v>91861</v>
          </cell>
          <cell r="B2419" t="str">
            <v>ELETRODUTO FLEXÍVEL LISO, PEAD, DN 40 MM (1 1/4"), PARA CIRCUITOS TERMINAIS, INSTALADO EM PAREDE - FORNECIMENTO E INSTALAÇÃO. AF_12/2015</v>
          </cell>
          <cell r="C2419" t="str">
            <v>M</v>
          </cell>
          <cell r="D2419">
            <v>9.5399999999999991</v>
          </cell>
        </row>
        <row r="2420">
          <cell r="A2420">
            <v>91862</v>
          </cell>
          <cell r="B2420" t="str">
            <v>ELETRODUTO RÍGIDO ROSCÁVEL, PVC, DN 20 MM (1/2"), PARA CIRCUITOS TERMINAIS, INSTALADO EM FORRO - FORNECIMENTO E INSTALAÇÃO. AF_12/2015</v>
          </cell>
          <cell r="C2420" t="str">
            <v>M</v>
          </cell>
          <cell r="D2420">
            <v>6.72</v>
          </cell>
        </row>
        <row r="2421">
          <cell r="A2421">
            <v>91863</v>
          </cell>
          <cell r="B2421" t="str">
            <v>ELETRODUTO RÍGIDO ROSCÁVEL, PVC, DN 25 MM (3/4"), PARA CIRCUITOS TERMINAIS, INSTALADO EM FORRO - FORNECIMENTO E INSTALAÇÃO. AF_12/2015</v>
          </cell>
          <cell r="C2421" t="str">
            <v>M</v>
          </cell>
          <cell r="D2421">
            <v>7.84</v>
          </cell>
        </row>
        <row r="2422">
          <cell r="A2422">
            <v>91864</v>
          </cell>
          <cell r="B2422" t="str">
            <v>ELETRODUTO RÍGIDO ROSCÁVEL, PVC, DN 32 MM (1"), PARA CIRCUITOS TERMINAIS, INSTALADO EM FORRO - FORNECIMENTO E INSTALAÇÃO. AF_12/2015</v>
          </cell>
          <cell r="C2422" t="str">
            <v>M</v>
          </cell>
          <cell r="D2422">
            <v>10.14</v>
          </cell>
        </row>
        <row r="2423">
          <cell r="A2423">
            <v>91865</v>
          </cell>
          <cell r="B2423" t="str">
            <v>ELETRODUTO RÍGIDO ROSCÁVEL, PVC, DN 40 MM (1 1/4"), PARA CIRCUITOS TERMINAIS, INSTALADO EM FORRO - FORNECIMENTO E INSTALAÇÃO. AF_12/2015</v>
          </cell>
          <cell r="C2423" t="str">
            <v>M</v>
          </cell>
          <cell r="D2423">
            <v>12.47</v>
          </cell>
        </row>
        <row r="2424">
          <cell r="A2424">
            <v>91866</v>
          </cell>
          <cell r="B2424" t="str">
            <v>ELETRODUTO RÍGIDO ROSCÁVEL, PVC, DN 20 MM (1/2"), PARA CIRCUITOS TERMINAIS, INSTALADO EM LAJE - FORNECIMENTO E INSTALAÇÃO. AF_12/2015</v>
          </cell>
          <cell r="C2424" t="str">
            <v>M</v>
          </cell>
          <cell r="D2424">
            <v>5.14</v>
          </cell>
        </row>
        <row r="2425">
          <cell r="A2425">
            <v>91867</v>
          </cell>
          <cell r="B2425" t="str">
            <v>ELETRODUTO RÍGIDO ROSCÁVEL, PVC, DN 25 MM (3/4"), PARA CIRCUITOS TERMINAIS, INSTALADO EM LAJE - FORNECIMENTO E INSTALAÇÃO. AF_12/2015</v>
          </cell>
          <cell r="C2425" t="str">
            <v>M</v>
          </cell>
          <cell r="D2425">
            <v>6.26</v>
          </cell>
        </row>
        <row r="2426">
          <cell r="A2426">
            <v>91868</v>
          </cell>
          <cell r="B2426" t="str">
            <v>ELETRODUTO RÍGIDO ROSCÁVEL, PVC, DN 32 MM (1"), PARA CIRCUITOS TERMINAIS, INSTALADO EM LAJE - FORNECIMENTO E INSTALAÇÃO. AF_12/2015</v>
          </cell>
          <cell r="C2426" t="str">
            <v>M</v>
          </cell>
          <cell r="D2426">
            <v>8.56</v>
          </cell>
        </row>
        <row r="2427">
          <cell r="A2427">
            <v>91869</v>
          </cell>
          <cell r="B2427" t="str">
            <v>ELETRODUTO RÍGIDO ROSCÁVEL, PVC, DN 40 MM (1 1/4"), PARA CIRCUITOS TERMINAIS, INSTALADO EM LAJE - FORNECIMENTO E INSTALAÇÃO. AF_12/2015</v>
          </cell>
          <cell r="C2427" t="str">
            <v>M</v>
          </cell>
          <cell r="D2427">
            <v>10.9</v>
          </cell>
        </row>
        <row r="2428">
          <cell r="A2428">
            <v>91870</v>
          </cell>
          <cell r="B2428" t="str">
            <v>ELETRODUTO RÍGIDO ROSCÁVEL, PVC, DN 20 MM (1/2"), PARA CIRCUITOS TERMINAIS, INSTALADO EM PAREDE - FORNECIMENTO E INSTALAÇÃO. AF_12/2015</v>
          </cell>
          <cell r="C2428" t="str">
            <v>M</v>
          </cell>
          <cell r="D2428">
            <v>7.55</v>
          </cell>
        </row>
        <row r="2429">
          <cell r="A2429">
            <v>91871</v>
          </cell>
          <cell r="B2429" t="str">
            <v>ELETRODUTO RÍGIDO ROSCÁVEL, PVC, DN 25 MM (3/4"), PARA CIRCUITOS TERMINAIS, INSTALADO EM PAREDE - FORNECIMENTO E INSTALAÇÃO. AF_12/2015</v>
          </cell>
          <cell r="C2429" t="str">
            <v>M</v>
          </cell>
          <cell r="D2429">
            <v>8.7100000000000009</v>
          </cell>
        </row>
        <row r="2430">
          <cell r="A2430">
            <v>91872</v>
          </cell>
          <cell r="B2430" t="str">
            <v>ELETRODUTO RÍGIDO ROSCÁVEL, PVC, DN 32 MM (1"), PARA CIRCUITOS TERMINAIS, INSTALADO EM PAREDE - FORNECIMENTO E INSTALAÇÃO. AF_12/2015</v>
          </cell>
          <cell r="C2430" t="str">
            <v>M</v>
          </cell>
          <cell r="D2430">
            <v>11.02</v>
          </cell>
        </row>
        <row r="2431">
          <cell r="A2431">
            <v>91873</v>
          </cell>
          <cell r="B2431" t="str">
            <v>ELETRODUTO RÍGIDO ROSCÁVEL, PVC, DN 40 MM (1 1/4"), PARA CIRCUITOS TERMINAIS, INSTALADO EM PAREDE - FORNECIMENTO E INSTALAÇÃO. AF_12/2015</v>
          </cell>
          <cell r="C2431" t="str">
            <v>M</v>
          </cell>
          <cell r="D2431">
            <v>13.31</v>
          </cell>
        </row>
        <row r="2432">
          <cell r="A2432">
            <v>93008</v>
          </cell>
          <cell r="B2432" t="str">
            <v>ELETRODUTO RÍGIDO ROSCÁVEL, PVC, DN 50 MM (1 1/2") - FORNECIMENTO E INSTALAÇÃO. AF_12/2015</v>
          </cell>
          <cell r="C2432" t="str">
            <v>M</v>
          </cell>
          <cell r="D2432">
            <v>10.35</v>
          </cell>
        </row>
        <row r="2433">
          <cell r="A2433">
            <v>93009</v>
          </cell>
          <cell r="B2433" t="str">
            <v>ELETRODUTO RÍGIDO ROSCÁVEL, PVC, DN 60 MM (2") - FORNECIMENTO E INSTALAÇÃO. AF_12/2015</v>
          </cell>
          <cell r="C2433" t="str">
            <v>M</v>
          </cell>
          <cell r="D2433">
            <v>14.96</v>
          </cell>
        </row>
        <row r="2434">
          <cell r="A2434">
            <v>93010</v>
          </cell>
          <cell r="B2434" t="str">
            <v>ELETRODUTO RÍGIDO ROSCÁVEL, PVC, DN 75 MM (2 1/2") - FORNECIMENTO E INSTALAÇÃO. AF_12/2015</v>
          </cell>
          <cell r="C2434" t="str">
            <v>M</v>
          </cell>
          <cell r="D2434">
            <v>20.59</v>
          </cell>
        </row>
        <row r="2435">
          <cell r="A2435">
            <v>93011</v>
          </cell>
          <cell r="B2435" t="str">
            <v>ELETRODUTO RÍGIDO ROSCÁVEL, PVC, DN 85 MM (3") - FORNECIMENTO E INSTALAÇÃO. AF_12/2015</v>
          </cell>
          <cell r="C2435" t="str">
            <v>M</v>
          </cell>
          <cell r="D2435">
            <v>25.02</v>
          </cell>
        </row>
        <row r="2436">
          <cell r="A2436">
            <v>93012</v>
          </cell>
          <cell r="B2436" t="str">
            <v>ELETRODUTO RÍGIDO ROSCÁVEL, PVC, DN 110 MM (4") - FORNECIMENTO E INSTALAÇÃO. AF_12/2015</v>
          </cell>
          <cell r="C2436" t="str">
            <v>M</v>
          </cell>
          <cell r="D2436">
            <v>37.39</v>
          </cell>
        </row>
        <row r="2437">
          <cell r="A2437">
            <v>95726</v>
          </cell>
          <cell r="B2437" t="str">
            <v>ELETRODUTO RÍGIDO SOLDÁVEL, PVC, DN 20 MM (½), APARENTE, INSTALADO EM TETO - FORNECIMENTO E INSTALAÇÃO. AF_11/2016_P</v>
          </cell>
          <cell r="C2437" t="str">
            <v>M</v>
          </cell>
          <cell r="D2437">
            <v>4.66</v>
          </cell>
        </row>
        <row r="2438">
          <cell r="A2438">
            <v>95727</v>
          </cell>
          <cell r="B2438" t="str">
            <v>ELETRODUTO RÍGIDO SOLDÁVEL, PVC, DN 25 MM (3/4), APARENTE, INSTALADO EM TETO - FORNECIMENTO E INSTALAÇÃO. AF_11/2016_P</v>
          </cell>
          <cell r="C2438" t="str">
            <v>M</v>
          </cell>
          <cell r="D2438">
            <v>5.27</v>
          </cell>
        </row>
        <row r="2439">
          <cell r="A2439">
            <v>95728</v>
          </cell>
          <cell r="B2439" t="str">
            <v>ELETRODUTO RÍGIDO SOLDÁVEL, PVC, DN 32 MM (1), APARENTE, INSTALADO EM TETO - FORNECIMENTO E INSTALAÇÃO. AF_11/2016_P</v>
          </cell>
          <cell r="C2439" t="str">
            <v>M</v>
          </cell>
          <cell r="D2439">
            <v>6.51</v>
          </cell>
        </row>
        <row r="2440">
          <cell r="A2440">
            <v>95729</v>
          </cell>
          <cell r="B2440" t="str">
            <v>ELETRODUTO RÍGIDO SOLDÁVEL, PVC, DN 20 MM (½), APARENTE, INSTALADO EM PAREDE - FORNECIMENTO E INSTALAÇÃO. AF_11/2016_P</v>
          </cell>
          <cell r="C2440" t="str">
            <v>M</v>
          </cell>
          <cell r="D2440">
            <v>6.2</v>
          </cell>
        </row>
        <row r="2441">
          <cell r="A2441">
            <v>95730</v>
          </cell>
          <cell r="B2441" t="str">
            <v>ELETRODUTO RÍGIDO SOLDÁVEL, PVC, DN 25 MM (3/4), APARENTE, INSTALADO EM PAREDE - FORNECIMENTO E INSTALAÇÃO. AF_11/2016_P</v>
          </cell>
          <cell r="C2441" t="str">
            <v>M</v>
          </cell>
          <cell r="D2441">
            <v>6.81</v>
          </cell>
        </row>
        <row r="2442">
          <cell r="A2442">
            <v>95731</v>
          </cell>
          <cell r="B2442" t="str">
            <v>ELETRODUTO RÍGIDO SOLDÁVEL, PVC, DN 32 MM (1), APARENTE, INSTALADO EM PAREDE - FORNECIMENTO E INSTALAÇÃO. AF_11/2016_P</v>
          </cell>
          <cell r="C2442" t="str">
            <v>M</v>
          </cell>
          <cell r="D2442">
            <v>8.0500000000000007</v>
          </cell>
        </row>
        <row r="2443">
          <cell r="A2443">
            <v>95732</v>
          </cell>
          <cell r="B2443" t="str">
            <v>LUVA PARA ELETRODUTO, PVC, SOLDÁVEL, DN 20 MM (1/2), APARENTE, INSTALADA EM TETO - FORNECIMENTO E INSTALAÇÃO. AF_11/2016_P</v>
          </cell>
          <cell r="C2443" t="str">
            <v>UN</v>
          </cell>
          <cell r="D2443">
            <v>3.5</v>
          </cell>
        </row>
        <row r="2444">
          <cell r="A2444">
            <v>95745</v>
          </cell>
          <cell r="B2444" t="str">
            <v>ELETRODUTO DE AÇO GALVANIZADO, CLASSE LEVE, DN 20 MM (3/4), APARENTE, INSTALADO EM TETO - FORNECIMENTO E INSTALAÇÃO. AF_11/2016_P</v>
          </cell>
          <cell r="C2444" t="str">
            <v>M</v>
          </cell>
          <cell r="D2444">
            <v>16.87</v>
          </cell>
        </row>
        <row r="2445">
          <cell r="A2445">
            <v>95746</v>
          </cell>
          <cell r="B2445" t="str">
            <v>ELETRODUTO DE AÇO GALVANIZADO, CLASSE LEVE, DN 25 MM (1), APARENTE, INSTALADO EM TETO - FORNECIMENTO E INSTALAÇÃO. AF_11/2016_P</v>
          </cell>
          <cell r="C2445" t="str">
            <v>M</v>
          </cell>
          <cell r="D2445">
            <v>20.95</v>
          </cell>
        </row>
        <row r="2446">
          <cell r="A2446">
            <v>95747</v>
          </cell>
          <cell r="B2446" t="str">
            <v>ELETRODUTO DE AÇO GALVANIZADO, CLASSE SEMI PESADO, DN 32 MM (1 1/4), APARENTE, INSTALADO EM TETO - FORNECIMENTO E INSTALAÇÃO. AF_11/2016_P</v>
          </cell>
          <cell r="C2446" t="str">
            <v>M</v>
          </cell>
          <cell r="D2446">
            <v>34.69</v>
          </cell>
        </row>
        <row r="2447">
          <cell r="A2447">
            <v>95748</v>
          </cell>
          <cell r="B2447" t="str">
            <v>ELETRODUTO DE AÇO GALVANIZADO, CLASSE SEMI PESADO, DN 40 MM (1 1/2 ), APARENTE, INSTALADO EM TETO - FORNECIMENTO E INSTALAÇÃO. AF_11/2016_P</v>
          </cell>
          <cell r="C2447" t="str">
            <v>M</v>
          </cell>
          <cell r="D2447">
            <v>37.43</v>
          </cell>
        </row>
        <row r="2448">
          <cell r="A2448">
            <v>95749</v>
          </cell>
          <cell r="B2448" t="str">
            <v>ELETRODUTO DE AÇO GALVANIZADO, CLASSE LEVE, DN 20 MM (3/4), APARENTE, INSTALADO EM PAREDE - FORNECIMENTO E INSTALAÇÃO. AF_11/2016_P</v>
          </cell>
          <cell r="C2448" t="str">
            <v>M</v>
          </cell>
          <cell r="D2448">
            <v>21.87</v>
          </cell>
        </row>
        <row r="2449">
          <cell r="A2449">
            <v>95750</v>
          </cell>
          <cell r="B2449" t="str">
            <v>ELETRODUTO DE AÇO GALVANIZADO, CLASSE LEVE, DN 25 MM (1), APARENTE, INSTALADO EM PAREDE - FORNECIMENTO E INSTALAÇÃO. AF_11/2016_P</v>
          </cell>
          <cell r="C2449" t="str">
            <v>M</v>
          </cell>
          <cell r="D2449">
            <v>25.85</v>
          </cell>
        </row>
        <row r="2450">
          <cell r="A2450">
            <v>95751</v>
          </cell>
          <cell r="B2450" t="str">
            <v>ELETRODUTO DE AÇO GALVANIZADO, CLASSE SEMI PESADO, DN 32 MM (1 1/4), APARENTE, INSTALADO EM PAREDE - FORNECIMENTO E INSTALAÇÃO. AF_11/2016_P</v>
          </cell>
          <cell r="C2450" t="str">
            <v>M</v>
          </cell>
          <cell r="D2450">
            <v>39.43</v>
          </cell>
        </row>
        <row r="2451">
          <cell r="A2451">
            <v>95752</v>
          </cell>
          <cell r="B2451" t="str">
            <v>ELETRODUTO DE AÇO GALVANIZADO, CLASSE SEMI PESADO, DN 40 MM (1 1/2  ), APARENTE, INSTALADO EM PAREDE - FORNECIMENTO E INSTALAÇÃO. AF_11/2016_P</v>
          </cell>
          <cell r="C2451" t="str">
            <v>M</v>
          </cell>
          <cell r="D2451">
            <v>41.99</v>
          </cell>
        </row>
        <row r="2452">
          <cell r="A2452">
            <v>97667</v>
          </cell>
          <cell r="B2452" t="str">
            <v>ELETRODUTO FLEXÍVEL CORRUGADO, PEAD, DN 50 (1 ½)  - FORNECIMENTO E INSTALAÇÃO. AF_04/2016</v>
          </cell>
          <cell r="C2452" t="str">
            <v>M</v>
          </cell>
          <cell r="D2452">
            <v>6.24</v>
          </cell>
        </row>
        <row r="2453">
          <cell r="A2453">
            <v>97668</v>
          </cell>
          <cell r="B2453" t="str">
            <v>ELETRODUTO FLEXÍVEL CORRUGADO, PEAD, DN 63 (2")  - FORNECIMENTO E INSTALAÇÃO. AF_04/2016</v>
          </cell>
          <cell r="C2453" t="str">
            <v>M</v>
          </cell>
          <cell r="D2453">
            <v>9.5399999999999991</v>
          </cell>
        </row>
        <row r="2454">
          <cell r="A2454">
            <v>97669</v>
          </cell>
          <cell r="B2454" t="str">
            <v>ELETRODUTO FLEXÍVEL CORRUGADO, PEAD, DN 90 (3) - FORNECIMENTO E INSTALAÇÃO. AF_04/2016</v>
          </cell>
          <cell r="C2454" t="str">
            <v>M</v>
          </cell>
          <cell r="D2454">
            <v>15.15</v>
          </cell>
        </row>
        <row r="2455">
          <cell r="A2455">
            <v>97670</v>
          </cell>
          <cell r="B2455" t="str">
            <v>ELETRODUTO FLEXÍVEL CORRUGADO, PEAD, DN 100 (4) - FORNECIMENTO E INSTALAÇÃO. AF_04/2016</v>
          </cell>
          <cell r="C2455" t="str">
            <v>M</v>
          </cell>
          <cell r="D2455">
            <v>19.53</v>
          </cell>
        </row>
        <row r="2456">
          <cell r="A2456">
            <v>91874</v>
          </cell>
          <cell r="B2456" t="str">
            <v>LUVA PARA ELETRODUTO, PVC, ROSCÁVEL, DN 20 MM (1/2"), PARA CIRCUITOS TERMINAIS, INSTALADA EM FORRO - FORNECIMENTO E INSTALAÇÃO. AF_12/2015</v>
          </cell>
          <cell r="C2456" t="str">
            <v>UN</v>
          </cell>
          <cell r="D2456">
            <v>3.57</v>
          </cell>
        </row>
        <row r="2457">
          <cell r="A2457">
            <v>91875</v>
          </cell>
          <cell r="B2457" t="str">
            <v>LUVA PARA ELETRODUTO, PVC, ROSCÁVEL, DN 25 MM (3/4"), PARA CIRCUITOS TERMINAIS, INSTALADA EM FORRO - FORNECIMENTO E INSTALAÇÃO. AF_12/2015</v>
          </cell>
          <cell r="C2457" t="str">
            <v>UN</v>
          </cell>
          <cell r="D2457">
            <v>4.7</v>
          </cell>
        </row>
        <row r="2458">
          <cell r="A2458">
            <v>91876</v>
          </cell>
          <cell r="B2458" t="str">
            <v>LUVA PARA ELETRODUTO, PVC, ROSCÁVEL, DN 32 MM (1"), PARA CIRCUITOS TERMINAIS, INSTALADA EM FORRO - FORNECIMENTO E INSTALAÇÃO. AF_12/2015</v>
          </cell>
          <cell r="C2458" t="str">
            <v>UN</v>
          </cell>
          <cell r="D2458">
            <v>6.2</v>
          </cell>
        </row>
        <row r="2459">
          <cell r="A2459">
            <v>91877</v>
          </cell>
          <cell r="B2459" t="str">
            <v>LUVA PARA ELETRODUTO, PVC, ROSCÁVEL, DN 40 MM (1 1/4"), PARA CIRCUITOS TERMINAIS, INSTALADA EM FORRO - FORNECIMENTO E INSTALAÇÃO. AF_12/2015</v>
          </cell>
          <cell r="C2459" t="str">
            <v>UN</v>
          </cell>
          <cell r="D2459">
            <v>8.18</v>
          </cell>
        </row>
        <row r="2460">
          <cell r="A2460">
            <v>91878</v>
          </cell>
          <cell r="B2460" t="str">
            <v>LUVA PARA ELETRODUTO, PVC, ROSCÁVEL, DN 20 MM (1/2"), PARA CIRCUITOS TERMINAIS, INSTALADA EM LAJE - FORNECIMENTO E INSTALAÇÃO. AF_12/2015</v>
          </cell>
          <cell r="C2460" t="str">
            <v>UN</v>
          </cell>
          <cell r="D2460">
            <v>4.62</v>
          </cell>
        </row>
        <row r="2461">
          <cell r="A2461">
            <v>91879</v>
          </cell>
          <cell r="B2461" t="str">
            <v>LUVA PARA ELETRODUTO, PVC, ROSCÁVEL, DN 25 MM (3/4"), PARA CIRCUITOS TERMINAIS, INSTALADA EM LAJE - FORNECIMENTO E INSTALAÇÃO. AF_12/2015</v>
          </cell>
          <cell r="C2461" t="str">
            <v>UN</v>
          </cell>
          <cell r="D2461">
            <v>5.72</v>
          </cell>
        </row>
        <row r="2462">
          <cell r="A2462">
            <v>91880</v>
          </cell>
          <cell r="B2462" t="str">
            <v>LUVA PARA ELETRODUTO, PVC, ROSCÁVEL, DN 32 MM (1"), PARA CIRCUITOS TERMINAIS, INSTALADA EM LAJE - FORNECIMENTO E INSTALAÇÃO. AF_12/2015</v>
          </cell>
          <cell r="C2462" t="str">
            <v>UN</v>
          </cell>
          <cell r="D2462">
            <v>7.25</v>
          </cell>
        </row>
        <row r="2463">
          <cell r="A2463">
            <v>91881</v>
          </cell>
          <cell r="B2463" t="str">
            <v>LUVA PARA ELETRODUTO, PVC, ROSCÁVEL, DN 40 MM (1 1/4"), PARA CIRCUITOS TERMINAIS, INSTALADA EM LAJE - FORNECIMENTO E INSTALAÇÃO. AF_12/2015</v>
          </cell>
          <cell r="C2463" t="str">
            <v>UN</v>
          </cell>
          <cell r="D2463">
            <v>9.23</v>
          </cell>
        </row>
        <row r="2464">
          <cell r="A2464">
            <v>91882</v>
          </cell>
          <cell r="B2464" t="str">
            <v>LUVA PARA ELETRODUTO, PVC, ROSCÁVEL, DN 20 MM (1/2"), PARA CIRCUITOS TERMINAIS, INSTALADA EM PAREDE - FORNECIMENTO E INSTALAÇÃO. AF_12/2015</v>
          </cell>
          <cell r="C2464" t="str">
            <v>UN</v>
          </cell>
          <cell r="D2464">
            <v>5.75</v>
          </cell>
        </row>
        <row r="2465">
          <cell r="A2465">
            <v>91884</v>
          </cell>
          <cell r="B2465" t="str">
            <v>LUVA PARA ELETRODUTO, PVC, ROSCÁVEL, DN 25 MM (3/4"), PARA CIRCUITOS TERMINAIS, INSTALADA EM PAREDE - FORNECIMENTO E INSTALAÇÃO. AF_12/2015</v>
          </cell>
          <cell r="C2465" t="str">
            <v>UN</v>
          </cell>
          <cell r="D2465">
            <v>6.59</v>
          </cell>
        </row>
        <row r="2466">
          <cell r="A2466">
            <v>91885</v>
          </cell>
          <cell r="B2466" t="str">
            <v>LUVA PARA ELETRODUTO, PVC, ROSCÁVEL, DN 32 MM (1"), PARA CIRCUITOS TERMINAIS, INSTALADA EM PAREDE - FORNECIMENTO E INSTALAÇÃO. AF_12/2015</v>
          </cell>
          <cell r="C2466" t="str">
            <v>UN</v>
          </cell>
          <cell r="D2466">
            <v>7.76</v>
          </cell>
        </row>
        <row r="2467">
          <cell r="A2467">
            <v>91886</v>
          </cell>
          <cell r="B2467" t="str">
            <v>LUVA PARA ELETRODUTO, PVC, ROSCÁVEL, DN 40 MM (1 1/4"), PARA CIRCUITOS TERMINAIS, INSTALADA EM PAREDE - FORNECIMENTO E INSTALAÇÃO. AF_12/2015</v>
          </cell>
          <cell r="C2467" t="str">
            <v>UN</v>
          </cell>
          <cell r="D2467">
            <v>9.34</v>
          </cell>
        </row>
        <row r="2468">
          <cell r="A2468">
            <v>91887</v>
          </cell>
          <cell r="B2468" t="str">
            <v>CURVA 90 GRAUS PARA ELETRODUTO, PVC, ROSCÁVEL, DN 20 MM (1/2"), PARA CIRCUITOS TERMINAIS, INSTALADA EM FORRO - FORNECIMENTO E INSTALAÇÃO. AF_12/2015</v>
          </cell>
          <cell r="C2468" t="str">
            <v>UN</v>
          </cell>
          <cell r="D2468">
            <v>6.42</v>
          </cell>
        </row>
        <row r="2469">
          <cell r="A2469">
            <v>91889</v>
          </cell>
          <cell r="B2469" t="str">
            <v>CURVA 180 GRAUS PARA ELETRODUTO, PVC, ROSCÁVEL, DN 20 MM (1/2"), PARA CIRCUITOS TERMINAIS, INSTALADA EM FORRO - FORNECIMENTO E INSTALAÇÃO. AF_12/2015</v>
          </cell>
          <cell r="C2469" t="str">
            <v>UN</v>
          </cell>
          <cell r="D2469">
            <v>6.21</v>
          </cell>
        </row>
        <row r="2470">
          <cell r="A2470">
            <v>91890</v>
          </cell>
          <cell r="B2470" t="str">
            <v>CURVA 90 GRAUS PARA ELETRODUTO, PVC, ROSCÁVEL, DN 25 MM (3/4"), PARA CIRCUITOS TERMINAIS, INSTALADA EM FORRO - FORNECIMENTO E INSTALAÇÃO. AF_12/2015</v>
          </cell>
          <cell r="C2470" t="str">
            <v>UN</v>
          </cell>
          <cell r="D2470">
            <v>7.71</v>
          </cell>
        </row>
        <row r="2471">
          <cell r="A2471">
            <v>91892</v>
          </cell>
          <cell r="B2471" t="str">
            <v>CURVA 180 GRAUS PARA ELETRODUTO, PVC, ROSCÁVEL, DN 25 MM (3/4"), PARA CIRCUITOS TERMINAIS, INSTALADA EM FORRO - FORNECIMENTO E INSTALAÇÃO. AF_12/2015</v>
          </cell>
          <cell r="C2471" t="str">
            <v>UN</v>
          </cell>
          <cell r="D2471">
            <v>9.07</v>
          </cell>
        </row>
        <row r="2472">
          <cell r="A2472">
            <v>91893</v>
          </cell>
          <cell r="B2472" t="str">
            <v>CURVA 90 GRAUS PARA ELETRODUTO, PVC, ROSCÁVEL, DN 32 MM (1"), PARA CIRCUITOS TERMINAIS, INSTALADA EM FORRO - FORNECIMENTO E INSTALAÇÃO. AF_12/2015</v>
          </cell>
          <cell r="C2472" t="str">
            <v>UN</v>
          </cell>
          <cell r="D2472">
            <v>10.47</v>
          </cell>
        </row>
        <row r="2473">
          <cell r="A2473">
            <v>91895</v>
          </cell>
          <cell r="B2473" t="str">
            <v>CURVA 180 GRAUS PARA ELETRODUTO, PVC, ROSCÁVEL, DN 32 MM (1"), PARA CIRCUITOS TERMINAIS, INSTALADA EM FORRO - FORNECIMENTO E INSTALAÇÃO. AF_12/2015</v>
          </cell>
          <cell r="C2473" t="str">
            <v>UN</v>
          </cell>
          <cell r="D2473">
            <v>11.86</v>
          </cell>
        </row>
        <row r="2474">
          <cell r="A2474">
            <v>91896</v>
          </cell>
          <cell r="B2474" t="str">
            <v>CURVA 90 GRAUS PARA ELETRODUTO, PVC, ROSCÁVEL, DN 40 MM (1 1/4"), PARA CIRCUITOS TERMINAIS, INSTALADA EM FORRO - FORNECIMENTO E INSTALAÇÃO. AF_12/2015</v>
          </cell>
          <cell r="C2474" t="str">
            <v>UN</v>
          </cell>
          <cell r="D2474">
            <v>12.84</v>
          </cell>
        </row>
        <row r="2475">
          <cell r="A2475">
            <v>91898</v>
          </cell>
          <cell r="B2475" t="str">
            <v>CURVA 180 GRAUS PARA ELETRODUTO, PVC, ROSCÁVEL, DN 40 MM (1 1/4"), PARA CIRCUITOS TERMINAIS, INSTALADA EM FORRO - FORNECIMENTO E INSTALAÇÃO. AF_12/2015</v>
          </cell>
          <cell r="C2475" t="str">
            <v>UN</v>
          </cell>
          <cell r="D2475">
            <v>14.33</v>
          </cell>
        </row>
        <row r="2476">
          <cell r="A2476">
            <v>91899</v>
          </cell>
          <cell r="B2476" t="str">
            <v>CURVA 90 GRAUS PARA ELETRODUTO, PVC, ROSCÁVEL, DN 20 MM (1/2"), PARA CIRCUITOS TERMINAIS, INSTALADA EM LAJE - FORNECIMENTO E INSTALAÇÃO. AF_12/2015</v>
          </cell>
          <cell r="C2476" t="str">
            <v>UN</v>
          </cell>
          <cell r="D2476">
            <v>7.94</v>
          </cell>
        </row>
        <row r="2477">
          <cell r="A2477">
            <v>91901</v>
          </cell>
          <cell r="B2477" t="str">
            <v>CURVA 180 GRAUS PARA ELETRODUTO, PVC, ROSCÁVEL, DN 20 MM (1/2"), PARA CIRCUITOS TERMINAIS, INSTALADA EM LAJE - FORNECIMENTO E INSTALAÇÃO. AF_12/2015</v>
          </cell>
          <cell r="C2477" t="str">
            <v>UN</v>
          </cell>
          <cell r="D2477">
            <v>7.73</v>
          </cell>
        </row>
        <row r="2478">
          <cell r="A2478">
            <v>91902</v>
          </cell>
          <cell r="B2478" t="str">
            <v>CURVA 90 GRAUS PARA ELETRODUTO, PVC, ROSCÁVEL, DN 25 MM (3/4"), PARA CIRCUITOS TERMINAIS, INSTALADA EM LAJE - FORNECIMENTO E INSTALAÇÃO. AF_12/2015</v>
          </cell>
          <cell r="C2478" t="str">
            <v>UN</v>
          </cell>
          <cell r="D2478">
            <v>9.23</v>
          </cell>
        </row>
        <row r="2479">
          <cell r="A2479">
            <v>91904</v>
          </cell>
          <cell r="B2479" t="str">
            <v>CURVA 180 GRAUS PARA ELETRODUTO, PVC, ROSCÁVEL, DN 25 MM (3/4"), PARA CIRCUITOS TERMINAIS, INSTALADA EM LAJE - FORNECIMENTO E INSTALAÇÃO. AF_12/2015</v>
          </cell>
          <cell r="C2479" t="str">
            <v>UN</v>
          </cell>
          <cell r="D2479">
            <v>10.59</v>
          </cell>
        </row>
        <row r="2480">
          <cell r="A2480">
            <v>91905</v>
          </cell>
          <cell r="B2480" t="str">
            <v>CURVA 90 GRAUS PARA ELETRODUTO, PVC, ROSCÁVEL, DN 32 MM (1"), PARA CIRCUITOS TERMINAIS, INSTALADA EM LAJE - FORNECIMENTO E INSTALAÇÃO. AF_12/2015</v>
          </cell>
          <cell r="C2480" t="str">
            <v>UN</v>
          </cell>
          <cell r="D2480">
            <v>12</v>
          </cell>
        </row>
        <row r="2481">
          <cell r="A2481">
            <v>91907</v>
          </cell>
          <cell r="B2481" t="str">
            <v>CURVA 180 GRAUS PARA ELETRODUTO, PVC, ROSCÁVEL, DN 32 MM (1), PARA CIRCUITOS TERMINAIS, INSTALADA EM LAJE - FORNECIMENTO E INSTALAÇÃO. AF_12/2015</v>
          </cell>
          <cell r="C2481" t="str">
            <v>UN</v>
          </cell>
          <cell r="D2481">
            <v>13.39</v>
          </cell>
        </row>
        <row r="2482">
          <cell r="A2482">
            <v>91908</v>
          </cell>
          <cell r="B2482" t="str">
            <v>CURVA 90 GRAUS PARA ELETRODUTO, PVC, ROSCÁVEL, DN 40 MM (1 1/4"), PARA CIRCUITOS TERMINAIS, INSTALADA EM LAJE - FORNECIMENTO E INSTALAÇÃO. AF_12/2015</v>
          </cell>
          <cell r="C2482" t="str">
            <v>UN</v>
          </cell>
          <cell r="D2482">
            <v>14.4</v>
          </cell>
        </row>
        <row r="2483">
          <cell r="A2483">
            <v>91910</v>
          </cell>
          <cell r="B2483" t="str">
            <v>CURVA 180 GRAUS PARA ELETRODUTO, PVC, ROSCÁVEL, DN 40 MM (1 1/4"), PARA CIRCUITOS TERMINAIS, INSTALADA EM LAJE - FORNECIMENTO E INSTALAÇÃO. AF_12/2015</v>
          </cell>
          <cell r="C2483" t="str">
            <v>UN</v>
          </cell>
          <cell r="D2483">
            <v>15.89</v>
          </cell>
        </row>
        <row r="2484">
          <cell r="A2484">
            <v>91911</v>
          </cell>
          <cell r="B2484" t="str">
            <v>CURVA 90 GRAUS PARA ELETRODUTO, PVC, ROSCÁVEL, DN 20 MM (1/2"), PARA CIRCUITOS TERMINAIS, INSTALADA EM PAREDE - FORNECIMENTO E INSTALAÇÃO. AF_12/2015</v>
          </cell>
          <cell r="C2484" t="str">
            <v>UN</v>
          </cell>
          <cell r="D2484">
            <v>9.69</v>
          </cell>
        </row>
        <row r="2485">
          <cell r="A2485">
            <v>91913</v>
          </cell>
          <cell r="B2485" t="str">
            <v>CURVA 180 GRAUS PARA ELETRODUTO, PVC, ROSCÁVEL, DN 20 MM (1/2"), PARA CIRCUITOS TERMINAIS, INSTALADA EM PAREDE - FORNECIMENTO E INSTALAÇÃO. AF_12/2015</v>
          </cell>
          <cell r="C2485" t="str">
            <v>UN</v>
          </cell>
          <cell r="D2485">
            <v>9.48</v>
          </cell>
        </row>
        <row r="2486">
          <cell r="A2486">
            <v>91914</v>
          </cell>
          <cell r="B2486" t="str">
            <v>CURVA 90 GRAUS PARA ELETRODUTO, PVC, ROSCÁVEL, DN 25 MM (3/4"), PARA CIRCUITOS TERMINAIS, INSTALADA EM PAREDE - FORNECIMENTO E INSTALAÇÃO. AF_12/2015</v>
          </cell>
          <cell r="C2486" t="str">
            <v>UN</v>
          </cell>
          <cell r="D2486">
            <v>10.58</v>
          </cell>
        </row>
        <row r="2487">
          <cell r="A2487">
            <v>91916</v>
          </cell>
          <cell r="B2487" t="str">
            <v>CURVA 180 GRAUS PARA ELETRODUTO, PVC, ROSCÁVEL, DN 25 MM (3/4"), PARA CIRCUITOS TERMINAIS, INSTALADA EM PAREDE - FORNECIMENTO E INSTALAÇÃO. AF_12/2015</v>
          </cell>
          <cell r="C2487" t="str">
            <v>UN</v>
          </cell>
          <cell r="D2487">
            <v>11.94</v>
          </cell>
        </row>
        <row r="2488">
          <cell r="A2488">
            <v>91917</v>
          </cell>
          <cell r="B2488" t="str">
            <v>CURVA 90 GRAUS PARA ELETRODUTO, PVC, ROSCÁVEL, DN 32 MM (1"), PARA CIRCUITOS TERMINAIS, INSTALADA EM PAREDE - FORNECIMENTO E INSTALAÇÃO. AF_12/2015</v>
          </cell>
          <cell r="C2488" t="str">
            <v>UN</v>
          </cell>
          <cell r="D2488">
            <v>12.8</v>
          </cell>
        </row>
        <row r="2489">
          <cell r="A2489">
            <v>91919</v>
          </cell>
          <cell r="B2489" t="str">
            <v>CURVA 180 GRAUS PARA ELETRODUTO, PVC, ROSCÁVEL, DN 32 MM (1), PARA CIRCUITOS TERMINAIS, INSTALADA EM PAREDE - FORNECIMENTO E INSTALAÇÃO. AF_12/2015</v>
          </cell>
          <cell r="C2489" t="str">
            <v>UN</v>
          </cell>
          <cell r="D2489">
            <v>14.19</v>
          </cell>
        </row>
        <row r="2490">
          <cell r="A2490">
            <v>91920</v>
          </cell>
          <cell r="B2490" t="str">
            <v>CURVA 90 GRAUS PARA ELETRODUTO, PVC, ROSCÁVEL, DN 40 MM (1 1/4"), PARA CIRCUITOS TERMINAIS, INSTALADA EM PAREDE - FORNECIMENTO E INSTALAÇÃO. AF_12/2015</v>
          </cell>
          <cell r="C2490" t="str">
            <v>UN</v>
          </cell>
          <cell r="D2490">
            <v>14.59</v>
          </cell>
        </row>
        <row r="2491">
          <cell r="A2491">
            <v>91922</v>
          </cell>
          <cell r="B2491" t="str">
            <v>CURVA 180 GRAUS PARA ELETRODUTO, PVC, ROSCÁVEL, DN 40 MM (1 1/4"), PARA CIRCUITOS TERMINAIS, INSTALADA EM PAREDE - FORNECIMENTO E INSTALAÇÃO. AF_12/2015</v>
          </cell>
          <cell r="C2491" t="str">
            <v>UN</v>
          </cell>
          <cell r="D2491">
            <v>16.079999999999998</v>
          </cell>
        </row>
        <row r="2492">
          <cell r="A2492">
            <v>93013</v>
          </cell>
          <cell r="B2492" t="str">
            <v>LUVA PARA ELETRODUTO, PVC, ROSCÁVEL, DN 50 MM (1 1/2") - FORNECIMENTO E INSTALAÇÃO. AF_12/2015</v>
          </cell>
          <cell r="C2492" t="str">
            <v>UN</v>
          </cell>
          <cell r="D2492">
            <v>10.59</v>
          </cell>
        </row>
        <row r="2493">
          <cell r="A2493">
            <v>93014</v>
          </cell>
          <cell r="B2493" t="str">
            <v>LUVA PARA ELETRODUTO, PVC, ROSCÁVEL, DN 60 MM (2") - FORNECIMENTO E INSTALAÇÃO. AF_12/2015</v>
          </cell>
          <cell r="C2493" t="str">
            <v>UN</v>
          </cell>
          <cell r="D2493">
            <v>12.93</v>
          </cell>
        </row>
        <row r="2494">
          <cell r="A2494">
            <v>93015</v>
          </cell>
          <cell r="B2494" t="str">
            <v>LUVA PARA ELETRODUTO, PVC, ROSCÁVEL, DN 75 MM (2 1/2") - FORNECIMENTO E INSTALAÇÃO. AF_12/2015</v>
          </cell>
          <cell r="C2494" t="str">
            <v>UN</v>
          </cell>
          <cell r="D2494">
            <v>19.11</v>
          </cell>
        </row>
        <row r="2495">
          <cell r="A2495">
            <v>93016</v>
          </cell>
          <cell r="B2495" t="str">
            <v>LUVA PARA ELETRODUTO, PVC, ROSCÁVEL, DN 85 MM (3") - FORNECIMENTO E INSTALAÇÃO. AF_12/2015</v>
          </cell>
          <cell r="C2495" t="str">
            <v>UN</v>
          </cell>
          <cell r="D2495">
            <v>23.05</v>
          </cell>
        </row>
        <row r="2496">
          <cell r="A2496">
            <v>93017</v>
          </cell>
          <cell r="B2496" t="str">
            <v>LUVA PARA ELETRODUTO, PVC, ROSCÁVEL, DN 110 MM (4") - FORNECIMENTO E INSTALAÇÃO. AF_12/2015</v>
          </cell>
          <cell r="C2496" t="str">
            <v>UN</v>
          </cell>
          <cell r="D2496">
            <v>34.17</v>
          </cell>
        </row>
        <row r="2497">
          <cell r="A2497">
            <v>93018</v>
          </cell>
          <cell r="B2497" t="str">
            <v>CURVA 90 GRAUS PARA ELETRODUTO, PVC, ROSCÁVEL, DN 50 MM (1 1/2") - FORNECIMENTO E INSTALAÇÃO. AF_12/2015</v>
          </cell>
          <cell r="C2497" t="str">
            <v>UN</v>
          </cell>
          <cell r="D2497">
            <v>16.149999999999999</v>
          </cell>
        </row>
        <row r="2498">
          <cell r="A2498">
            <v>93020</v>
          </cell>
          <cell r="B2498" t="str">
            <v>CURVA 90 GRAUS PARA ELETRODUTO, PVC, ROSCÁVEL, DN 60 MM (2") - FORNECIMENTO E INSTALAÇÃO. AF_12/2015</v>
          </cell>
          <cell r="C2498" t="str">
            <v>UN</v>
          </cell>
          <cell r="D2498">
            <v>20.47</v>
          </cell>
        </row>
        <row r="2499">
          <cell r="A2499">
            <v>93022</v>
          </cell>
          <cell r="B2499" t="str">
            <v>CURVA 90 GRAUS PARA ELETRODUTO, PVC, ROSCÁVEL, DN 75 MM (2 1/2") - FORNECIMENTO E INSTALAÇÃO. AF_12/2015</v>
          </cell>
          <cell r="C2499" t="str">
            <v>UN</v>
          </cell>
          <cell r="D2499">
            <v>33.17</v>
          </cell>
        </row>
        <row r="2500">
          <cell r="A2500">
            <v>93024</v>
          </cell>
          <cell r="B2500" t="str">
            <v>CURVA 90 GRAUS PARA ELETRODUTO, PVC, ROSCÁVEL, DN 85 MM (3") - FORNECIMENTO E INSTALAÇÃO. AF_12/2015</v>
          </cell>
          <cell r="C2500" t="str">
            <v>UN</v>
          </cell>
          <cell r="D2500">
            <v>35</v>
          </cell>
        </row>
        <row r="2501">
          <cell r="A2501">
            <v>93026</v>
          </cell>
          <cell r="B2501" t="str">
            <v>CURVA 90 GRAUS PARA ELETRODUTO, PVC, ROSCÁVEL, DN 110 MM (4") - FORNECIMENTO E INSTALAÇÃO. AF_12/2015</v>
          </cell>
          <cell r="C2501" t="str">
            <v>UN</v>
          </cell>
          <cell r="D2501">
            <v>56.11</v>
          </cell>
        </row>
        <row r="2502">
          <cell r="A2502">
            <v>95733</v>
          </cell>
          <cell r="B2502" t="str">
            <v>LUVA PARA ELETRODUTO, PVC, SOLDÁVEL, DN 25 MM (3/4), APARENTE, INSTALADA EM TETO - FORNECIMENTO E INSTALAÇÃO. AF_11/2016_P</v>
          </cell>
          <cell r="C2502" t="str">
            <v>UN</v>
          </cell>
          <cell r="D2502">
            <v>4.53</v>
          </cell>
        </row>
        <row r="2503">
          <cell r="A2503">
            <v>95734</v>
          </cell>
          <cell r="B2503" t="str">
            <v>LUVA PARA ELETRODUTO, PVC, SOLDÁVEL, DN 32 MM (1), APARENTE, INSTALADA EM TETO - FORNECIMENTO E INSTALAÇÃO. AF_11/2016_P</v>
          </cell>
          <cell r="C2503" t="str">
            <v>UN</v>
          </cell>
          <cell r="D2503">
            <v>6.03</v>
          </cell>
        </row>
        <row r="2504">
          <cell r="A2504">
            <v>95735</v>
          </cell>
          <cell r="B2504" t="str">
            <v>LUVA PARA ELETRODUTO, PVC, SOLDÁVEL, DN 20 MM (1/2), APARENTE, INSTALADA EM PAREDE - FORNECIMENTO E INSTALAÇÃO. AF_11/2016_P</v>
          </cell>
          <cell r="C2504" t="str">
            <v>UN</v>
          </cell>
          <cell r="D2504">
            <v>5.1100000000000003</v>
          </cell>
        </row>
        <row r="2505">
          <cell r="A2505">
            <v>95736</v>
          </cell>
          <cell r="B2505" t="str">
            <v>LUVA PARA ELETRODUTO, PVC, SOLDÁVEL, DN 25 MM (3/4), APARENTE, INSTALADA EM PAREDE - FORNECIMENTO E INSTALAÇÃO. AF_11/2016_P</v>
          </cell>
          <cell r="C2505" t="str">
            <v>UN</v>
          </cell>
          <cell r="D2505">
            <v>5.96</v>
          </cell>
        </row>
        <row r="2506">
          <cell r="A2506">
            <v>95738</v>
          </cell>
          <cell r="B2506" t="str">
            <v>LUVA PARA ELETRODUTO, PVC, SOLDÁVEL, DN 32 MM (1), APARENTE, INSTALADA EM PAREDE - FORNECIMENTO E INSTALAÇÃO. AF_11/2016_P</v>
          </cell>
          <cell r="C2506" t="str">
            <v>UN</v>
          </cell>
          <cell r="D2506">
            <v>7.19</v>
          </cell>
        </row>
        <row r="2507">
          <cell r="A2507">
            <v>95753</v>
          </cell>
          <cell r="B2507" t="str">
            <v>LUVA DE EMENDA PARA ELETRODUTO, AÇO GALVANIZADO, DN 20 MM (3/4  ), APARENTE, INSTALADA EM TETO - FORNECIMENTO E INSTALAÇÃO. AF_11/2016_P</v>
          </cell>
          <cell r="C2507" t="str">
            <v>UN</v>
          </cell>
          <cell r="D2507">
            <v>5.53</v>
          </cell>
        </row>
        <row r="2508">
          <cell r="A2508">
            <v>95754</v>
          </cell>
          <cell r="B2508" t="str">
            <v>LUVA DE EMENDA PARA ELETRODUTO, AÇO GALVANIZADO, DN 25 MM (1''), APARENTE, INSTALADA EM TETO - FORNECIMENTO E INSTALAÇÃO. AF_11/2016_P</v>
          </cell>
          <cell r="C2508" t="str">
            <v>UN</v>
          </cell>
          <cell r="D2508">
            <v>6.89</v>
          </cell>
        </row>
        <row r="2509">
          <cell r="A2509">
            <v>95755</v>
          </cell>
          <cell r="B2509" t="str">
            <v>LUVA DE EMENDA PARA ELETRODUTO, AÇO GALVANIZADO, DN 32 MM (1 1/4''), APARENTE, INSTALADA EM TETO - FORNECIMENTO E INSTALAÇÃO. AF_11/2016_P</v>
          </cell>
          <cell r="C2509" t="str">
            <v>UN</v>
          </cell>
          <cell r="D2509">
            <v>9.94</v>
          </cell>
        </row>
        <row r="2510">
          <cell r="A2510">
            <v>95756</v>
          </cell>
          <cell r="B2510" t="str">
            <v>LUVA DE EMENDA PARA ELETRODUTO, AÇO GALVANIZADO, DN 40 MM (1 1/2''), APARENTE, INSTALADA EM TETO - FORNECIMENTO E INSTALAÇÃO. AF_11/2016_P</v>
          </cell>
          <cell r="C2510" t="str">
            <v>UN</v>
          </cell>
          <cell r="D2510">
            <v>13.23</v>
          </cell>
        </row>
        <row r="2511">
          <cell r="A2511">
            <v>95757</v>
          </cell>
          <cell r="B2511" t="str">
            <v>LUVA DE EMENDA PARA ELETRODUTO, AÇO GALVANIZADO, DN 20 MM (3/4''), APARENTE, INSTALADA EM PAREDE - FORNECIMENTO E INSTALAÇÃO. AF_11/2016_P</v>
          </cell>
          <cell r="C2511" t="str">
            <v>UN</v>
          </cell>
          <cell r="D2511">
            <v>8.33</v>
          </cell>
        </row>
        <row r="2512">
          <cell r="A2512">
            <v>95758</v>
          </cell>
          <cell r="B2512" t="str">
            <v>LUVA DE EMENDA PARA ELETRODUTO, AÇO GALVANIZADO, DN 25 MM (1''), APARENTE, INSTALADA EM PAREDE - FORNECIMENTO E INSTALAÇÃO. AF_11/2016_P</v>
          </cell>
          <cell r="C2512" t="str">
            <v>UN</v>
          </cell>
          <cell r="D2512">
            <v>9.3699999999999992</v>
          </cell>
        </row>
        <row r="2513">
          <cell r="A2513">
            <v>95759</v>
          </cell>
          <cell r="B2513" t="str">
            <v>LUVA DE EMENDA PARA ELETRODUTO, AÇO GALVANIZADO, DN 32 MM (1 1/4''), APARENTE, INSTALADA EM PAREDE - FORNECIMENTO E INSTALAÇÃO. AF_11/2016_P</v>
          </cell>
          <cell r="C2513" t="str">
            <v>UN</v>
          </cell>
          <cell r="D2513">
            <v>11.94</v>
          </cell>
        </row>
        <row r="2514">
          <cell r="A2514">
            <v>95760</v>
          </cell>
          <cell r="B2514" t="str">
            <v>LUVA DE EMENDA PARA ELETRODUTO, AÇO GALVANIZADO, DN 40 MM (1 1/2''), APARENTE, INSTALADA EM PAREDE - FORNECIMENTO E INSTALAÇÃO. AF_11/2016_P</v>
          </cell>
          <cell r="C2514" t="str">
            <v>UN</v>
          </cell>
          <cell r="D2514">
            <v>14.7</v>
          </cell>
        </row>
        <row r="2515">
          <cell r="A2515">
            <v>97559</v>
          </cell>
          <cell r="B2515" t="str">
            <v>CURVA 135 GRAUS PARA ELETRODUTO, PVC, ROSCÁVEL, DN 25 MM (3/4), PARA CIRCUITOS TERMINAIS, INSTALADA EM FORRO - FORNECIMENTO E INSTALAÇÃO. AF_12/2015</v>
          </cell>
          <cell r="C2515" t="str">
            <v>UN</v>
          </cell>
          <cell r="D2515">
            <v>7.56</v>
          </cell>
        </row>
        <row r="2516">
          <cell r="A2516">
            <v>97562</v>
          </cell>
          <cell r="B2516" t="str">
            <v>CURVA 135 GRAUS PARA ELETRODUTO, PVC, ROSCÁVEL, DN 25 MM (3/4), PARA CIRCUITOS TERMINAIS, INSTALADA EM LAJE - FORNECIMENTO E INSTALAÇÃO. AF_12/2015</v>
          </cell>
          <cell r="C2516" t="str">
            <v>UN</v>
          </cell>
          <cell r="D2516">
            <v>9.08</v>
          </cell>
        </row>
        <row r="2517">
          <cell r="A2517">
            <v>97564</v>
          </cell>
          <cell r="B2517" t="str">
            <v>CURVA 135 GRAUS PARA ELETRODUTO, PVC, ROSCÁVEL, DN 25 MM (3/4), PARA CIRCUITOS TERMINAIS, INSTALADA EM PAREDE - FORNECIMENTO E INSTALAÇÃO. AF_12/2015</v>
          </cell>
          <cell r="C2517" t="str">
            <v>UN</v>
          </cell>
          <cell r="D2517">
            <v>10.43</v>
          </cell>
        </row>
        <row r="2518">
          <cell r="A2518">
            <v>91924</v>
          </cell>
          <cell r="B2518" t="str">
            <v>CABO DE COBRE FLEXÍVEL ISOLADO, 1,5 MM², ANTI-CHAMA 450/750 V, PARA CIRCUITOS TERMINAIS - FORNECIMENTO E INSTALAÇÃO. AF_12/2015</v>
          </cell>
          <cell r="C2518" t="str">
            <v>M</v>
          </cell>
          <cell r="D2518">
            <v>1.98</v>
          </cell>
        </row>
        <row r="2519">
          <cell r="A2519">
            <v>91925</v>
          </cell>
          <cell r="B2519" t="str">
            <v>CABO DE COBRE FLEXÍVEL ISOLADO, 1,5 MM², ANTI-CHAMA 0,6/1,0 KV, PARA CIRCUITOS TERMINAIS - FORNECIMENTO E INSTALAÇÃO. AF_12/2015</v>
          </cell>
          <cell r="C2519" t="str">
            <v>M</v>
          </cell>
          <cell r="D2519">
            <v>2.75</v>
          </cell>
        </row>
        <row r="2520">
          <cell r="A2520">
            <v>91926</v>
          </cell>
          <cell r="B2520" t="str">
            <v>CABO DE COBRE FLEXÍVEL ISOLADO, 2,5 MM², ANTI-CHAMA 450/750 V, PARA CIRCUITOS TERMINAIS - FORNECIMENTO E INSTALAÇÃO. AF_12/2015</v>
          </cell>
          <cell r="C2520" t="str">
            <v>M</v>
          </cell>
          <cell r="D2520">
            <v>2.84</v>
          </cell>
        </row>
        <row r="2521">
          <cell r="A2521">
            <v>91927</v>
          </cell>
          <cell r="B2521" t="str">
            <v>CABO DE COBRE FLEXÍVEL ISOLADO, 2,5 MM², ANTI-CHAMA 0,6/1,0 KV, PARA CIRCUITOS TERMINAIS - FORNECIMENTO E INSTALAÇÃO. AF_12/2015</v>
          </cell>
          <cell r="C2521" t="str">
            <v>M</v>
          </cell>
          <cell r="D2521">
            <v>3.69</v>
          </cell>
        </row>
        <row r="2522">
          <cell r="A2522">
            <v>91928</v>
          </cell>
          <cell r="B2522" t="str">
            <v>CABO DE COBRE FLEXÍVEL ISOLADO, 4 MM², ANTI-CHAMA 450/750 V, PARA CIRCUITOS TERMINAIS - FORNECIMENTO E INSTALAÇÃO. AF_12/2015</v>
          </cell>
          <cell r="C2522" t="str">
            <v>M</v>
          </cell>
          <cell r="D2522">
            <v>4.57</v>
          </cell>
        </row>
        <row r="2523">
          <cell r="A2523">
            <v>91929</v>
          </cell>
          <cell r="B2523" t="str">
            <v>CABO DE COBRE FLEXÍVEL ISOLADO, 4 MM², ANTI-CHAMA 0,6/1,0 KV, PARA CIRCUITOS TERMINAIS - FORNECIMENTO E INSTALAÇÃO. AF_12/2015</v>
          </cell>
          <cell r="C2523" t="str">
            <v>M</v>
          </cell>
          <cell r="D2523">
            <v>5.16</v>
          </cell>
        </row>
        <row r="2524">
          <cell r="A2524">
            <v>91930</v>
          </cell>
          <cell r="B2524" t="str">
            <v>CABO DE COBRE FLEXÍVEL ISOLADO, 6 MM², ANTI-CHAMA 450/750 V, PARA CIRCUITOS TERMINAIS - FORNECIMENTO E INSTALAÇÃO. AF_12/2015</v>
          </cell>
          <cell r="C2524" t="str">
            <v>M</v>
          </cell>
          <cell r="D2524">
            <v>6.25</v>
          </cell>
        </row>
        <row r="2525">
          <cell r="A2525">
            <v>91931</v>
          </cell>
          <cell r="B2525" t="str">
            <v>CABO DE COBRE FLEXÍVEL ISOLADO, 6 MM², ANTI-CHAMA 0,6/1,0 KV, PARA CIRCUITOS TERMINAIS - FORNECIMENTO E INSTALAÇÃO. AF_12/2015</v>
          </cell>
          <cell r="C2525" t="str">
            <v>M</v>
          </cell>
          <cell r="D2525">
            <v>6.95</v>
          </cell>
        </row>
        <row r="2526">
          <cell r="A2526">
            <v>91932</v>
          </cell>
          <cell r="B2526" t="str">
            <v>CABO DE COBRE FLEXÍVEL ISOLADO, 10 MM², ANTI-CHAMA 450/750 V, PARA CIRCUITOS TERMINAIS - FORNECIMENTO E INSTALAÇÃO. AF_12/2015</v>
          </cell>
          <cell r="C2526" t="str">
            <v>M</v>
          </cell>
          <cell r="D2526">
            <v>10.23</v>
          </cell>
        </row>
        <row r="2527">
          <cell r="A2527">
            <v>91933</v>
          </cell>
          <cell r="B2527" t="str">
            <v>CABO DE COBRE FLEXÍVEL ISOLADO, 10 MM², ANTI-CHAMA 0,6/1,0 KV, PARA CIRCUITOS TERMINAIS - FORNECIMENTO E INSTALAÇÃO. AF_12/2015</v>
          </cell>
          <cell r="C2527" t="str">
            <v>M</v>
          </cell>
          <cell r="D2527">
            <v>10.91</v>
          </cell>
        </row>
        <row r="2528">
          <cell r="A2528">
            <v>91934</v>
          </cell>
          <cell r="B2528" t="str">
            <v>CABO DE COBRE FLEXÍVEL ISOLADO, 16 MM², ANTI-CHAMA 450/750 V, PARA CIRCUITOS TERMINAIS - FORNECIMENTO E INSTALAÇÃO. AF_12/2015</v>
          </cell>
          <cell r="C2528" t="str">
            <v>M</v>
          </cell>
          <cell r="D2528">
            <v>15.63</v>
          </cell>
        </row>
        <row r="2529">
          <cell r="A2529">
            <v>91935</v>
          </cell>
          <cell r="B2529" t="str">
            <v>CABO DE COBRE FLEXÍVEL ISOLADO, 16 MM², ANTI-CHAMA 0,6/1,0 KV, PARA CIRCUITOS TERMINAIS - FORNECIMENTO E INSTALAÇÃO. AF_12/2015</v>
          </cell>
          <cell r="C2529" t="str">
            <v>M</v>
          </cell>
          <cell r="D2529">
            <v>16.61</v>
          </cell>
        </row>
        <row r="2530">
          <cell r="A2530">
            <v>92979</v>
          </cell>
          <cell r="B2530" t="str">
            <v>CABO DE COBRE FLEXÍVEL ISOLADO, 10 MM², ANTI-CHAMA 450/750 V, PARA DISTRIBUIÇÃO - FORNECIMENTO E INSTALAÇÃO. AF_12/2015</v>
          </cell>
          <cell r="C2530" t="str">
            <v>M</v>
          </cell>
          <cell r="D2530">
            <v>6.74</v>
          </cell>
        </row>
        <row r="2531">
          <cell r="A2531">
            <v>92980</v>
          </cell>
          <cell r="B2531" t="str">
            <v>CABO DE COBRE FLEXÍVEL ISOLADO, 10 MM², ANTI-CHAMA 0,6/1,0 KV, PARA DISTRIBUIÇÃO - FORNECIMENTO E INSTALAÇÃO. AF_12/2015</v>
          </cell>
          <cell r="C2531" t="str">
            <v>M</v>
          </cell>
          <cell r="D2531">
            <v>7.33</v>
          </cell>
        </row>
        <row r="2532">
          <cell r="A2532">
            <v>92981</v>
          </cell>
          <cell r="B2532" t="str">
            <v>CABO DE COBRE FLEXÍVEL ISOLADO, 16 MM², ANTI-CHAMA 450/750 V, PARA DISTRIBUIÇÃO - FORNECIMENTO E INSTALAÇÃO. AF_12/2015</v>
          </cell>
          <cell r="C2532" t="str">
            <v>M</v>
          </cell>
          <cell r="D2532">
            <v>10.35</v>
          </cell>
        </row>
        <row r="2533">
          <cell r="A2533">
            <v>92982</v>
          </cell>
          <cell r="B2533" t="str">
            <v>CABO DE COBRE FLEXÍVEL ISOLADO, 16 MM², ANTI-CHAMA 0,6/1,0 KV, PARA DISTRIBUIÇÃO - FORNECIMENTO E INSTALAÇÃO. AF_12/2015</v>
          </cell>
          <cell r="C2533" t="str">
            <v>M</v>
          </cell>
          <cell r="D2533">
            <v>11.2</v>
          </cell>
        </row>
        <row r="2534">
          <cell r="A2534">
            <v>92983</v>
          </cell>
          <cell r="B2534" t="str">
            <v>CABO DE COBRE FLEXÍVEL ISOLADO, 25 MM², ANTI-CHAMA 450/750 V, PARA DISTRIBUIÇÃO - FORNECIMENTO E INSTALAÇÃO. AF_12/2015</v>
          </cell>
          <cell r="C2534" t="str">
            <v>M</v>
          </cell>
          <cell r="D2534">
            <v>17.989999999999998</v>
          </cell>
        </row>
        <row r="2535">
          <cell r="A2535">
            <v>92984</v>
          </cell>
          <cell r="B2535" t="str">
            <v>CABO DE COBRE FLEXÍVEL ISOLADO, 25 MM², ANTI-CHAMA 0,6/1,0 KV, PARA DISTRIBUIÇÃO - FORNECIMENTO E INSTALAÇÃO. AF_12/2015</v>
          </cell>
          <cell r="C2535" t="str">
            <v>M</v>
          </cell>
          <cell r="D2535">
            <v>18.45</v>
          </cell>
        </row>
        <row r="2536">
          <cell r="A2536">
            <v>92985</v>
          </cell>
          <cell r="B2536" t="str">
            <v>CABO DE COBRE FLEXÍVEL ISOLADO, 35 MM², ANTI-CHAMA 450/750 V, PARA DISTRIBUIÇÃO - FORNECIMENTO E INSTALAÇÃO. AF_12/2015</v>
          </cell>
          <cell r="C2536" t="str">
            <v>M</v>
          </cell>
          <cell r="D2536">
            <v>24.17</v>
          </cell>
        </row>
        <row r="2537">
          <cell r="A2537">
            <v>92986</v>
          </cell>
          <cell r="B2537" t="str">
            <v>CABO DE COBRE FLEXÍVEL ISOLADO, 35 MM², ANTI-CHAMA 0,6/1,0 KV, PARA DISTRIBUIÇÃO - FORNECIMENTO E INSTALAÇÃO. AF_12/2015</v>
          </cell>
          <cell r="C2537" t="str">
            <v>M</v>
          </cell>
          <cell r="D2537">
            <v>24.87</v>
          </cell>
        </row>
        <row r="2538">
          <cell r="A2538">
            <v>92987</v>
          </cell>
          <cell r="B2538" t="str">
            <v>CABO DE COBRE FLEXÍVEL ISOLADO, 50 MM², ANTI-CHAMA 450/750 V, PARA DISTRIBUIÇÃO - FORNECIMENTO E INSTALAÇÃO. AF_12/2015</v>
          </cell>
          <cell r="C2538" t="str">
            <v>M</v>
          </cell>
          <cell r="D2538">
            <v>34.75</v>
          </cell>
        </row>
        <row r="2539">
          <cell r="A2539">
            <v>92988</v>
          </cell>
          <cell r="B2539" t="str">
            <v>CABO DE COBRE FLEXÍVEL ISOLADO, 50 MM², ANTI-CHAMA 0,6/1,0 KV, PARA DISTRIBUIÇÃO - FORNECIMENTO E INSTALAÇÃO. AF_12/2015</v>
          </cell>
          <cell r="C2539" t="str">
            <v>M</v>
          </cell>
          <cell r="D2539">
            <v>34.83</v>
          </cell>
        </row>
        <row r="2540">
          <cell r="A2540">
            <v>92989</v>
          </cell>
          <cell r="B2540" t="str">
            <v>CABO DE COBRE FLEXÍVEL ISOLADO, 70 MM², ANTI-CHAMA 450/750 V, PARA DISTRIBUIÇÃO - FORNECIMENTO E INSTALAÇÃO. AF_12/2015</v>
          </cell>
          <cell r="C2540" t="str">
            <v>M</v>
          </cell>
          <cell r="D2540">
            <v>48.24</v>
          </cell>
        </row>
        <row r="2541">
          <cell r="A2541">
            <v>92990</v>
          </cell>
          <cell r="B2541" t="str">
            <v>CABO DE COBRE FLEXÍVEL ISOLADO, 70 MM², ANTI-CHAMA 0,6/1,0 KV, PARA DISTRIBUIÇÃO - FORNECIMENTO E INSTALAÇÃO. AF_12/2015</v>
          </cell>
          <cell r="C2541" t="str">
            <v>M</v>
          </cell>
          <cell r="D2541">
            <v>47.69</v>
          </cell>
        </row>
        <row r="2542">
          <cell r="A2542">
            <v>92991</v>
          </cell>
          <cell r="B2542" t="str">
            <v>CABO DE COBRE FLEXÍVEL ISOLADO, 95 MM², ANTI-CHAMA 450/750 V, PARA DISTRIBUIÇÃO - FORNECIMENTO E INSTALAÇÃO. AF_12/2015</v>
          </cell>
          <cell r="C2542" t="str">
            <v>M</v>
          </cell>
          <cell r="D2542">
            <v>62.88</v>
          </cell>
        </row>
        <row r="2543">
          <cell r="A2543">
            <v>92992</v>
          </cell>
          <cell r="B2543" t="str">
            <v>CABO DE COBRE FLEXÍVEL ISOLADO, 95 MM², ANTI-CHAMA 0,6/1,0 KV, PARA DISTRIBUIÇÃO - FORNECIMENTO E INSTALAÇÃO. AF_12/2015</v>
          </cell>
          <cell r="C2543" t="str">
            <v>M</v>
          </cell>
          <cell r="D2543">
            <v>62.93</v>
          </cell>
        </row>
        <row r="2544">
          <cell r="A2544">
            <v>92993</v>
          </cell>
          <cell r="B2544" t="str">
            <v>CABO DE COBRE FLEXÍVEL ISOLADO, 120 MM², ANTI-CHAMA 450/750 V, PARA DISTRIBUIÇÃO - FORNECIMENTO E INSTALAÇÃO. AF_12/2015</v>
          </cell>
          <cell r="C2544" t="str">
            <v>M</v>
          </cell>
          <cell r="D2544">
            <v>80.569999999999993</v>
          </cell>
        </row>
        <row r="2545">
          <cell r="A2545">
            <v>92994</v>
          </cell>
          <cell r="B2545" t="str">
            <v>CABO DE COBRE FLEXÍVEL ISOLADO, 120 MM², ANTI-CHAMA 0,6/1,0 KV, PARA DISTRIBUIÇÃO - FORNECIMENTO E INSTALAÇÃO. AF_12/2015</v>
          </cell>
          <cell r="C2545" t="str">
            <v>M</v>
          </cell>
          <cell r="D2545">
            <v>81.37</v>
          </cell>
        </row>
        <row r="2546">
          <cell r="A2546">
            <v>92995</v>
          </cell>
          <cell r="B2546" t="str">
            <v>CABO DE COBRE FLEXÍVEL ISOLADO, 150 MM², ANTI-CHAMA 450/750 V, PARA DISTRIBUIÇÃO - FORNECIMENTO E INSTALAÇÃO. AF_12/2015</v>
          </cell>
          <cell r="C2546" t="str">
            <v>M</v>
          </cell>
          <cell r="D2546">
            <v>100.21</v>
          </cell>
        </row>
        <row r="2547">
          <cell r="A2547">
            <v>92996</v>
          </cell>
          <cell r="B2547" t="str">
            <v>CABO DE COBRE FLEXÍVEL ISOLADO, 150 MM², ANTI-CHAMA 0,6/1,0 KV, PARA DISTRIBUIÇÃO - FORNECIMENTO E INSTALAÇÃO. AF_12/2015</v>
          </cell>
          <cell r="C2547" t="str">
            <v>M</v>
          </cell>
          <cell r="D2547">
            <v>100.49</v>
          </cell>
        </row>
        <row r="2548">
          <cell r="A2548">
            <v>92997</v>
          </cell>
          <cell r="B2548" t="str">
            <v>CABO DE COBRE FLEXÍVEL ISOLADO, 185 MM², ANTI-CHAMA 450/750 V, PARA DISTRIBUIÇÃO - FORNECIMENTO E INSTALAÇÃO. AF_12/2015</v>
          </cell>
          <cell r="C2548" t="str">
            <v>M</v>
          </cell>
          <cell r="D2548">
            <v>121.75</v>
          </cell>
        </row>
        <row r="2549">
          <cell r="A2549">
            <v>92998</v>
          </cell>
          <cell r="B2549" t="str">
            <v>CABO DE COBRE FLEXÍVEL ISOLADO, 185 MM², ANTI-CHAMA 0,6/1,0 KV, PARA DISTRIBUIÇÃO - FORNECIMENTO E INSTALAÇÃO. AF_12/2015</v>
          </cell>
          <cell r="C2549" t="str">
            <v>M</v>
          </cell>
          <cell r="D2549">
            <v>122.91</v>
          </cell>
        </row>
        <row r="2550">
          <cell r="A2550">
            <v>92999</v>
          </cell>
          <cell r="B2550" t="str">
            <v>CABO DE COBRE FLEXÍVEL ISOLADO, 240 MM², ANTI-CHAMA 450/750 V, PARA DISTRIBUIÇÃO - FORNECIMENTO E INSTALAÇÃO. AF_12/2015</v>
          </cell>
          <cell r="C2550" t="str">
            <v>M</v>
          </cell>
          <cell r="D2550">
            <v>160.28</v>
          </cell>
        </row>
        <row r="2551">
          <cell r="A2551">
            <v>93000</v>
          </cell>
          <cell r="B2551" t="str">
            <v>CABO DE COBRE FLEXÍVEL ISOLADO, 240 MM², ANTI-CHAMA 0,6/1,0 KV, PARA DISTRIBUIÇÃO - FORNECIMENTO E INSTALAÇÃO. AF_12/2015</v>
          </cell>
          <cell r="C2551" t="str">
            <v>M</v>
          </cell>
          <cell r="D2551">
            <v>161.25</v>
          </cell>
        </row>
        <row r="2552">
          <cell r="A2552">
            <v>93001</v>
          </cell>
          <cell r="B2552" t="str">
            <v>CABO DE COBRE RÍGIDO ISOLADO, 300 MM², ANTI-CHAMA 450/750 V, PARA DISTRIBUIÇÃO - FORNECIMENTO E INSTALAÇÃO. AF_12/2015</v>
          </cell>
          <cell r="C2552" t="str">
            <v>M</v>
          </cell>
          <cell r="D2552">
            <v>195.72</v>
          </cell>
        </row>
        <row r="2553">
          <cell r="A2553">
            <v>93002</v>
          </cell>
          <cell r="B2553" t="str">
            <v>CABO DE COBRE FLEXÍVEL ISOLADO, 300 MM², ANTI-CHAMA 0,6/1,0 KV, PARA DISTRIBUIÇÃO - FORNECIMENTO E INSTALAÇÃO. AF_12/2015</v>
          </cell>
          <cell r="C2553" t="str">
            <v>M</v>
          </cell>
          <cell r="D2553">
            <v>201.14</v>
          </cell>
        </row>
        <row r="2554">
          <cell r="A2554">
            <v>83446</v>
          </cell>
          <cell r="B2554" t="str">
            <v>CAIXA DE PASSAGEM 30X30X40 COM TAMPA E DRENO BRITA</v>
          </cell>
          <cell r="C2554" t="str">
            <v>UN</v>
          </cell>
          <cell r="D2554">
            <v>166.51</v>
          </cell>
        </row>
        <row r="2555">
          <cell r="A2555">
            <v>91936</v>
          </cell>
          <cell r="B2555" t="str">
            <v>CAIXA OCTOGONAL 4" X 4", PVC, INSTALADA EM LAJE - FORNECIMENTO E INSTALAÇÃO. AF_12/2015</v>
          </cell>
          <cell r="C2555" t="str">
            <v>UN</v>
          </cell>
          <cell r="D2555">
            <v>9.44</v>
          </cell>
        </row>
        <row r="2556">
          <cell r="A2556">
            <v>91937</v>
          </cell>
          <cell r="B2556" t="str">
            <v>CAIXA OCTOGONAL 3" X 3", PVC, INSTALADA EM LAJE - FORNECIMENTO E INSTALAÇÃO. AF_12/2015</v>
          </cell>
          <cell r="C2556" t="str">
            <v>UN</v>
          </cell>
          <cell r="D2556">
            <v>8.1300000000000008</v>
          </cell>
        </row>
        <row r="2557">
          <cell r="A2557">
            <v>91939</v>
          </cell>
          <cell r="B2557" t="str">
            <v>CAIXA RETANGULAR 4" X 2" ALTA (2,00 M DO PISO), PVC, INSTALADA EM PAREDE - FORNECIMENTO E INSTALAÇÃO. AF_12/2015</v>
          </cell>
          <cell r="C2557" t="str">
            <v>UN</v>
          </cell>
          <cell r="D2557">
            <v>20.89</v>
          </cell>
        </row>
        <row r="2558">
          <cell r="A2558">
            <v>91940</v>
          </cell>
          <cell r="B2558" t="str">
            <v>CAIXA RETANGULAR 4" X 2" MÉDIA (1,30 M DO PISO), PVC, INSTALADA EM PAREDE - FORNECIMENTO E INSTALAÇÃO. AF_12/2015</v>
          </cell>
          <cell r="C2558" t="str">
            <v>UN</v>
          </cell>
          <cell r="D2558">
            <v>11</v>
          </cell>
        </row>
        <row r="2559">
          <cell r="A2559">
            <v>91941</v>
          </cell>
          <cell r="B2559" t="str">
            <v>CAIXA RETANGULAR 4" X 2" BAIXA (0,30 M DO PISO), PVC, INSTALADA EM PAREDE - FORNECIMENTO E INSTALAÇÃO. AF_12/2015</v>
          </cell>
          <cell r="C2559" t="str">
            <v>UN</v>
          </cell>
          <cell r="D2559">
            <v>7.29</v>
          </cell>
        </row>
        <row r="2560">
          <cell r="A2560">
            <v>91942</v>
          </cell>
          <cell r="B2560" t="str">
            <v>CAIXA RETANGULAR 4" X 4" ALTA (2,00 M DO PISO), PVC, INSTALADA EM PAREDE - FORNECIMENTO E INSTALAÇÃO. AF_12/2015</v>
          </cell>
          <cell r="C2560" t="str">
            <v>UN</v>
          </cell>
          <cell r="D2560">
            <v>25.44</v>
          </cell>
        </row>
        <row r="2561">
          <cell r="A2561">
            <v>91943</v>
          </cell>
          <cell r="B2561" t="str">
            <v>CAIXA RETANGULAR 4" X 4" MÉDIA (1,30 M DO PISO), PVC, INSTALADA EM PAREDE - FORNECIMENTO E INSTALAÇÃO. AF_12/2015</v>
          </cell>
          <cell r="C2561" t="str">
            <v>UN</v>
          </cell>
          <cell r="D2561">
            <v>14.06</v>
          </cell>
        </row>
        <row r="2562">
          <cell r="A2562">
            <v>91944</v>
          </cell>
          <cell r="B2562" t="str">
            <v>CAIXA RETANGULAR 4" X 4" BAIXA (0,30 M DO PISO), PVC, INSTALADA EM PAREDE - FORNECIMENTO E INSTALAÇÃO. AF_12/2015</v>
          </cell>
          <cell r="C2562" t="str">
            <v>UN</v>
          </cell>
          <cell r="D2562">
            <v>9.8000000000000007</v>
          </cell>
        </row>
        <row r="2563">
          <cell r="A2563">
            <v>92865</v>
          </cell>
          <cell r="B2563" t="str">
            <v>CAIXA OCTOGONAL 4" X 4", METÁLICA, INSTALADA EM LAJE - FORNECIMENTO E INSTALAÇÃO. AF_12/2015</v>
          </cell>
          <cell r="C2563" t="str">
            <v>UN</v>
          </cell>
          <cell r="D2563">
            <v>7.9</v>
          </cell>
        </row>
        <row r="2564">
          <cell r="A2564">
            <v>92866</v>
          </cell>
          <cell r="B2564" t="str">
            <v>CAIXA SEXTAVADA 3" X 3", METÁLICA, INSTALADA EM LAJE - FORNECIMENTO E INSTALAÇÃO. AF_12/2015</v>
          </cell>
          <cell r="C2564" t="str">
            <v>UN</v>
          </cell>
          <cell r="D2564">
            <v>6.43</v>
          </cell>
        </row>
        <row r="2565">
          <cell r="A2565">
            <v>92867</v>
          </cell>
          <cell r="B2565" t="str">
            <v>CAIXA RETANGULAR 4" X 2" ALTA (2,00 M DO PISO), METÁLICA, INSTALADA EM PAREDE - FORNECIMENTO E INSTALAÇÃO. AF_12/2015</v>
          </cell>
          <cell r="C2565" t="str">
            <v>UN</v>
          </cell>
          <cell r="D2565">
            <v>20.53</v>
          </cell>
        </row>
        <row r="2566">
          <cell r="A2566">
            <v>92868</v>
          </cell>
          <cell r="B2566" t="str">
            <v>CAIXA RETANGULAR 4" X 2" MÉDIA (1,30 M DO PISO), METÁLICA, INSTALADA EM PAREDE - FORNECIMENTO E INSTALAÇÃO. AF_12/2015</v>
          </cell>
          <cell r="C2566" t="str">
            <v>UN</v>
          </cell>
          <cell r="D2566">
            <v>10.64</v>
          </cell>
        </row>
        <row r="2567">
          <cell r="A2567">
            <v>92869</v>
          </cell>
          <cell r="B2567" t="str">
            <v>CAIXA RETANGULAR 4" X 2" BAIXA (0,30 M DO PISO), METÁLICA, INSTALADA EM PAREDE - FORNECIMENTO E INSTALAÇÃO. AF_12/2015</v>
          </cell>
          <cell r="C2567" t="str">
            <v>UN</v>
          </cell>
          <cell r="D2567">
            <v>6.93</v>
          </cell>
        </row>
        <row r="2568">
          <cell r="A2568">
            <v>92870</v>
          </cell>
          <cell r="B2568" t="str">
            <v>CAIXA RETANGULAR 4" X 4" ALTA (2,00 M DO PISO), METÁLICA, INSTALADA EM PAREDE - FORNECIMENTO E INSTALAÇÃO. AF_12/2015</v>
          </cell>
          <cell r="C2568" t="str">
            <v>UN</v>
          </cell>
          <cell r="D2568">
            <v>24.89</v>
          </cell>
        </row>
        <row r="2569">
          <cell r="A2569">
            <v>92871</v>
          </cell>
          <cell r="B2569" t="str">
            <v>CAIXA RETANGULAR 4" X 4" MÉDIA (1,30 M DO PISO), METÁLICA, INSTALADA EM PAREDE - FORNECIMENTO E INSTALAÇÃO. AF_12/2015</v>
          </cell>
          <cell r="C2569" t="str">
            <v>UN</v>
          </cell>
          <cell r="D2569">
            <v>13.51</v>
          </cell>
        </row>
        <row r="2570">
          <cell r="A2570">
            <v>92872</v>
          </cell>
          <cell r="B2570" t="str">
            <v>CAIXA RETANGULAR 4" X 4" BAIXA (0,30 M DO PISO), METÁLICA, INSTALADA EM PAREDE - FORNECIMENTO E INSTALAÇÃO. AF_12/2015</v>
          </cell>
          <cell r="C2570" t="str">
            <v>UN</v>
          </cell>
          <cell r="D2570">
            <v>9.25</v>
          </cell>
        </row>
        <row r="2571">
          <cell r="A2571">
            <v>95777</v>
          </cell>
          <cell r="B2571" t="str">
            <v>CONDULETE DE ALUMÍNIO, TIPO B, PARA ELETRODUTO DE AÇO GALVANIZADO DN 20 MM (3/4''), APARENTE - FORNECIMENTO E INSTALAÇÃO. AF_11/2016_P</v>
          </cell>
          <cell r="C2571" t="str">
            <v>UN</v>
          </cell>
          <cell r="D2571">
            <v>21.03</v>
          </cell>
        </row>
        <row r="2572">
          <cell r="A2572">
            <v>95778</v>
          </cell>
          <cell r="B2572" t="str">
            <v>CONDULETE DE ALUMÍNIO, TIPO C, PARA ELETRODUTO DE AÇO GALVANIZADO DN 20 MM (3/4''), APARENTE - FORNECIMENTO E INSTALAÇÃO. AF_11/2016_P</v>
          </cell>
          <cell r="C2572" t="str">
            <v>UN</v>
          </cell>
          <cell r="D2572">
            <v>21.52</v>
          </cell>
        </row>
        <row r="2573">
          <cell r="A2573">
            <v>95779</v>
          </cell>
          <cell r="B2573" t="str">
            <v>CONDULETE DE ALUMÍNIO, TIPO E, PARA ELETRODUTO DE AÇO GALVANIZADO DN 20 MM (3/4''), APARENTE - FORNECIMENTO E INSTALAÇÃO. AF_11/2016_P</v>
          </cell>
          <cell r="C2573" t="str">
            <v>UN</v>
          </cell>
          <cell r="D2573">
            <v>19.87</v>
          </cell>
        </row>
        <row r="2574">
          <cell r="A2574">
            <v>95780</v>
          </cell>
          <cell r="B2574" t="str">
            <v>CONDULETE DE ALUMÍNIO, TIPO B, PARA ELETRODUTO DE AÇO GALVANIZADO DN 25 MM (1''), APARENTE - FORNECIMENTO E INSTALAÇÃO. AF_11/2016_P</v>
          </cell>
          <cell r="C2574" t="str">
            <v>UN</v>
          </cell>
          <cell r="D2574">
            <v>23.83</v>
          </cell>
        </row>
        <row r="2575">
          <cell r="A2575">
            <v>95781</v>
          </cell>
          <cell r="B2575" t="str">
            <v>CONDULETE DE ALUMÍNIO, TIPO C, PARA ELETRODUTO DE AÇO GALVANIZADO DN 25 MM (1''), APARENTE - FORNECIMENTO E INSTALAÇÃO. AF_11/2016_P</v>
          </cell>
          <cell r="C2575" t="str">
            <v>UN</v>
          </cell>
          <cell r="D2575">
            <v>24.19</v>
          </cell>
        </row>
        <row r="2576">
          <cell r="A2576">
            <v>95782</v>
          </cell>
          <cell r="B2576" t="str">
            <v>CONDULETE DE ALUMÍNIO, TIPO E, ELETRODUTO DE AÇO GALVANIZADO DN 25 MM (1''), APARENTE - FORNECIMENTO E INSTALAÇÃO. AF_11/2016_P</v>
          </cell>
          <cell r="C2576" t="str">
            <v>UN</v>
          </cell>
          <cell r="D2576">
            <v>25.15</v>
          </cell>
        </row>
        <row r="2577">
          <cell r="A2577">
            <v>95785</v>
          </cell>
          <cell r="B2577" t="str">
            <v>CONDULETE DE ALUMÍNIO, TIPO E, PARA ELETRODUTO DE AÇO GALVANIZADO DN 32 MM (1 1/4''), APARENTE - FORNECIMENTO E INSTALAÇÃO. AF_11/2016_P</v>
          </cell>
          <cell r="C2577" t="str">
            <v>UN</v>
          </cell>
          <cell r="D2577">
            <v>28.51</v>
          </cell>
        </row>
        <row r="2578">
          <cell r="A2578">
            <v>95787</v>
          </cell>
          <cell r="B2578" t="str">
            <v>CONDULETE DE ALUMÍNIO, TIPO LR, PARA ELETRODUTO DE AÇO GALVANIZADO DN 20 MM (3/4''), APARENTE - FORNECIMENTO E INSTALAÇÃO. AF_11/2016_P</v>
          </cell>
          <cell r="C2578" t="str">
            <v>UN</v>
          </cell>
          <cell r="D2578">
            <v>21.33</v>
          </cell>
        </row>
        <row r="2579">
          <cell r="A2579">
            <v>95789</v>
          </cell>
          <cell r="B2579" t="str">
            <v>CONDULETE DE ALUMÍNIO, TIPO LR, PARA ELETRODUTO DE AÇO GALVANIZADO DN 25 MM (1''), APARENTE - FORNECIMENTO E INSTALAÇÃO. AF_11/2016_P</v>
          </cell>
          <cell r="C2579" t="str">
            <v>UN</v>
          </cell>
          <cell r="D2579">
            <v>26.25</v>
          </cell>
        </row>
        <row r="2580">
          <cell r="A2580">
            <v>95791</v>
          </cell>
          <cell r="B2580" t="str">
            <v>CONDULETE DE ALUMÍNIO, TIPO LR, PARA ELETRODUTO DE AÇO GALVANIZADO DN 32 MM (1 1/4''), APARENTE - FORNECIMENTO E INSTALAÇÃO. AF_11/2016_P</v>
          </cell>
          <cell r="C2580" t="str">
            <v>UN</v>
          </cell>
          <cell r="D2580">
            <v>33.58</v>
          </cell>
        </row>
        <row r="2581">
          <cell r="A2581">
            <v>95795</v>
          </cell>
          <cell r="B2581" t="str">
            <v>CONDULETE DE ALUMÍNIO, TIPO T, PARA ELETRODUTO DE AÇO GALVANIZADO DN 20 MM (3/4''), APARENTE - FORNECIMENTO E INSTALAÇÃO. AF_11/2016_P</v>
          </cell>
          <cell r="C2581" t="str">
            <v>UN</v>
          </cell>
          <cell r="D2581">
            <v>24.62</v>
          </cell>
        </row>
        <row r="2582">
          <cell r="A2582">
            <v>95796</v>
          </cell>
          <cell r="B2582" t="str">
            <v>CONDULETE DE ALUMÍNIO, TIPO T, PARA ELETRODUTO DE AÇO GALVANIZADO DN 25 MM (1''), APARENTE - FORNECIMENTO E INSTALAÇÃO. AF_11/2016_P</v>
          </cell>
          <cell r="C2582" t="str">
            <v>UN</v>
          </cell>
          <cell r="D2582">
            <v>30.88</v>
          </cell>
        </row>
        <row r="2583">
          <cell r="A2583">
            <v>95797</v>
          </cell>
          <cell r="B2583" t="str">
            <v>CONDULETE DE ALUMÍNIO, TIPO T, PARA ELETRODUTO DE AÇO GALVANIZADO DN 32 MM (1 1/4''), APARENTE - FORNECIMENTO E INSTALAÇÃO. AF_11/2016_P</v>
          </cell>
          <cell r="C2583" t="str">
            <v>UN</v>
          </cell>
          <cell r="D2583">
            <v>39.04</v>
          </cell>
        </row>
        <row r="2584">
          <cell r="A2584">
            <v>95801</v>
          </cell>
          <cell r="B2584" t="str">
            <v>CONDULETE DE ALUMÍNIO, TIPO X, PARA ELETRODUTO DE AÇO GALVANIZADO DN 20 MM (3/4''), APARENTE - FORNECIMENTO E INSTALAÇÃO. AF_11/2016_P</v>
          </cell>
          <cell r="C2584" t="str">
            <v>UN</v>
          </cell>
          <cell r="D2584">
            <v>29.48</v>
          </cell>
        </row>
        <row r="2585">
          <cell r="A2585">
            <v>95802</v>
          </cell>
          <cell r="B2585" t="str">
            <v>CONDULETE DE ALUMÍNIO, TIPO X, PARA ELETRODUTO DE AÇO GALVANIZADO DN 25 MM (1''), APARENTE - FORNECIMENTO E INSTALAÇÃO. AF_11/2016_P</v>
          </cell>
          <cell r="C2585" t="str">
            <v>UN</v>
          </cell>
          <cell r="D2585">
            <v>32.86</v>
          </cell>
        </row>
        <row r="2586">
          <cell r="A2586">
            <v>95803</v>
          </cell>
          <cell r="B2586" t="str">
            <v>CONDULETE DE ALUMÍNIO, TIPO X, PARA ELETRODUTO DE AÇO GALVANIZADO DN 32 MM (1 1/4''), APARENTE - FORNECIMENTO E INSTALAÇÃO. AF_11/2016_P</v>
          </cell>
          <cell r="C2586" t="str">
            <v>UN</v>
          </cell>
          <cell r="D2586">
            <v>43.28</v>
          </cell>
        </row>
        <row r="2587">
          <cell r="A2587">
            <v>95804</v>
          </cell>
          <cell r="B2587" t="str">
            <v>CONDULETE DE PVC, TIPO B, PARA ELETRODUTO DE PVC SOLDÁVEL DN 20 MM (1/2''), APARENTE - FORNECIMENTO E INSTALAÇÃO. AF_11/2016</v>
          </cell>
          <cell r="C2587" t="str">
            <v>UN</v>
          </cell>
          <cell r="D2587">
            <v>17.59</v>
          </cell>
        </row>
        <row r="2588">
          <cell r="A2588">
            <v>95805</v>
          </cell>
          <cell r="B2588" t="str">
            <v>CONDULETE DE PVC, TIPO B, PARA ELETRODUTO DE PVC SOLDÁVEL DN 25 MM (3/4''), APARENTE - FORNECIMENTO E INSTALAÇÃO. AF_11/2016</v>
          </cell>
          <cell r="C2588" t="str">
            <v>UN</v>
          </cell>
          <cell r="D2588">
            <v>17.75</v>
          </cell>
        </row>
        <row r="2589">
          <cell r="A2589">
            <v>95806</v>
          </cell>
          <cell r="B2589" t="str">
            <v>CONDULETE DE PVC, TIPO B, PARA ELETRODUTO DE PVC SOLDÁVEL DN 32 MM (1''), APARENTE - FORNECIMENTO E INSTALAÇÃO. AF_11/2016</v>
          </cell>
          <cell r="C2589" t="str">
            <v>UN</v>
          </cell>
          <cell r="D2589">
            <v>18.32</v>
          </cell>
        </row>
        <row r="2590">
          <cell r="A2590">
            <v>95807</v>
          </cell>
          <cell r="B2590" t="str">
            <v>CONDULETE DE PVC, TIPO LL, PARA ELETRODUTO DE PVC SOLDÁVEL DN 20 MM (1/2''), APARENTE - FORNECIMENTO E INSTALAÇÃO. AF_11/2016</v>
          </cell>
          <cell r="C2590" t="str">
            <v>UN</v>
          </cell>
          <cell r="D2590">
            <v>20.25</v>
          </cell>
        </row>
        <row r="2591">
          <cell r="A2591">
            <v>95808</v>
          </cell>
          <cell r="B2591" t="str">
            <v>CONDULETE DE PVC, TIPO LL, PARA ELETRODUTO DE PVC SOLDÁVEL DN 25 MM (3/4''), APARENTE - FORNECIMENTO E INSTALAÇÃO. AF_11/2016</v>
          </cell>
          <cell r="C2591" t="str">
            <v>UN</v>
          </cell>
          <cell r="D2591">
            <v>20.77</v>
          </cell>
        </row>
        <row r="2592">
          <cell r="A2592">
            <v>95809</v>
          </cell>
          <cell r="B2592" t="str">
            <v>CONDULETE DE PVC, TIPO LL, PARA ELETRODUTO DE PVC SOLDÁVEL DN 32 MM (1''), APARENTE - FORNECIMENTO E INSTALAÇÃO. AF_11/2016</v>
          </cell>
          <cell r="C2592" t="str">
            <v>UN</v>
          </cell>
          <cell r="D2592">
            <v>22.74</v>
          </cell>
        </row>
        <row r="2593">
          <cell r="A2593">
            <v>95810</v>
          </cell>
          <cell r="B2593" t="str">
            <v>CONDULETE DE PVC, TIPO LB, PARA ELETRODUTO DE PVC SOLDÁVEL DN 20 MM (1/2''), APARENTE - FORNECIMENTO E INSTALAÇÃO. AF_11/2016</v>
          </cell>
          <cell r="C2593" t="str">
            <v>UN</v>
          </cell>
          <cell r="D2593">
            <v>10.55</v>
          </cell>
        </row>
        <row r="2594">
          <cell r="A2594">
            <v>95811</v>
          </cell>
          <cell r="B2594" t="str">
            <v>CONDULETE DE PVC, TIPO LB, PARA ELETRODUTO DE PVC SOLDÁVEL DN 25 MM (3/4''), APARENTE - FORNECIMENTO E INSTALAÇÃO. AF_11/2016</v>
          </cell>
          <cell r="C2594" t="str">
            <v>UN</v>
          </cell>
          <cell r="D2594">
            <v>11.06</v>
          </cell>
        </row>
        <row r="2595">
          <cell r="A2595">
            <v>95812</v>
          </cell>
          <cell r="B2595" t="str">
            <v>CONDULETE DE PVC, TIPO LB, PARA ELETRODUTO DE PVC SOLDÁVEL DN 32 MM (1''), APARENTE - FORNECIMENTO E INSTALAÇÃO. AF_11/2016</v>
          </cell>
          <cell r="C2595" t="str">
            <v>UN</v>
          </cell>
          <cell r="D2595">
            <v>13.03</v>
          </cell>
        </row>
        <row r="2596">
          <cell r="A2596">
            <v>95813</v>
          </cell>
          <cell r="B2596" t="str">
            <v>CONDULETE DE PVC, TIPO TB, PARA ELETRODUTO DE PVC SOLDÁVEL DN 20 MM (1/2''), APARENTE - FORNECIMENTO E INSTALAÇÃO. AF_11/2016</v>
          </cell>
          <cell r="C2596" t="str">
            <v>UN</v>
          </cell>
          <cell r="D2596">
            <v>12.8</v>
          </cell>
        </row>
        <row r="2597">
          <cell r="A2597">
            <v>95814</v>
          </cell>
          <cell r="B2597" t="str">
            <v>CONDULETE DE PVC, TIPO TB, PARA ELETRODUTO DE PVC SOLDÁVEL DN 25 MM (3/4''), APARENTE - FORNECIMENTO E INSTALAÇÃO. AF_11/2016</v>
          </cell>
          <cell r="C2597" t="str">
            <v>UN</v>
          </cell>
          <cell r="D2597">
            <v>13.58</v>
          </cell>
        </row>
        <row r="2598">
          <cell r="A2598">
            <v>95815</v>
          </cell>
          <cell r="B2598" t="str">
            <v>CONDULETE DE PVC, TIPO TB, PARA ELETRODUTO DE PVC SOLDÁVEL DN 32 MM (1''), APARENTE - FORNECIMENTO E INSTALAÇÃO. AF_11/2016</v>
          </cell>
          <cell r="C2598" t="str">
            <v>UN</v>
          </cell>
          <cell r="D2598">
            <v>17.329999999999998</v>
          </cell>
        </row>
        <row r="2599">
          <cell r="A2599">
            <v>95816</v>
          </cell>
          <cell r="B2599" t="str">
            <v>CONDULETE DE PVC, TIPO X, PARA ELETRODUTO DE PVC SOLDÁVEL DN 20 MM (1/2''), APARENTE - FORNECIMENTO E INSTALAÇÃO. AF_11/2016</v>
          </cell>
          <cell r="C2599" t="str">
            <v>UN</v>
          </cell>
          <cell r="D2599">
            <v>24.95</v>
          </cell>
        </row>
        <row r="2600">
          <cell r="A2600">
            <v>95817</v>
          </cell>
          <cell r="B2600" t="str">
            <v>CONDULETE DE PVC, TIPO X, PARA ELETRODUTO DE PVC SOLDÁVEL DN 25 MM (3/4''), APARENTE - FORNECIMENTO E INSTALAÇÃO. AF_11/2016</v>
          </cell>
          <cell r="C2600" t="str">
            <v>UN</v>
          </cell>
          <cell r="D2600">
            <v>25.66</v>
          </cell>
        </row>
        <row r="2601">
          <cell r="A2601">
            <v>95818</v>
          </cell>
          <cell r="B2601" t="str">
            <v>CONDULETE DE PVC, TIPO X, PARA ELETRODUTO DE PVC SOLDÁVEL DN 32 MM (1''), APARENTE - FORNECIMENTO E INSTALAÇÃO. AF_11/2016</v>
          </cell>
          <cell r="C2601" t="str">
            <v>UN</v>
          </cell>
          <cell r="D2601">
            <v>30.71</v>
          </cell>
        </row>
        <row r="2602">
          <cell r="A2602">
            <v>97886</v>
          </cell>
          <cell r="B2602" t="str">
            <v>CAIXA ENTERRADA ELÉTRICA RETANGULAR, EM ALVENARIA COM TIJOLOS CERÂMICOS MACIÇOS, FUNDO COM BRITA, DIMENSÕES INTERNAS: 0,3X0,3X0,3 M. AF_05/2018</v>
          </cell>
          <cell r="C2602" t="str">
            <v>UN</v>
          </cell>
          <cell r="D2602">
            <v>134.80000000000001</v>
          </cell>
        </row>
        <row r="2603">
          <cell r="A2603">
            <v>97887</v>
          </cell>
          <cell r="B2603" t="str">
            <v>CAIXA ENTERRADA ELÉTRICA RETANGULAR, EM ALVENARIA COM TIJOLOS CERÂMICOS MACIÇOS, FUNDO COM BRITA, DIMENSÕES INTERNAS: 0,4X0,4X0,4 M. AF_05/2018</v>
          </cell>
          <cell r="C2603" t="str">
            <v>UN</v>
          </cell>
          <cell r="D2603">
            <v>213.16</v>
          </cell>
        </row>
        <row r="2604">
          <cell r="A2604">
            <v>97888</v>
          </cell>
          <cell r="B2604" t="str">
            <v>CAIXA ENTERRADA ELÉTRICA RETANGULAR, EM ALVENARIA COM TIJOLOS CERÂMICOS MACIÇOS, FUNDO COM BRITA, DIMENSÕES INTERNAS: 0,6X0,6X0,6 M. AF_05/2018</v>
          </cell>
          <cell r="C2604" t="str">
            <v>UN</v>
          </cell>
          <cell r="D2604">
            <v>412.27</v>
          </cell>
        </row>
        <row r="2605">
          <cell r="A2605">
            <v>97889</v>
          </cell>
          <cell r="B2605" t="str">
            <v>CAIXA ENTERRADA ELÉTRICA RETANGULAR, EM ALVENARIA COM TIJOLOS CERÂMICOS MACIÇOS, FUNDO COM BRITA, DIMENSÕES INTERNAS: 0,8X0,8X0,6 M. AF_05/2018</v>
          </cell>
          <cell r="C2605" t="str">
            <v>UN</v>
          </cell>
          <cell r="D2605">
            <v>551.22</v>
          </cell>
        </row>
        <row r="2606">
          <cell r="A2606">
            <v>97890</v>
          </cell>
          <cell r="B2606" t="str">
            <v>CAIXA ENTERRADA ELÉTRICA RETANGULAR, EM ALVENARIA COM TIJOLOS CERÂMICOS MACIÇOS, FUNDO COM BRITA, DIMENSÕES INTERNAS: 1X1X0,6 M. AF_05/2018</v>
          </cell>
          <cell r="C2606" t="str">
            <v>UN</v>
          </cell>
          <cell r="D2606">
            <v>634.20000000000005</v>
          </cell>
        </row>
        <row r="2607">
          <cell r="A2607">
            <v>97891</v>
          </cell>
          <cell r="B2607" t="str">
            <v>CAIXA ENTERRADA ELÉTRICA RETANGULAR, EM ALVENARIA COM BLOCOS DE CONCRETO, FUNDO COM BRITA, DIMENSÕES INTERNAS: 0,4X0,4X0,4 M. AF_05/2018</v>
          </cell>
          <cell r="C2607" t="str">
            <v>UN</v>
          </cell>
          <cell r="D2607">
            <v>154.09</v>
          </cell>
        </row>
        <row r="2608">
          <cell r="A2608">
            <v>97892</v>
          </cell>
          <cell r="B2608" t="str">
            <v>CAIXA ENTERRADA ELÉTRICA RETANGULAR, EM ALVENARIA COM BLOCOS DE CONCRETO, FUNDO COM BRITA, DIMENSÕES INTERNAS: 0,6X0,6X0,6 M. AF_05/2018</v>
          </cell>
          <cell r="C2608" t="str">
            <v>UN</v>
          </cell>
          <cell r="D2608">
            <v>287.39</v>
          </cell>
        </row>
        <row r="2609">
          <cell r="A2609">
            <v>97893</v>
          </cell>
          <cell r="B2609" t="str">
            <v>CAIXA ENTERRADA ELÉTRICA RETANGULAR, EM ALVENARIA COM BLOCOS DE CONCRETO, FUNDO COM BRITA, DIMENSÕES INTERNAS: 0,8X0,8X0,6 M. AF_05/2018</v>
          </cell>
          <cell r="C2609" t="str">
            <v>UN</v>
          </cell>
          <cell r="D2609">
            <v>391.96</v>
          </cell>
        </row>
        <row r="2610">
          <cell r="A2610">
            <v>97894</v>
          </cell>
          <cell r="B2610" t="str">
            <v>CAIXA ENTERRADA ELÉTRICA RETANGULAR, EM ALVENARIA COM BLOCOS DE CONCRETO, FUNDO COM BRITA, DIMENSÕES INTERNAS: 1X1X0,6 M. AF_05/2018</v>
          </cell>
          <cell r="C2610" t="str">
            <v>UN</v>
          </cell>
          <cell r="D2610">
            <v>441.22</v>
          </cell>
        </row>
        <row r="2611">
          <cell r="A2611">
            <v>68066</v>
          </cell>
          <cell r="B2611" t="str">
            <v>CAIXA DE PROTECAO PARA MEDIDOR MONOFASICO, FORNECIMENTO E INSTALACAO</v>
          </cell>
          <cell r="C2611" t="str">
            <v>UN</v>
          </cell>
          <cell r="D2611">
            <v>109.95</v>
          </cell>
        </row>
        <row r="2612">
          <cell r="A2612">
            <v>72319</v>
          </cell>
          <cell r="B2612" t="str">
            <v>DISJUNTOR BAIXA TENSAO TRIPOLAR A SECO  800A/600V, INCLUSIVE ELETROTÉCNICO</v>
          </cell>
          <cell r="C2612" t="str">
            <v>UN</v>
          </cell>
          <cell r="D2612">
            <v>4183.54</v>
          </cell>
        </row>
        <row r="2613">
          <cell r="A2613">
            <v>72341</v>
          </cell>
          <cell r="B2613" t="str">
            <v>CONTATOR TRIPOLAR I NOMINAL 12A - FORNECIMENTO E INSTALACAO INCLUSIVE ELETROTÉCNICO</v>
          </cell>
          <cell r="C2613" t="str">
            <v>UN</v>
          </cell>
          <cell r="D2613">
            <v>229.07</v>
          </cell>
        </row>
        <row r="2614">
          <cell r="A2614">
            <v>72343</v>
          </cell>
          <cell r="B2614" t="str">
            <v>CONTATOR TRIPOLAR I NOMINAL 22A - FORNECIMENTO E INSTALACAO INCLUSIVE ELETROTÉCNICO</v>
          </cell>
          <cell r="C2614" t="str">
            <v>UN</v>
          </cell>
          <cell r="D2614">
            <v>272.06</v>
          </cell>
        </row>
        <row r="2615">
          <cell r="A2615">
            <v>72344</v>
          </cell>
          <cell r="B2615" t="str">
            <v>CONTATOR TRIPOLAR I NOMINAL 36A - FORNECIMENTO E INSTALACAO INCLUSIVE ELETROTÉCNICO</v>
          </cell>
          <cell r="C2615" t="str">
            <v>UN</v>
          </cell>
          <cell r="D2615">
            <v>431.79</v>
          </cell>
        </row>
        <row r="2616">
          <cell r="A2616">
            <v>72345</v>
          </cell>
          <cell r="B2616" t="str">
            <v>CONTATOR TRIPOLAR I NOMIMAL 94A - FORNECIMENTO E INSTALACAO INCLUSIVE ELETROTÉCNICO</v>
          </cell>
          <cell r="C2616" t="str">
            <v>UN</v>
          </cell>
          <cell r="D2616">
            <v>1251.67</v>
          </cell>
        </row>
        <row r="2617">
          <cell r="A2617" t="str">
            <v>74130/1</v>
          </cell>
          <cell r="B2617" t="str">
            <v>DISJUNTOR TERMOMAGNETICO MONOPOLAR PADRAO NEMA (AMERICANO) 10 A 30A 240V, FORNECIMENTO E INSTALACAO</v>
          </cell>
          <cell r="C2617" t="str">
            <v>UN</v>
          </cell>
          <cell r="D2617">
            <v>12.55</v>
          </cell>
        </row>
        <row r="2618">
          <cell r="A2618" t="str">
            <v>74130/2</v>
          </cell>
          <cell r="B2618" t="str">
            <v>DISJUNTOR TERMOMAGNETICO MONOPOLAR PADRAO NEMA (AMERICANO) 35 A 50A 240V, FORNECIMENTO E INSTALACAO</v>
          </cell>
          <cell r="C2618" t="str">
            <v>UN</v>
          </cell>
          <cell r="D2618">
            <v>19.32</v>
          </cell>
        </row>
        <row r="2619">
          <cell r="A2619" t="str">
            <v>74130/3</v>
          </cell>
          <cell r="B2619" t="str">
            <v>DISJUNTOR TERMOMAGNETICO BIPOLAR PADRAO NEMA (AMERICANO) 10 A 50A 240V, FORNECIMENTO E INSTALACAO</v>
          </cell>
          <cell r="C2619" t="str">
            <v>UN</v>
          </cell>
          <cell r="D2619">
            <v>56.83</v>
          </cell>
        </row>
        <row r="2620">
          <cell r="A2620" t="str">
            <v>74130/4</v>
          </cell>
          <cell r="B2620" t="str">
            <v>DISJUNTOR TERMOMAGNETICO TRIPOLAR PADRAO NEMA (AMERICANO) 10 A 50A 240V, FORNECIMENTO E INSTALACAO</v>
          </cell>
          <cell r="C2620" t="str">
            <v>UN</v>
          </cell>
          <cell r="D2620">
            <v>81.59</v>
          </cell>
        </row>
        <row r="2621">
          <cell r="A2621" t="str">
            <v>74130/5</v>
          </cell>
          <cell r="B2621" t="str">
            <v>DISJUNTOR TERMOMAGNETICO TRIPOLAR PADRAO NEMA (AMERICANO) 60 A 100A 240V, FORNECIMENTO E INSTALACAO</v>
          </cell>
          <cell r="C2621" t="str">
            <v>UN</v>
          </cell>
          <cell r="D2621">
            <v>109.01</v>
          </cell>
        </row>
        <row r="2622">
          <cell r="A2622" t="str">
            <v>74130/6</v>
          </cell>
          <cell r="B2622" t="str">
            <v>DISJUNTOR TERMOMAGNETICO TRIPOLAR PADRAO NEMA (AMERICANO) 125 A 150A 240V, FORNECIMENTO E INSTALACAO</v>
          </cell>
          <cell r="C2622" t="str">
            <v>UN</v>
          </cell>
          <cell r="D2622">
            <v>310.01</v>
          </cell>
        </row>
        <row r="2623">
          <cell r="A2623" t="str">
            <v>74130/7</v>
          </cell>
          <cell r="B2623" t="str">
            <v>DISJUNTOR TERMOMAGNETICO TRIPOLAR EM CAIXA MOLDADA 250A 600V, FORNECIMENTO E INSTALACAO</v>
          </cell>
          <cell r="C2623" t="str">
            <v>UN</v>
          </cell>
          <cell r="D2623">
            <v>802.34</v>
          </cell>
        </row>
        <row r="2624">
          <cell r="A2624" t="str">
            <v>74130/8</v>
          </cell>
          <cell r="B2624" t="str">
            <v>DISJUNTOR TERMOMAGNETICO TRIPOLAR EM CAIXA MOLDADA 300 A 400A 600V, FORNECIMENTO E INSTALACAO</v>
          </cell>
          <cell r="C2624" t="str">
            <v>UN</v>
          </cell>
          <cell r="D2624">
            <v>1096.69</v>
          </cell>
        </row>
        <row r="2625">
          <cell r="A2625" t="str">
            <v>74130/9</v>
          </cell>
          <cell r="B2625" t="str">
            <v>DISJUNTOR TERMOMAGNETICO TRIPOLAR EM CAIXA MOLDADA 500 A 600A 600V, FORNECIMENTO E INSTALACAO</v>
          </cell>
          <cell r="C2625" t="str">
            <v>UN</v>
          </cell>
          <cell r="D2625">
            <v>1796.84</v>
          </cell>
        </row>
        <row r="2626">
          <cell r="A2626" t="str">
            <v>74130/10</v>
          </cell>
          <cell r="B2626" t="str">
            <v>DISJUNTOR TERMOMAGNETICO TRIPOLAR EM CAIXA MOLDADA 175 A 225A 240V, FORNECIMENTO E INSTALACAO</v>
          </cell>
          <cell r="C2626" t="str">
            <v>UN</v>
          </cell>
          <cell r="D2626">
            <v>484.97</v>
          </cell>
        </row>
        <row r="2627">
          <cell r="A2627" t="str">
            <v>74131/1</v>
          </cell>
          <cell r="B2627" t="str">
            <v>QUADRO DE DISTRIBUICAO DE ENERGIA DE EMBUTIR, EM CHAPA METALICA, PARA 3 DISJUNTORES TERMOMAGNETICOS MONOPOLARES SEM BARRAMENTO FORNECIMENTO E INSTALACAO</v>
          </cell>
          <cell r="C2627" t="str">
            <v>UN</v>
          </cell>
          <cell r="D2627">
            <v>64.069999999999993</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v>468.47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v>537.79999999999995</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v>618.91</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v>866.87</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v>1256.21</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v>363.82</v>
          </cell>
        </row>
        <row r="2634">
          <cell r="A2634">
            <v>84402</v>
          </cell>
          <cell r="B2634" t="str">
            <v>QUADRO DE DISTRIBUICAO DE ENERGIA P/ 6 DISJUNTORES TERMOMAGNETICOS MONOPOLARES SEM BARRAMENTO, DE EMBUTIR, EM CHAPA METALICA - FORNECIMENTO E INSTALACAO</v>
          </cell>
          <cell r="C2634" t="str">
            <v>UN</v>
          </cell>
          <cell r="D2634">
            <v>80.14</v>
          </cell>
        </row>
        <row r="2635">
          <cell r="A2635">
            <v>93653</v>
          </cell>
          <cell r="B2635" t="str">
            <v>DISJUNTOR MONOPOLAR TIPO DIN, CORRENTE NOMINAL DE 10A - FORNECIMENTO E INSTALAÇÃO. AF_04/2016</v>
          </cell>
          <cell r="C2635" t="str">
            <v>UN</v>
          </cell>
          <cell r="D2635">
            <v>9.66</v>
          </cell>
        </row>
        <row r="2636">
          <cell r="A2636">
            <v>93654</v>
          </cell>
          <cell r="B2636" t="str">
            <v>DISJUNTOR MONOPOLAR TIPO DIN, CORRENTE NOMINAL DE 16A - FORNECIMENTO E INSTALAÇÃO. AF_04/2016</v>
          </cell>
          <cell r="C2636" t="str">
            <v>UN</v>
          </cell>
          <cell r="D2636">
            <v>10.14</v>
          </cell>
        </row>
        <row r="2637">
          <cell r="A2637">
            <v>93655</v>
          </cell>
          <cell r="B2637" t="str">
            <v>DISJUNTOR MONOPOLAR TIPO DIN, CORRENTE NOMINAL DE 20A - FORNECIMENTO E INSTALAÇÃO. AF_04/2016</v>
          </cell>
          <cell r="C2637" t="str">
            <v>UN</v>
          </cell>
          <cell r="D2637">
            <v>11</v>
          </cell>
        </row>
        <row r="2638">
          <cell r="A2638">
            <v>93656</v>
          </cell>
          <cell r="B2638" t="str">
            <v>DISJUNTOR MONOPOLAR TIPO DIN, CORRENTE NOMINAL DE 25A - FORNECIMENTO E INSTALAÇÃO. AF_04/2016</v>
          </cell>
          <cell r="C2638" t="str">
            <v>UN</v>
          </cell>
          <cell r="D2638">
            <v>11</v>
          </cell>
        </row>
        <row r="2639">
          <cell r="A2639">
            <v>93657</v>
          </cell>
          <cell r="B2639" t="str">
            <v>DISJUNTOR MONOPOLAR TIPO DIN, CORRENTE NOMINAL DE 32A - FORNECIMENTO E INSTALAÇÃO. AF_04/2016</v>
          </cell>
          <cell r="C2639" t="str">
            <v>UN</v>
          </cell>
          <cell r="D2639">
            <v>12.09</v>
          </cell>
        </row>
        <row r="2640">
          <cell r="A2640">
            <v>93658</v>
          </cell>
          <cell r="B2640" t="str">
            <v>DISJUNTOR MONOPOLAR TIPO DIN, CORRENTE NOMINAL DE 40A - FORNECIMENTO E INSTALAÇÃO. AF_04/2016</v>
          </cell>
          <cell r="C2640" t="str">
            <v>UN</v>
          </cell>
          <cell r="D2640">
            <v>17.5</v>
          </cell>
        </row>
        <row r="2641">
          <cell r="A2641">
            <v>93659</v>
          </cell>
          <cell r="B2641" t="str">
            <v>DISJUNTOR MONOPOLAR TIPO DIN, CORRENTE NOMINAL DE 50A - FORNECIMENTO E INSTALAÇÃO. AF_04/2016</v>
          </cell>
          <cell r="C2641" t="str">
            <v>UN</v>
          </cell>
          <cell r="D2641">
            <v>19.670000000000002</v>
          </cell>
        </row>
        <row r="2642">
          <cell r="A2642">
            <v>93660</v>
          </cell>
          <cell r="B2642" t="str">
            <v>DISJUNTOR BIPOLAR TIPO DIN, CORRENTE NOMINAL DE 10A - FORNECIMENTO E INSTALAÇÃO. AF_04/2016</v>
          </cell>
          <cell r="C2642" t="str">
            <v>UN</v>
          </cell>
          <cell r="D2642">
            <v>48.12</v>
          </cell>
        </row>
        <row r="2643">
          <cell r="A2643">
            <v>93661</v>
          </cell>
          <cell r="B2643" t="str">
            <v>DISJUNTOR BIPOLAR TIPO DIN, CORRENTE NOMINAL DE 16A - FORNECIMENTO E INSTALAÇÃO. AF_04/2016</v>
          </cell>
          <cell r="C2643" t="str">
            <v>UN</v>
          </cell>
          <cell r="D2643">
            <v>49.03</v>
          </cell>
        </row>
        <row r="2644">
          <cell r="A2644">
            <v>93662</v>
          </cell>
          <cell r="B2644" t="str">
            <v>DISJUNTOR BIPOLAR TIPO DIN, CORRENTE NOMINAL DE 20A - FORNECIMENTO E INSTALAÇÃO. AF_04/2016</v>
          </cell>
          <cell r="C2644" t="str">
            <v>UN</v>
          </cell>
          <cell r="D2644">
            <v>50.83</v>
          </cell>
        </row>
        <row r="2645">
          <cell r="A2645">
            <v>93663</v>
          </cell>
          <cell r="B2645" t="str">
            <v>DISJUNTOR BIPOLAR TIPO DIN, CORRENTE NOMINAL DE 25A - FORNECIMENTO E INSTALAÇÃO. AF_04/2016</v>
          </cell>
          <cell r="C2645" t="str">
            <v>UN</v>
          </cell>
          <cell r="D2645">
            <v>50.83</v>
          </cell>
        </row>
        <row r="2646">
          <cell r="A2646">
            <v>93664</v>
          </cell>
          <cell r="B2646" t="str">
            <v>DISJUNTOR BIPOLAR TIPO DIN, CORRENTE NOMINAL DE 32A - FORNECIMENTO E INSTALAÇÃO. AF_04/2016</v>
          </cell>
          <cell r="C2646" t="str">
            <v>UN</v>
          </cell>
          <cell r="D2646">
            <v>52.98</v>
          </cell>
        </row>
        <row r="2647">
          <cell r="A2647">
            <v>93665</v>
          </cell>
          <cell r="B2647" t="str">
            <v>DISJUNTOR BIPOLAR TIPO DIN, CORRENTE NOMINAL DE 40A - FORNECIMENTO E INSTALAÇÃO. AF_04/2016</v>
          </cell>
          <cell r="C2647" t="str">
            <v>UN</v>
          </cell>
          <cell r="D2647">
            <v>55.68</v>
          </cell>
        </row>
        <row r="2648">
          <cell r="A2648">
            <v>93666</v>
          </cell>
          <cell r="B2648" t="str">
            <v>DISJUNTOR BIPOLAR TIPO DIN, CORRENTE NOMINAL DE 50A - FORNECIMENTO E INSTALAÇÃO. AF_04/2016</v>
          </cell>
          <cell r="C2648" t="str">
            <v>UN</v>
          </cell>
          <cell r="D2648">
            <v>60.02</v>
          </cell>
        </row>
        <row r="2649">
          <cell r="A2649">
            <v>93667</v>
          </cell>
          <cell r="B2649" t="str">
            <v>DISJUNTOR TRIPOLAR TIPO DIN, CORRENTE NOMINAL DE 10A - FORNECIMENTO E INSTALAÇÃO. AF_04/2016</v>
          </cell>
          <cell r="C2649" t="str">
            <v>UN</v>
          </cell>
          <cell r="D2649">
            <v>60.05</v>
          </cell>
        </row>
        <row r="2650">
          <cell r="A2650">
            <v>93668</v>
          </cell>
          <cell r="B2650" t="str">
            <v>DISJUNTOR TRIPOLAR TIPO DIN, CORRENTE NOMINAL DE 16A - FORNECIMENTO E INSTALAÇÃO. AF_04/2016</v>
          </cell>
          <cell r="C2650" t="str">
            <v>UN</v>
          </cell>
          <cell r="D2650">
            <v>61.43</v>
          </cell>
        </row>
        <row r="2651">
          <cell r="A2651">
            <v>93669</v>
          </cell>
          <cell r="B2651" t="str">
            <v>DISJUNTOR TRIPOLAR TIPO DIN, CORRENTE NOMINAL DE 20A - FORNECIMENTO E INSTALAÇÃO. AF_04/2016</v>
          </cell>
          <cell r="C2651" t="str">
            <v>UN</v>
          </cell>
          <cell r="D2651">
            <v>64.099999999999994</v>
          </cell>
        </row>
        <row r="2652">
          <cell r="A2652">
            <v>93670</v>
          </cell>
          <cell r="B2652" t="str">
            <v>DISJUNTOR TRIPOLAR TIPO DIN, CORRENTE NOMINAL DE 25A - FORNECIMENTO E INSTALAÇÃO. AF_04/2016</v>
          </cell>
          <cell r="C2652" t="str">
            <v>UN</v>
          </cell>
          <cell r="D2652">
            <v>64.099999999999994</v>
          </cell>
        </row>
        <row r="2653">
          <cell r="A2653">
            <v>93671</v>
          </cell>
          <cell r="B2653" t="str">
            <v>DISJUNTOR TRIPOLAR TIPO DIN, CORRENTE NOMINAL DE 32A - FORNECIMENTO E INSTALAÇÃO. AF_04/2016</v>
          </cell>
          <cell r="C2653" t="str">
            <v>UN</v>
          </cell>
          <cell r="D2653">
            <v>67.33</v>
          </cell>
        </row>
        <row r="2654">
          <cell r="A2654">
            <v>93672</v>
          </cell>
          <cell r="B2654" t="str">
            <v>DISJUNTOR TRIPOLAR TIPO DIN, CORRENTE NOMINAL DE 40A - FORNECIMENTO E INSTALAÇÃO. AF_04/2016</v>
          </cell>
          <cell r="C2654" t="str">
            <v>UN</v>
          </cell>
          <cell r="D2654">
            <v>72.44</v>
          </cell>
        </row>
        <row r="2655">
          <cell r="A2655">
            <v>93673</v>
          </cell>
          <cell r="B2655" t="str">
            <v>DISJUNTOR TRIPOLAR TIPO DIN, CORRENTE NOMINAL DE 50A - FORNECIMENTO E INSTALAÇÃO. AF_04/2016</v>
          </cell>
          <cell r="C2655" t="str">
            <v>UN</v>
          </cell>
          <cell r="D2655">
            <v>78.95</v>
          </cell>
        </row>
        <row r="2656">
          <cell r="A2656">
            <v>97359</v>
          </cell>
          <cell r="B2656" t="str">
            <v>QUADRO DE MEDIÇÃO GERAL DE ENERGIA COM 8 MEDIDORES - FORNECIMENTO E INSTALAÇÃO. AF_04/2016</v>
          </cell>
          <cell r="C2656" t="str">
            <v>UN</v>
          </cell>
          <cell r="D2656">
            <v>2553.19</v>
          </cell>
        </row>
        <row r="2657">
          <cell r="A2657">
            <v>97360</v>
          </cell>
          <cell r="B2657" t="str">
            <v>QUADRO DE MEDIÇÃO GERAL DE ENERGIA COM 12 MEDIDORES - FORNECIMENTO E INSTALAÇÃO. AF_04/2016</v>
          </cell>
          <cell r="C2657" t="str">
            <v>UN</v>
          </cell>
          <cell r="D2657">
            <v>4918.8599999999997</v>
          </cell>
        </row>
        <row r="2658">
          <cell r="A2658">
            <v>97361</v>
          </cell>
          <cell r="B2658" t="str">
            <v>QUADRO DE MEDIÇÃO GERAL DE ENERGIA COM 16 MEDIDORES - FORNECIMENTO E INSTALAÇÃO. AF_04/2016</v>
          </cell>
          <cell r="C2658" t="str">
            <v>UN</v>
          </cell>
          <cell r="D2658">
            <v>6558.47</v>
          </cell>
        </row>
        <row r="2659">
          <cell r="A2659">
            <v>91945</v>
          </cell>
          <cell r="B2659" t="str">
            <v>SUPORTE PARAFUSADO COM PLACA DE ENCAIXE 4" X 2" ALTO (2,00 M DO PISO) PARA PONTO ELÉTRICO - FORNECIMENTO E INSTALAÇÃO. AF_12/2015</v>
          </cell>
          <cell r="C2659" t="str">
            <v>UN</v>
          </cell>
          <cell r="D2659">
            <v>6.37</v>
          </cell>
        </row>
        <row r="2660">
          <cell r="A2660">
            <v>91946</v>
          </cell>
          <cell r="B2660" t="str">
            <v>SUPORTE PARAFUSADO COM PLACA DE ENCAIXE 4" X 2" MÉDIO (1,30 M DO PISO) PARA PONTO ELÉTRICO - FORNECIMENTO E INSTALAÇÃO. AF_12/2015</v>
          </cell>
          <cell r="C2660" t="str">
            <v>UN</v>
          </cell>
          <cell r="D2660">
            <v>5.18</v>
          </cell>
        </row>
        <row r="2661">
          <cell r="A2661">
            <v>91947</v>
          </cell>
          <cell r="B2661" t="str">
            <v>SUPORTE PARAFUSADO COM PLACA DE ENCAIXE 4" X 2" BAIXO (0,30 M DO PISO) PARA PONTO ELÉTRICO - FORNECIMENTO E INSTALAÇÃO. AF_12/2015</v>
          </cell>
          <cell r="C2661" t="str">
            <v>UN</v>
          </cell>
          <cell r="D2661">
            <v>4.4400000000000004</v>
          </cell>
        </row>
        <row r="2662">
          <cell r="A2662">
            <v>91949</v>
          </cell>
          <cell r="B2662" t="str">
            <v>SUPORTE PARAFUSADO COM PLACA DE ENCAIXE 4" X 4" ALTO (2,00 M DO PISO) PARA PONTO ELÉTRICO - FORNECIMENTO E INSTALAÇÃO. AF_12/2015</v>
          </cell>
          <cell r="C2662" t="str">
            <v>UN</v>
          </cell>
          <cell r="D2662">
            <v>9.4499999999999993</v>
          </cell>
        </row>
        <row r="2663">
          <cell r="A2663">
            <v>91950</v>
          </cell>
          <cell r="B2663" t="str">
            <v>SUPORTE PARAFUSADO COM PLACA DE ENCAIXE 4" X 4" MÉDIO (1,30 M DO PISO) PARA PONTO ELÉTRICO - FORNECIMENTO E INSTALAÇÃO. AF_12/2015</v>
          </cell>
          <cell r="C2663" t="str">
            <v>UN</v>
          </cell>
          <cell r="D2663">
            <v>8.01</v>
          </cell>
        </row>
        <row r="2664">
          <cell r="A2664">
            <v>91951</v>
          </cell>
          <cell r="B2664" t="str">
            <v>SUPORTE PARAFUSADO COM PLACA DE ENCAIXE 4" X 4" BAIXO (0,30 M DO PISO) PARA PONTO ELÉTRICO - FORNECIMENTO E INSTALAÇÃO. AF_12/2015</v>
          </cell>
          <cell r="C2664" t="str">
            <v>UN</v>
          </cell>
          <cell r="D2664">
            <v>7.15</v>
          </cell>
        </row>
        <row r="2665">
          <cell r="A2665">
            <v>91952</v>
          </cell>
          <cell r="B2665" t="str">
            <v>INTERRUPTOR SIMPLES (1 MÓDULO), 10A/250V, SEM SUPORTE E SEM PLACA - FORNECIMENTO E INSTALAÇÃO. AF_12/2015</v>
          </cell>
          <cell r="C2665" t="str">
            <v>UN</v>
          </cell>
          <cell r="D2665">
            <v>12.29</v>
          </cell>
        </row>
        <row r="2666">
          <cell r="A2666">
            <v>91953</v>
          </cell>
          <cell r="B2666" t="str">
            <v>INTERRUPTOR SIMPLES (1 MÓDULO), 10A/250V, INCLUINDO SUPORTE E PLACA - FORNECIMENTO E INSTALAÇÃO. AF_12/2015</v>
          </cell>
          <cell r="C2666" t="str">
            <v>UN</v>
          </cell>
          <cell r="D2666">
            <v>17.47</v>
          </cell>
        </row>
        <row r="2667">
          <cell r="A2667">
            <v>91954</v>
          </cell>
          <cell r="B2667" t="str">
            <v>INTERRUPTOR PARALELO (1 MÓDULO), 10A/250V, SEM SUPORTE E SEM PLACA - FORNECIMENTO E INSTALAÇÃO. AF_12/2015</v>
          </cell>
          <cell r="C2667" t="str">
            <v>UN</v>
          </cell>
          <cell r="D2667">
            <v>16.55</v>
          </cell>
        </row>
        <row r="2668">
          <cell r="A2668">
            <v>91955</v>
          </cell>
          <cell r="B2668" t="str">
            <v>INTERRUPTOR PARALELO (1 MÓDULO), 10A/250V, INCLUINDO SUPORTE E PLACA - FORNECIMENTO E INSTALAÇÃO. AF_12/2015</v>
          </cell>
          <cell r="C2668" t="str">
            <v>UN</v>
          </cell>
          <cell r="D2668">
            <v>21.73</v>
          </cell>
        </row>
        <row r="2669">
          <cell r="A2669">
            <v>91956</v>
          </cell>
          <cell r="B2669" t="str">
            <v>INTERRUPTOR SIMPLES (1 MÓDULO) COM INTERRUPTOR PARALELO (1 MÓDULO), 10A/250V, SEM SUPORTE E SEM PLACA - FORNECIMENTO E INSTALAÇÃO. AF_12/2015</v>
          </cell>
          <cell r="C2669" t="str">
            <v>UN</v>
          </cell>
          <cell r="D2669">
            <v>26.63</v>
          </cell>
        </row>
        <row r="2670">
          <cell r="A2670">
            <v>91957</v>
          </cell>
          <cell r="B2670" t="str">
            <v>INTERRUPTOR SIMPLES (1 MÓDULO) COM INTERRUPTOR PARALELO (1 MÓDULO), 10A/250V, INCLUINDO SUPORTE E PLACA - FORNECIMENTO E INSTALAÇÃO. AF_12/2015</v>
          </cell>
          <cell r="C2670" t="str">
            <v>UN</v>
          </cell>
          <cell r="D2670">
            <v>31.81</v>
          </cell>
        </row>
        <row r="2671">
          <cell r="A2671">
            <v>91958</v>
          </cell>
          <cell r="B2671" t="str">
            <v>INTERRUPTOR SIMPLES (2 MÓDULOS), 10A/250V, SEM SUPORTE E SEM PLACA - FORNECIMENTO E INSTALAÇÃO. AF_12/2015</v>
          </cell>
          <cell r="C2671" t="str">
            <v>UN</v>
          </cell>
          <cell r="D2671">
            <v>22.41</v>
          </cell>
        </row>
        <row r="2672">
          <cell r="A2672">
            <v>91959</v>
          </cell>
          <cell r="B2672" t="str">
            <v>INTERRUPTOR SIMPLES (2 MÓDULOS), 10A/250V, INCLUINDO SUPORTE E PLACA - FORNECIMENTO E INSTALAÇÃO. AF_12/2015</v>
          </cell>
          <cell r="C2672" t="str">
            <v>UN</v>
          </cell>
          <cell r="D2672">
            <v>27.59</v>
          </cell>
        </row>
        <row r="2673">
          <cell r="A2673">
            <v>91960</v>
          </cell>
          <cell r="B2673" t="str">
            <v>INTERRUPTOR PARALELO (2 MÓDULOS), 10A/250V, SEM SUPORTE E SEM PLACA - FORNECIMENTO E INSTALAÇÃO. AF_12/2015</v>
          </cell>
          <cell r="C2673" t="str">
            <v>UN</v>
          </cell>
          <cell r="D2673">
            <v>30.89</v>
          </cell>
        </row>
        <row r="2674">
          <cell r="A2674">
            <v>91961</v>
          </cell>
          <cell r="B2674" t="str">
            <v>INTERRUPTOR PARALELO (2 MÓDULOS), 10A/250V, INCLUINDO SUPORTE E PLACA - FORNECIMENTO E INSTALAÇÃO. AF_12/2015</v>
          </cell>
          <cell r="C2674" t="str">
            <v>UN</v>
          </cell>
          <cell r="D2674">
            <v>36.07</v>
          </cell>
        </row>
        <row r="2675">
          <cell r="A2675">
            <v>91962</v>
          </cell>
          <cell r="B2675" t="str">
            <v>INTERRUPTOR SIMPLES (1 MÓDULO) COM INTERRUPTOR PARALELO (2 MÓDULOS), 10A/250V, SEM SUPORTE E SEM PLACA - FORNECIMENTO E INSTALAÇÃO. AF_12/2015</v>
          </cell>
          <cell r="C2675" t="str">
            <v>UN</v>
          </cell>
          <cell r="D2675">
            <v>41.01</v>
          </cell>
        </row>
        <row r="2676">
          <cell r="A2676">
            <v>91963</v>
          </cell>
          <cell r="B2676" t="str">
            <v>INTERRUPTOR SIMPLES (1 MÓDULO) COM INTERRUPTOR PARALELO (2 MÓDULOS), 10A/250V, INCLUINDO SUPORTE E PLACA - FORNECIMENTO E INSTALAÇÃO. AF_12/2015</v>
          </cell>
          <cell r="C2676" t="str">
            <v>UN</v>
          </cell>
          <cell r="D2676">
            <v>46.19</v>
          </cell>
        </row>
        <row r="2677">
          <cell r="A2677">
            <v>91964</v>
          </cell>
          <cell r="B2677" t="str">
            <v>INTERRUPTOR SIMPLES (2 MÓDULOS) COM INTERRUPTOR PARALELO (1 MÓDULO), 10A/250V, SEM SUPORTE E SEM PLACA - FORNECIMENTO E INSTALAÇÃO. AF_12/2015</v>
          </cell>
          <cell r="C2677" t="str">
            <v>UN</v>
          </cell>
          <cell r="D2677">
            <v>36.76</v>
          </cell>
        </row>
        <row r="2678">
          <cell r="A2678">
            <v>91965</v>
          </cell>
          <cell r="B2678" t="str">
            <v>INTERRUPTOR SIMPLES (2 MÓDULOS) COM INTERRUPTOR PARALELO (1 MÓDULO), 10A/250V, INCLUINDO SUPORTE E PLACA - FORNECIMENTO E INSTALAÇÃO. AF_12/2015</v>
          </cell>
          <cell r="C2678" t="str">
            <v>UN</v>
          </cell>
          <cell r="D2678">
            <v>41.94</v>
          </cell>
        </row>
        <row r="2679">
          <cell r="A2679">
            <v>91966</v>
          </cell>
          <cell r="B2679" t="str">
            <v>INTERRUPTOR SIMPLES (3 MÓDULOS), 10A/250V, SEM SUPORTE E SEM PLACA - FORNECIMENTO E INSTALAÇÃO. AF_12/2015</v>
          </cell>
          <cell r="C2679" t="str">
            <v>UN</v>
          </cell>
          <cell r="D2679">
            <v>32.53</v>
          </cell>
        </row>
        <row r="2680">
          <cell r="A2680">
            <v>91967</v>
          </cell>
          <cell r="B2680" t="str">
            <v>INTERRUPTOR SIMPLES (3 MÓDULOS), 10A/250V, INCLUINDO SUPORTE E PLACA - FORNECIMENTO E INSTALAÇÃO. AF_12/2015</v>
          </cell>
          <cell r="C2680" t="str">
            <v>UN</v>
          </cell>
          <cell r="D2680">
            <v>37.71</v>
          </cell>
        </row>
        <row r="2681">
          <cell r="A2681">
            <v>91968</v>
          </cell>
          <cell r="B2681" t="str">
            <v>INTERRUPTOR PARALELO (3 MÓDULOS), 10A/250V, SEM SUPORTE E SEM PLACA - FORNECIMENTO E INSTALAÇÃO. AF_12/2015</v>
          </cell>
          <cell r="C2681" t="str">
            <v>UN</v>
          </cell>
          <cell r="D2681">
            <v>45.23</v>
          </cell>
        </row>
        <row r="2682">
          <cell r="A2682">
            <v>91969</v>
          </cell>
          <cell r="B2682" t="str">
            <v>INTERRUPTOR PARALELO (3 MÓDULOS), 10A/250V, INCLUINDO SUPORTE E PLACA - FORNECIMENTO E INSTALAÇÃO. AF_12/2015</v>
          </cell>
          <cell r="C2682" t="str">
            <v>UN</v>
          </cell>
          <cell r="D2682">
            <v>50.41</v>
          </cell>
        </row>
        <row r="2683">
          <cell r="A2683">
            <v>91970</v>
          </cell>
          <cell r="B2683" t="str">
            <v>INTERRUPTOR SIMPLES (3 MÓDULOS) COM INTERRUPTOR PARALELO (1 MÓDULO), 10A/250V, SEM SUPORTE E SEM PLACA - FORNECIMENTO E INSTALAÇÃO. AF_12/2015</v>
          </cell>
          <cell r="C2683" t="str">
            <v>UN</v>
          </cell>
          <cell r="D2683">
            <v>47.13</v>
          </cell>
        </row>
        <row r="2684">
          <cell r="A2684">
            <v>91971</v>
          </cell>
          <cell r="B2684" t="str">
            <v>INTERRUPTOR SIMPLES (3 MÓDULOS) COM INTERRUPTOR PARALELO (1 MÓDULO), 10A/250V, INCLUINDO SUPORTE E PLACA - FORNECIMENTO E INSTALAÇÃO. AF_12/2015</v>
          </cell>
          <cell r="C2684" t="str">
            <v>UN</v>
          </cell>
          <cell r="D2684">
            <v>55.14</v>
          </cell>
        </row>
        <row r="2685">
          <cell r="A2685">
            <v>91972</v>
          </cell>
          <cell r="B2685" t="str">
            <v>INTERRUPTOR SIMPLES (2 MÓDULOS) COM INTERRUPTOR PARALELO (2 MÓDULOS), 10A/250V, SEM SUPORTE E SEM PLACA - FORNECIMENTO E INSTALAÇÃO. AF_12/2015</v>
          </cell>
          <cell r="C2685" t="str">
            <v>UN</v>
          </cell>
          <cell r="D2685">
            <v>51.38</v>
          </cell>
        </row>
        <row r="2686">
          <cell r="A2686">
            <v>91973</v>
          </cell>
          <cell r="B2686" t="str">
            <v>INTERRUPTOR SIMPLES (2 MÓDULOS) COM INTERRUPTOR PARALELO (2 MÓDULOS), 10A/250V, INCLUINDO SUPORTE E PLACA - FORNECIMENTO E INSTALAÇÃO. AF_12/2015</v>
          </cell>
          <cell r="C2686" t="str">
            <v>UN</v>
          </cell>
          <cell r="D2686">
            <v>59.39</v>
          </cell>
        </row>
        <row r="2687">
          <cell r="A2687">
            <v>91974</v>
          </cell>
          <cell r="B2687" t="str">
            <v>INTERRUPTOR SIMPLES (4 MÓDULOS), 10A/250V, SEM SUPORTE E SEM PLACA - FORNECIMENTO E INSTALAÇÃO. AF_12/2015</v>
          </cell>
          <cell r="C2687" t="str">
            <v>UN</v>
          </cell>
          <cell r="D2687">
            <v>42.86</v>
          </cell>
        </row>
        <row r="2688">
          <cell r="A2688">
            <v>91975</v>
          </cell>
          <cell r="B2688" t="str">
            <v>INTERRUPTOR SIMPLES (4 MÓDULOS), 10A/250V, INCLUINDO SUPORTE E PLACA - FORNECIMENTO E INSTALAÇÃO. AF_12/2015</v>
          </cell>
          <cell r="C2688" t="str">
            <v>UN</v>
          </cell>
          <cell r="D2688">
            <v>50.87</v>
          </cell>
        </row>
        <row r="2689">
          <cell r="A2689">
            <v>91976</v>
          </cell>
          <cell r="B2689" t="str">
            <v>INTERRUPTOR SIMPLES (6 MÓDULOS), 10A/250V, SEM SUPORTE E SEM PLACA - FORNECIMENTO E INSTALAÇÃO. AF_12/2015</v>
          </cell>
          <cell r="C2689" t="str">
            <v>UN</v>
          </cell>
          <cell r="D2689">
            <v>63.18</v>
          </cell>
        </row>
        <row r="2690">
          <cell r="A2690">
            <v>91977</v>
          </cell>
          <cell r="B2690" t="str">
            <v>INTERRUPTOR SIMPLES (6 MÓDULOS), 10A/250V, INCLUINDO SUPORTE E PLACA - FORNECIMENTO E INSTALAÇÃO. AF_12/2015</v>
          </cell>
          <cell r="C2690" t="str">
            <v>UN</v>
          </cell>
          <cell r="D2690">
            <v>71.19</v>
          </cell>
        </row>
        <row r="2691">
          <cell r="A2691">
            <v>91978</v>
          </cell>
          <cell r="B2691" t="str">
            <v>INTERRUPTOR INTERMEDIÁRIO (1 MÓDULO), 10A/250V, SEM SUPORTE E SEM PLACA - FORNECIMENTO E INSTALAÇÃO. AF_09/2017</v>
          </cell>
          <cell r="C2691" t="str">
            <v>UN</v>
          </cell>
          <cell r="D2691">
            <v>25.57</v>
          </cell>
        </row>
        <row r="2692">
          <cell r="A2692">
            <v>91979</v>
          </cell>
          <cell r="B2692" t="str">
            <v>INTERRUPTOR INTERMEDIÁRIO (1 MÓDULO), 10A/250V, INCLUINDO SUPORTE E PLACA - FORNECIMENTO E INSTALAÇÃO. AF_09/2017</v>
          </cell>
          <cell r="C2692" t="str">
            <v>UN</v>
          </cell>
          <cell r="D2692">
            <v>30.75</v>
          </cell>
        </row>
        <row r="2693">
          <cell r="A2693">
            <v>91980</v>
          </cell>
          <cell r="B2693" t="str">
            <v>INTERRUPTOR BIPOLAR (1 MÓDULO), 10A/250V, SEM SUPORTE E SEM PLACA - FORNECIMENTO E INSTALAÇÃO. AF_09/2017</v>
          </cell>
          <cell r="C2693" t="str">
            <v>UN</v>
          </cell>
          <cell r="D2693">
            <v>24.84</v>
          </cell>
        </row>
        <row r="2694">
          <cell r="A2694">
            <v>91981</v>
          </cell>
          <cell r="B2694" t="str">
            <v>INTERRUPTOR BIPOLAR (1 MÓDULO), 10A/250V, INCLUINDO SUPORTE E PLACA - FORNECIMENTO E INSTALAÇÃO. AF_09/2017</v>
          </cell>
          <cell r="C2694" t="str">
            <v>UN</v>
          </cell>
          <cell r="D2694">
            <v>30.02</v>
          </cell>
        </row>
        <row r="2695">
          <cell r="A2695">
            <v>91982</v>
          </cell>
          <cell r="B2695" t="str">
            <v>DIMMER ROTATIVO (1 MÓDULO), 220V/600W, SEM SUPORTE E SEM PLACA - FORNECIMENTO E INSTALAÇÃO. AF_09/2017</v>
          </cell>
          <cell r="C2695" t="str">
            <v>UN</v>
          </cell>
          <cell r="D2695">
            <v>54.03</v>
          </cell>
        </row>
        <row r="2696">
          <cell r="A2696">
            <v>91983</v>
          </cell>
          <cell r="B2696" t="str">
            <v>DIMMER ROTATIVO (1 MÓDULO), 220V/600W, INCLUINDO SUPORTE E PLACA - FORNECIMENTO E INSTALAÇÃO. AF_09/2017</v>
          </cell>
          <cell r="C2696" t="str">
            <v>UN</v>
          </cell>
          <cell r="D2696">
            <v>59.21</v>
          </cell>
        </row>
        <row r="2697">
          <cell r="A2697">
            <v>91984</v>
          </cell>
          <cell r="B2697" t="str">
            <v>INTERRUPTOR PULSADOR CAMPAINHA (1 MÓDULO), 10A/250V, SEM SUPORTE E SEM PLACA - FORNECIMENTO E INSTALAÇÃO. AF_09/2017</v>
          </cell>
          <cell r="C2697" t="str">
            <v>UN</v>
          </cell>
          <cell r="D2697">
            <v>11.62</v>
          </cell>
        </row>
        <row r="2698">
          <cell r="A2698">
            <v>91985</v>
          </cell>
          <cell r="B2698" t="str">
            <v>INTERRUPTOR PULSADOR CAMPAINHA (1 MÓDULO), 10A/250V, INCLUINDO SUPORTE E PLACA - FORNECIMENTO E INSTALAÇÃO. AF_09/2017</v>
          </cell>
          <cell r="C2698" t="str">
            <v>UN</v>
          </cell>
          <cell r="D2698">
            <v>16.8</v>
          </cell>
        </row>
        <row r="2699">
          <cell r="A2699">
            <v>91986</v>
          </cell>
          <cell r="B2699" t="str">
            <v>CAMPAINHA CIGARRA (1 MÓDULO), 10A/250V, SEM SUPORTE E SEM PLACA - FORNECIMENTO E INSTALAÇÃO. AF_09/2017</v>
          </cell>
          <cell r="C2699" t="str">
            <v>UN</v>
          </cell>
          <cell r="D2699">
            <v>23.79</v>
          </cell>
        </row>
        <row r="2700">
          <cell r="A2700">
            <v>91987</v>
          </cell>
          <cell r="B2700" t="str">
            <v>CAMPAINHA CIGARRA (1 MÓDULO), 10A/250V, INCLUINDO SUPORTE E PLACA - FORNECIMENTO E INSTALAÇÃO. AF_09/2017</v>
          </cell>
          <cell r="C2700" t="str">
            <v>UN</v>
          </cell>
          <cell r="D2700">
            <v>28.97</v>
          </cell>
        </row>
        <row r="2701">
          <cell r="A2701">
            <v>91988</v>
          </cell>
          <cell r="B2701" t="str">
            <v>INTERRUPTOR PULSADOR MINUTERIA (1 MÓDULO), 10A/250V, SEM SUPORTE E SEM PLACA - FORNECIMENTO E INSTALAÇÃO. AF_09/2017</v>
          </cell>
          <cell r="C2701" t="str">
            <v>UN</v>
          </cell>
          <cell r="D2701">
            <v>14.05</v>
          </cell>
        </row>
        <row r="2702">
          <cell r="A2702">
            <v>91989</v>
          </cell>
          <cell r="B2702" t="str">
            <v>INTERRUPTOR PULSADOR MINUTERIA (1 MÓDULO), 10A/250V, INCLUINDO SUPORTE E PLACA - FORNECIMENTO E INSTALAÇÃO. AF_09/2017</v>
          </cell>
          <cell r="C2702" t="str">
            <v>UN</v>
          </cell>
          <cell r="D2702">
            <v>19.23</v>
          </cell>
        </row>
        <row r="2703">
          <cell r="A2703">
            <v>91990</v>
          </cell>
          <cell r="B2703" t="str">
            <v>TOMADA ALTA DE EMBUTIR (1 MÓDULO), 2P+T 10 A, SEM SUPORTE E SEM PLACA - FORNECIMENTO E INSTALAÇÃO. AF_12/2015</v>
          </cell>
          <cell r="C2703" t="str">
            <v>UN</v>
          </cell>
          <cell r="D2703">
            <v>22.71</v>
          </cell>
        </row>
        <row r="2704">
          <cell r="A2704">
            <v>91991</v>
          </cell>
          <cell r="B2704" t="str">
            <v>TOMADA ALTA DE EMBUTIR (1 MÓDULO), 2P+T 20 A, SEM SUPORTE E SEM PLACA - FORNECIMENTO E INSTALAÇÃO. AF_12/2015</v>
          </cell>
          <cell r="C2704" t="str">
            <v>UN</v>
          </cell>
          <cell r="D2704">
            <v>24.02</v>
          </cell>
        </row>
        <row r="2705">
          <cell r="A2705">
            <v>91992</v>
          </cell>
          <cell r="B2705" t="str">
            <v>TOMADA ALTA DE EMBUTIR (1 MÓDULO), 2P+T 10 A, INCLUINDO SUPORTE E PLACA - FORNECIMENTO E INSTALAÇÃO. AF_12/2015</v>
          </cell>
          <cell r="C2705" t="str">
            <v>UN</v>
          </cell>
          <cell r="D2705">
            <v>27.89</v>
          </cell>
        </row>
        <row r="2706">
          <cell r="A2706">
            <v>91993</v>
          </cell>
          <cell r="B2706" t="str">
            <v>TOMADA ALTA DE EMBUTIR (1 MÓDULO), 2P+T 20 A, INCLUINDO SUPORTE E PLACA - FORNECIMENTO E INSTALAÇÃO. AF_12/2015</v>
          </cell>
          <cell r="C2706" t="str">
            <v>UN</v>
          </cell>
          <cell r="D2706">
            <v>29.2</v>
          </cell>
        </row>
        <row r="2707">
          <cell r="A2707">
            <v>91994</v>
          </cell>
          <cell r="B2707" t="str">
            <v>TOMADA MÉDIA DE EMBUTIR (1 MÓDULO), 2P+T 10 A, SEM SUPORTE E SEM PLACA - FORNECIMENTO E INSTALAÇÃO. AF_12/2015</v>
          </cell>
          <cell r="C2707" t="str">
            <v>UN</v>
          </cell>
          <cell r="D2707">
            <v>15.88</v>
          </cell>
        </row>
        <row r="2708">
          <cell r="A2708">
            <v>91995</v>
          </cell>
          <cell r="B2708" t="str">
            <v>TOMADA MÉDIA DE EMBUTIR (1 MÓDULO), 2P+T 20 A, SEM SUPORTE E SEM PLACA - FORNECIMENTO E INSTALAÇÃO. AF_12/2015</v>
          </cell>
          <cell r="C2708" t="str">
            <v>UN</v>
          </cell>
          <cell r="D2708">
            <v>17.190000000000001</v>
          </cell>
        </row>
        <row r="2709">
          <cell r="A2709">
            <v>91996</v>
          </cell>
          <cell r="B2709" t="str">
            <v>TOMADA MÉDIA DE EMBUTIR (1 MÓDULO), 2P+T 10 A, INCLUINDO SUPORTE E PLACA - FORNECIMENTO E INSTALAÇÃO. AF_12/2015</v>
          </cell>
          <cell r="C2709" t="str">
            <v>UN</v>
          </cell>
          <cell r="D2709">
            <v>21.06</v>
          </cell>
        </row>
        <row r="2710">
          <cell r="A2710">
            <v>91997</v>
          </cell>
          <cell r="B2710" t="str">
            <v>TOMADA MÉDIA DE EMBUTIR (1 MÓDULO), 2P+T 20 A, INCLUINDO SUPORTE E PLACA - FORNECIMENTO E INSTALAÇÃO. AF_12/2015</v>
          </cell>
          <cell r="C2710" t="str">
            <v>UN</v>
          </cell>
          <cell r="D2710">
            <v>22.37</v>
          </cell>
        </row>
        <row r="2711">
          <cell r="A2711">
            <v>91998</v>
          </cell>
          <cell r="B2711" t="str">
            <v>TOMADA BAIXA DE EMBUTIR (1 MÓDULO), 2P+T 10 A, SEM SUPORTE E SEM PLACA - FORNECIMENTO E INSTALAÇÃO. AF_12/2015</v>
          </cell>
          <cell r="C2711" t="str">
            <v>UN</v>
          </cell>
          <cell r="D2711">
            <v>13.23</v>
          </cell>
        </row>
        <row r="2712">
          <cell r="A2712">
            <v>91999</v>
          </cell>
          <cell r="B2712" t="str">
            <v>TOMADA BAIXA DE EMBUTIR (1 MÓDULO), 2P+T 20 A, SEM SUPORTE E SEM PLACA - FORNECIMENTO E INSTALAÇÃO. AF_12/2015</v>
          </cell>
          <cell r="C2712" t="str">
            <v>UN</v>
          </cell>
          <cell r="D2712">
            <v>14.54</v>
          </cell>
        </row>
        <row r="2713">
          <cell r="A2713">
            <v>92000</v>
          </cell>
          <cell r="B2713" t="str">
            <v>TOMADA BAIXA DE EMBUTIR (1 MÓDULO), 2P+T 10 A, INCLUINDO SUPORTE E PLACA - FORNECIMENTO E INSTALAÇÃO. AF_12/2015</v>
          </cell>
          <cell r="C2713" t="str">
            <v>UN</v>
          </cell>
          <cell r="D2713">
            <v>18.41</v>
          </cell>
        </row>
        <row r="2714">
          <cell r="A2714">
            <v>92001</v>
          </cell>
          <cell r="B2714" t="str">
            <v>TOMADA BAIXA DE EMBUTIR (1 MÓDULO), 2P+T 20 A, INCLUINDO SUPORTE E PLACA - FORNECIMENTO E INSTALAÇÃO. AF_12/2015</v>
          </cell>
          <cell r="C2714" t="str">
            <v>UN</v>
          </cell>
          <cell r="D2714">
            <v>19.72</v>
          </cell>
        </row>
        <row r="2715">
          <cell r="A2715">
            <v>92002</v>
          </cell>
          <cell r="B2715" t="str">
            <v>TOMADA MÉDIA DE EMBUTIR (2 MÓDULOS), 2P+T 10 A, SEM SUPORTE E SEM PLACA - FORNECIMENTO E INSTALAÇÃO. AF_12/2015</v>
          </cell>
          <cell r="C2715" t="str">
            <v>UN</v>
          </cell>
          <cell r="D2715">
            <v>29.55</v>
          </cell>
        </row>
        <row r="2716">
          <cell r="A2716">
            <v>92003</v>
          </cell>
          <cell r="B2716" t="str">
            <v>TOMADA MÉDIA DE EMBUTIR (2 MÓDULOS), 2P+T 20 A, SEM SUPORTE E SEM PLACA - FORNECIMENTO E INSTALAÇÃO. AF_12/2015</v>
          </cell>
          <cell r="C2716" t="str">
            <v>UN</v>
          </cell>
          <cell r="D2716">
            <v>32.17</v>
          </cell>
        </row>
        <row r="2717">
          <cell r="A2717">
            <v>92004</v>
          </cell>
          <cell r="B2717" t="str">
            <v>TOMADA MÉDIA DE EMBUTIR (2 MÓDULOS), 2P+T 10 A, INCLUINDO SUPORTE E PLACA - FORNECIMENTO E INSTALAÇÃO. AF_12/2015</v>
          </cell>
          <cell r="C2717" t="str">
            <v>UN</v>
          </cell>
          <cell r="D2717">
            <v>34.729999999999997</v>
          </cell>
        </row>
        <row r="2718">
          <cell r="A2718">
            <v>92005</v>
          </cell>
          <cell r="B2718" t="str">
            <v>TOMADA MÉDIA DE EMBUTIR (2 MÓDULOS), 2P+T 20 A, INCLUINDO SUPORTE E PLACA - FORNECIMENTO E INSTALAÇÃO. AF_12/2015</v>
          </cell>
          <cell r="C2718" t="str">
            <v>UN</v>
          </cell>
          <cell r="D2718">
            <v>37.35</v>
          </cell>
        </row>
        <row r="2719">
          <cell r="A2719">
            <v>92006</v>
          </cell>
          <cell r="B2719" t="str">
            <v>TOMADA BAIXA DE EMBUTIR (2 MÓDULOS), 2P+T 10 A, SEM SUPORTE E SEM PLACA - FORNECIMENTO E INSTALAÇÃO. AF_12/2015</v>
          </cell>
          <cell r="C2719" t="str">
            <v>UN</v>
          </cell>
          <cell r="D2719">
            <v>24.24</v>
          </cell>
        </row>
        <row r="2720">
          <cell r="A2720">
            <v>92007</v>
          </cell>
          <cell r="B2720" t="str">
            <v>TOMADA BAIXA DE EMBUTIR (2 MÓDULOS), 2P+T 20 A, SEM SUPORTE E SEM PLACA - FORNECIMENTO E INSTALAÇÃO. AF_12/2015</v>
          </cell>
          <cell r="C2720" t="str">
            <v>UN</v>
          </cell>
          <cell r="D2720">
            <v>26.86</v>
          </cell>
        </row>
        <row r="2721">
          <cell r="A2721">
            <v>92008</v>
          </cell>
          <cell r="B2721" t="str">
            <v>TOMADA BAIXA DE EMBUTIR (2 MÓDULOS), 2P+T 10 A, INCLUINDO SUPORTE E PLACA - FORNECIMENTO E INSTALAÇÃO. AF_12/2015</v>
          </cell>
          <cell r="C2721" t="str">
            <v>UN</v>
          </cell>
          <cell r="D2721">
            <v>29.42</v>
          </cell>
        </row>
        <row r="2722">
          <cell r="A2722">
            <v>92009</v>
          </cell>
          <cell r="B2722" t="str">
            <v>TOMADA BAIXA DE EMBUTIR (2 MÓDULOS), 2P+T 20 A, INCLUINDO SUPORTE E PLACA - FORNECIMENTO E INSTALAÇÃO. AF_12/2015</v>
          </cell>
          <cell r="C2722" t="str">
            <v>UN</v>
          </cell>
          <cell r="D2722">
            <v>32.04</v>
          </cell>
        </row>
        <row r="2723">
          <cell r="A2723">
            <v>92010</v>
          </cell>
          <cell r="B2723" t="str">
            <v>TOMADA MÉDIA DE EMBUTIR (3 MÓDULOS), 2P+T 10 A, SEM SUPORTE E SEM PLACA - FORNECIMENTO E INSTALAÇÃO. AF_12/2015</v>
          </cell>
          <cell r="C2723" t="str">
            <v>UN</v>
          </cell>
          <cell r="D2723">
            <v>43.22</v>
          </cell>
        </row>
        <row r="2724">
          <cell r="A2724">
            <v>92011</v>
          </cell>
          <cell r="B2724" t="str">
            <v>TOMADA MÉDIA DE EMBUTIR (3 MÓDULOS), 2P+T 20 A, SEM SUPORTE E SEM PLACA - FORNECIMENTO E INSTALAÇÃO. AF_12/2015</v>
          </cell>
          <cell r="C2724" t="str">
            <v>UN</v>
          </cell>
          <cell r="D2724">
            <v>47.15</v>
          </cell>
        </row>
        <row r="2725">
          <cell r="A2725">
            <v>92012</v>
          </cell>
          <cell r="B2725" t="str">
            <v>TOMADA MÉDIA DE EMBUTIR (3 MÓDULOS), 2P+T 10 A, INCLUINDO SUPORTE E PLACA - FORNECIMENTO E INSTALAÇÃO. AF_12/2015</v>
          </cell>
          <cell r="C2725" t="str">
            <v>UN</v>
          </cell>
          <cell r="D2725">
            <v>48.4</v>
          </cell>
        </row>
        <row r="2726">
          <cell r="A2726">
            <v>92013</v>
          </cell>
          <cell r="B2726" t="str">
            <v>TOMADA MÉDIA DE EMBUTIR (3 MÓDULOS), 2P+T 20 A, INCLUINDO SUPORTE E PLACA - FORNECIMENTO E INSTALAÇÃO. AF_12/2015</v>
          </cell>
          <cell r="C2726" t="str">
            <v>UN</v>
          </cell>
          <cell r="D2726">
            <v>52.33</v>
          </cell>
        </row>
        <row r="2727">
          <cell r="A2727">
            <v>92014</v>
          </cell>
          <cell r="B2727" t="str">
            <v>TOMADA BAIXA DE EMBUTIR (3 MÓDULOS), 2P+T 10 A, SEM SUPORTE E SEM PLACA - FORNECIMENTO E INSTALAÇÃO. AF_12/2015</v>
          </cell>
          <cell r="C2727" t="str">
            <v>UN</v>
          </cell>
          <cell r="D2727">
            <v>35.26</v>
          </cell>
        </row>
        <row r="2728">
          <cell r="A2728">
            <v>92015</v>
          </cell>
          <cell r="B2728" t="str">
            <v>TOMADA BAIXA DE EMBUTIR (3 MÓDULOS), 2P+T 20 A, SEM SUPORTE E SEM PLACA - FORNECIMENTO E INSTALAÇÃO. AF_12/2015</v>
          </cell>
          <cell r="C2728" t="str">
            <v>UN</v>
          </cell>
          <cell r="D2728">
            <v>39.19</v>
          </cell>
        </row>
        <row r="2729">
          <cell r="A2729">
            <v>92016</v>
          </cell>
          <cell r="B2729" t="str">
            <v>TOMADA BAIXA DE EMBUTIR (3 MÓDULOS), 2P+T 10 A, INCLUINDO SUPORTE E PLACA - FORNECIMENTO E INSTALAÇÃO. AF_12/2015</v>
          </cell>
          <cell r="C2729" t="str">
            <v>UN</v>
          </cell>
          <cell r="D2729">
            <v>40.44</v>
          </cell>
        </row>
        <row r="2730">
          <cell r="A2730">
            <v>92017</v>
          </cell>
          <cell r="B2730" t="str">
            <v>TOMADA BAIXA DE EMBUTIR (3 MÓDULOS), 2P+T 20 A, INCLUINDO SUPORTE E PLACA - FORNECIMENTO E INSTALAÇÃO. AF_12/2015</v>
          </cell>
          <cell r="C2730" t="str">
            <v>UN</v>
          </cell>
          <cell r="D2730">
            <v>44.37</v>
          </cell>
        </row>
        <row r="2731">
          <cell r="A2731">
            <v>92018</v>
          </cell>
          <cell r="B2731" t="str">
            <v>TOMADA BAIXA DE EMBUTIR (4 MÓDULOS), 2P+T 10 A, SEM SUPORTE E SEM PLACA - FORNECIMENTO E INSTALAÇÃO. AF_12/2015</v>
          </cell>
          <cell r="C2731" t="str">
            <v>UN</v>
          </cell>
          <cell r="D2731">
            <v>46.63</v>
          </cell>
        </row>
        <row r="2732">
          <cell r="A2732">
            <v>92019</v>
          </cell>
          <cell r="B2732" t="str">
            <v>TOMADA BAIXA DE EMBUTIR (4 MÓDULOS), 2P+T 10 A, INCLUINDO SUPORTE E PLACA - FORNECIMENTO E INSTALAÇÃO. AF_12/2015</v>
          </cell>
          <cell r="C2732" t="str">
            <v>UN</v>
          </cell>
          <cell r="D2732">
            <v>54.64</v>
          </cell>
        </row>
        <row r="2733">
          <cell r="A2733">
            <v>92020</v>
          </cell>
          <cell r="B2733" t="str">
            <v>TOMADA BAIXA DE EMBUTIR (6 MÓDULOS), 2P+T 10 A, SEM SUPORTE E SEM PLACA - FORNECIMENTO E INSTALAÇÃO. AF_12/2015</v>
          </cell>
          <cell r="C2733" t="str">
            <v>UN</v>
          </cell>
          <cell r="D2733">
            <v>68.86</v>
          </cell>
        </row>
        <row r="2734">
          <cell r="A2734">
            <v>92021</v>
          </cell>
          <cell r="B2734" t="str">
            <v>TOMADA BAIXA DE EMBUTIR (6 MÓDULOS), 2P+T 10 A, INCLUINDO SUPORTE E PLACA - FORNECIMENTO E INSTALAÇÃO. AF_12/2015</v>
          </cell>
          <cell r="C2734" t="str">
            <v>UN</v>
          </cell>
          <cell r="D2734">
            <v>76.87</v>
          </cell>
        </row>
        <row r="2735">
          <cell r="A2735">
            <v>92022</v>
          </cell>
          <cell r="B2735" t="str">
            <v>INTERRUPTOR SIMPLES (1 MÓDULO) COM 1 TOMADA DE EMBUTIR 2P+T 10 A,  SEM SUPORTE E SEM PLACA - FORNECIMENTO E INSTALAÇÃO. AF_12/2015</v>
          </cell>
          <cell r="C2735" t="str">
            <v>UN</v>
          </cell>
          <cell r="D2735">
            <v>25.96</v>
          </cell>
        </row>
        <row r="2736">
          <cell r="A2736">
            <v>92023</v>
          </cell>
          <cell r="B2736" t="str">
            <v>INTERRUPTOR SIMPLES (1 MÓDULO) COM 1 TOMADA DE EMBUTIR 2P+T 10 A,  INCLUINDO SUPORTE E PLACA - FORNECIMENTO E INSTALAÇÃO. AF_12/2015</v>
          </cell>
          <cell r="C2736" t="str">
            <v>UN</v>
          </cell>
          <cell r="D2736">
            <v>31.14</v>
          </cell>
        </row>
        <row r="2737">
          <cell r="A2737">
            <v>92024</v>
          </cell>
          <cell r="B2737" t="str">
            <v>INTERRUPTOR SIMPLES (1 MÓDULO) COM 2 TOMADAS DE EMBUTIR 2P+T 10 A,  SEM SUPORTE E SEM PLACA - FORNECIMENTO E INSTALAÇÃO. AF_12/2015</v>
          </cell>
          <cell r="C2737" t="str">
            <v>UN</v>
          </cell>
          <cell r="D2737">
            <v>39.67</v>
          </cell>
        </row>
        <row r="2738">
          <cell r="A2738">
            <v>92025</v>
          </cell>
          <cell r="B2738" t="str">
            <v>INTERRUPTOR SIMPLES (1 MÓDULO) COM 2 TOMADAS DE EMBUTIR 2P+T 10 A,  INCLUINDO SUPORTE E PLACA - FORNECIMENTO E INSTALAÇÃO. AF_12/2015</v>
          </cell>
          <cell r="C2738" t="str">
            <v>UN</v>
          </cell>
          <cell r="D2738">
            <v>44.85</v>
          </cell>
        </row>
        <row r="2739">
          <cell r="A2739">
            <v>92026</v>
          </cell>
          <cell r="B2739" t="str">
            <v>INTERRUPTOR SIMPLES (2 MÓDULOS) COM 1 TOMADA DE EMBUTIR 2P+T 10 A,  SEM SUPORTE E SEM PLACA - FORNECIMENTO E INSTALAÇÃO. AF_12/2015</v>
          </cell>
          <cell r="C2739" t="str">
            <v>UN</v>
          </cell>
          <cell r="D2739">
            <v>36.090000000000003</v>
          </cell>
        </row>
        <row r="2740">
          <cell r="A2740">
            <v>92027</v>
          </cell>
          <cell r="B2740" t="str">
            <v>INTERRUPTOR SIMPLES (2 MÓDULOS) COM 1 TOMADA DE EMBUTIR 2P+T 10 A,  INCLUINDO SUPORTE E PLACA - FORNECIMENTO E INSTALAÇÃO. AF_12/2015</v>
          </cell>
          <cell r="C2740" t="str">
            <v>UN</v>
          </cell>
          <cell r="D2740">
            <v>41.27</v>
          </cell>
        </row>
        <row r="2741">
          <cell r="A2741">
            <v>92028</v>
          </cell>
          <cell r="B2741" t="str">
            <v>INTERRUPTOR PARALELO (1 MÓDULO) COM 1 TOMADA DE EMBUTIR 2P+T 10 A,  SEM SUPORTE E SEM PLACA - FORNECIMENTO E INSTALAÇÃO. AF_12/2015</v>
          </cell>
          <cell r="C2741" t="str">
            <v>UN</v>
          </cell>
          <cell r="D2741">
            <v>30.22</v>
          </cell>
        </row>
        <row r="2742">
          <cell r="A2742">
            <v>92029</v>
          </cell>
          <cell r="B2742" t="str">
            <v>INTERRUPTOR PARALELO (1 MÓDULO) COM 1 TOMADA DE EMBUTIR 2P+T 10 A,  INCLUINDO SUPORTE E PLACA - FORNECIMENTO E INSTALAÇÃO. AF_12/2015</v>
          </cell>
          <cell r="C2742" t="str">
            <v>UN</v>
          </cell>
          <cell r="D2742">
            <v>35.4</v>
          </cell>
        </row>
        <row r="2743">
          <cell r="A2743">
            <v>92030</v>
          </cell>
          <cell r="B2743" t="str">
            <v>INTERRUPTOR PARALELO (1 MÓDULO) COM 2 TOMADAS DE EMBUTIR 2P+T 10 A,  SEM SUPORTE E SEM PLACA - FORNECIMENTO E INSTALAÇÃO. AF_12/2015</v>
          </cell>
          <cell r="C2743" t="str">
            <v>UN</v>
          </cell>
          <cell r="D2743">
            <v>43.89</v>
          </cell>
        </row>
        <row r="2744">
          <cell r="A2744">
            <v>92031</v>
          </cell>
          <cell r="B2744" t="str">
            <v>INTERRUPTOR PARALELO (1 MÓDULO) COM 2 TOMADAS DE EMBUTIR 2P+T 10 A,  INCLUINDO SUPORTE E PLACA - FORNECIMENTO E INSTALAÇÃO. AF_12/2015</v>
          </cell>
          <cell r="C2744" t="str">
            <v>UN</v>
          </cell>
          <cell r="D2744">
            <v>49.07</v>
          </cell>
        </row>
        <row r="2745">
          <cell r="A2745">
            <v>92032</v>
          </cell>
          <cell r="B2745" t="str">
            <v>INTERRUPTOR PARALELO (2 MÓDULOS) COM 1 TOMADA DE EMBUTIR 2P+T 10 A,  SEM SUPORTE E SEM PLACA - FORNECIMENTO E INSTALAÇÃO. AF_12/2015</v>
          </cell>
          <cell r="C2745" t="str">
            <v>UN</v>
          </cell>
          <cell r="D2745">
            <v>44.56</v>
          </cell>
        </row>
        <row r="2746">
          <cell r="A2746">
            <v>92033</v>
          </cell>
          <cell r="B2746" t="str">
            <v>INTERRUPTOR PARALELO (2 MÓDULOS) COM 1 TOMADA DE EMBUTIR 2P+T 10 A,  INCLUINDO SUPORTE E PLACA - FORNECIMENTO E INSTALAÇÃO. AF_12/2015</v>
          </cell>
          <cell r="C2746" t="str">
            <v>UN</v>
          </cell>
          <cell r="D2746">
            <v>49.74</v>
          </cell>
        </row>
        <row r="2747">
          <cell r="A2747">
            <v>92034</v>
          </cell>
          <cell r="B2747" t="str">
            <v>INTERRUPTOR SIMPLES (1 MÓDULO), INTERRUPTOR PARALELO (1 MÓDULO) E 1 TOMADA DE EMBUTIR 2P+T 10 A,  SEM SUPORTE E SEM PLACA - FORNECIMENTO E INSTALAÇÃO. AF_12/2015</v>
          </cell>
          <cell r="C2747" t="str">
            <v>UN</v>
          </cell>
          <cell r="D2747">
            <v>40.340000000000003</v>
          </cell>
        </row>
        <row r="2748">
          <cell r="A2748">
            <v>92035</v>
          </cell>
          <cell r="B2748" t="str">
            <v>INTERRUPTOR SIMPLES (1 MÓDULO), INTERRUPTOR PARALELO (1 MÓDULO) E 1 TOMADA DE EMBUTIR 2P+T 10 A,  INCLUINDO SUPORTE E PLACA - FORNECIMENTO E INSTALAÇÃO. AF_12/2015</v>
          </cell>
          <cell r="C2748" t="str">
            <v>UN</v>
          </cell>
          <cell r="D2748">
            <v>45.52</v>
          </cell>
        </row>
        <row r="2749">
          <cell r="A2749">
            <v>72278</v>
          </cell>
          <cell r="B2749" t="str">
            <v>LAMPADA VAPOR METALICO 400W - FORNECIMENTO E INSTALACAO</v>
          </cell>
          <cell r="C2749" t="str">
            <v>UN</v>
          </cell>
          <cell r="D2749">
            <v>65.489999999999995</v>
          </cell>
        </row>
        <row r="2750">
          <cell r="A2750">
            <v>72280</v>
          </cell>
          <cell r="B2750" t="str">
            <v>IGNITOR PARA PARTIDA LÂMPADA VAPOR SÓDIO ALTA PRESSÃO ATÉ 400W</v>
          </cell>
          <cell r="C2750" t="str">
            <v>UN</v>
          </cell>
          <cell r="D2750">
            <v>41.46</v>
          </cell>
        </row>
        <row r="2751">
          <cell r="A2751">
            <v>97583</v>
          </cell>
          <cell r="B2751" t="str">
            <v>LUMINÁRIA TIPO CALHA, DE SOBREPOR, COM 1 LÂMPADA TUBULAR FLUORESCENTE DE 18 W, COM REATOR DE PARTIDA RÁPIDA - FORNECIMENTO E INSTALAÇÃO. AF_02/2020</v>
          </cell>
          <cell r="C2751" t="str">
            <v>UN</v>
          </cell>
          <cell r="D2751">
            <v>46.41</v>
          </cell>
        </row>
        <row r="2752">
          <cell r="A2752">
            <v>97584</v>
          </cell>
          <cell r="B2752" t="str">
            <v>LUMINÁRIA TIPO CALHA, DE SOBREPOR, COM 1 LÂMPADA TUBULAR FLUORESCENTE DE 36 W, COM REATOR DE PARTIDA RÁPIDA - FORNECIMENTO E INSTALAÇÃO. AF_02/2020</v>
          </cell>
          <cell r="C2752" t="str">
            <v>UN</v>
          </cell>
          <cell r="D2752">
            <v>63.79</v>
          </cell>
        </row>
        <row r="2753">
          <cell r="A2753">
            <v>97585</v>
          </cell>
          <cell r="B2753" t="str">
            <v>LUMINÁRIA TIPO CALHA, DE SOBREPOR, COM 2 LÂMPADAS TUBULARES FLUORESCENTES DE 18 W, COM REATOR DE PARTIDA RÁPIDA - FORNECIMENTO E INSTALAÇÃO. AF_02/2020</v>
          </cell>
          <cell r="C2753" t="str">
            <v>UN</v>
          </cell>
          <cell r="D2753">
            <v>61.87</v>
          </cell>
        </row>
        <row r="2754">
          <cell r="A2754">
            <v>97586</v>
          </cell>
          <cell r="B2754" t="str">
            <v>LUMINÁRIA TIPO CALHA, DE SOBREPOR, COM 2 LÂMPADAS TUBULARES FLUORESCENTES DE 36 W, COM REATOR DE PARTIDA RÁPIDA - FORNECIMENTO E INSTALAÇÃO. AF_02/2020</v>
          </cell>
          <cell r="C2754" t="str">
            <v>UN</v>
          </cell>
          <cell r="D2754">
            <v>82.86</v>
          </cell>
        </row>
        <row r="2755">
          <cell r="A2755">
            <v>97587</v>
          </cell>
          <cell r="B2755" t="str">
            <v>LUMINÁRIA TIPO CALHA, DE EMBUTIR, COM 2 LÂMPADAS FLUORESCENTES DE 14 W, COM REATOR DE PARTIDA RÁPIDA - FORNECIMENTO E INSTALAÇÃO. AF_02/2020</v>
          </cell>
          <cell r="C2755" t="str">
            <v>UN</v>
          </cell>
          <cell r="D2755">
            <v>148.03</v>
          </cell>
        </row>
        <row r="2756">
          <cell r="A2756">
            <v>97589</v>
          </cell>
          <cell r="B2756" t="str">
            <v>LUMINÁRIA TIPO PLAFON EM PLÁSTICO, DE SOBREPOR, COM 1 LÂMPADA FLUORESCENTE DE 15 W, SEM REATOR - FORNECIMENTO E INSTALAÇÃO. AF_02/2020</v>
          </cell>
          <cell r="C2756" t="str">
            <v>UN</v>
          </cell>
          <cell r="D2756">
            <v>26.4</v>
          </cell>
        </row>
        <row r="2757">
          <cell r="A2757">
            <v>97590</v>
          </cell>
          <cell r="B2757" t="str">
            <v>LUMINÁRIA TIPO PLAFON REDONDO COM VIDRO FOSCO, DE SOBREPOR, COM 1 LÂMPADA FLUORESCENTE DE 15 W, SEM REATOR - FORNECIMENTO E INSTALAÇÃO. AF_02/2020</v>
          </cell>
          <cell r="C2757" t="str">
            <v>UN</v>
          </cell>
          <cell r="D2757">
            <v>55.39</v>
          </cell>
        </row>
        <row r="2758">
          <cell r="A2758">
            <v>97591</v>
          </cell>
          <cell r="B2758" t="str">
            <v>LUMINÁRIA TIPO PLAFON REDONDO COM VIDRO FOSCO, DE SOBREPOR, COM 2 LÂMPADAS FLUORESCENTES DE 15 W, SEM REATOR - FORNECIMENTO E INSTALAÇÃO. AF_02/2020</v>
          </cell>
          <cell r="C2758" t="str">
            <v>UN</v>
          </cell>
          <cell r="D2758">
            <v>73.2</v>
          </cell>
        </row>
        <row r="2759">
          <cell r="A2759">
            <v>97592</v>
          </cell>
          <cell r="B2759" t="str">
            <v>LUMINÁRIA TIPO PLAFON, DE SOBREPOR, COM 1 LÂMPADA LED DE 12/13 W, SEM REATOR - FORNECIMENTO E INSTALAÇÃO. AF_02/2020</v>
          </cell>
          <cell r="C2759" t="str">
            <v>UN</v>
          </cell>
          <cell r="D2759">
            <v>30.57</v>
          </cell>
        </row>
        <row r="2760">
          <cell r="A2760">
            <v>97593</v>
          </cell>
          <cell r="B2760" t="str">
            <v>LUMINÁRIA TIPO SPOT, DE SOBREPOR, COM 1 LÂMPADA FLUORESCENTE DE 15 W, SEM REATOR - FORNECIMENTO E INSTALAÇÃO. AF_02/2020</v>
          </cell>
          <cell r="C2760" t="str">
            <v>UN</v>
          </cell>
          <cell r="D2760">
            <v>76.94</v>
          </cell>
        </row>
        <row r="2761">
          <cell r="A2761">
            <v>97594</v>
          </cell>
          <cell r="B2761" t="str">
            <v>LUMINÁRIA TIPO SPOT, DE SOBREPOR, COM 2 LÂMPADAS FLUORESCENTES DE 15 W, SEM REATOR - FORNECIMENTO E INSTALAÇÃO. AF_02/2020</v>
          </cell>
          <cell r="C2761" t="str">
            <v>UN</v>
          </cell>
          <cell r="D2761">
            <v>72.650000000000006</v>
          </cell>
        </row>
        <row r="2762">
          <cell r="A2762">
            <v>97595</v>
          </cell>
          <cell r="B2762" t="str">
            <v>SENSOR DE PRESENÇA COM FOTOCÉLULA, FIXAÇÃO EM PAREDE - FORNECIMENTO E INSTALAÇÃO. AF_02/2020</v>
          </cell>
          <cell r="C2762" t="str">
            <v>UN</v>
          </cell>
          <cell r="D2762">
            <v>56.34</v>
          </cell>
        </row>
        <row r="2763">
          <cell r="A2763">
            <v>97596</v>
          </cell>
          <cell r="B2763" t="str">
            <v>SENSOR DE PRESENÇA SEM FOTOCÉLULA, FIXAÇÃO EM PAREDE - FORNECIMENTO E INSTALAÇÃO. AF_02/2020</v>
          </cell>
          <cell r="C2763" t="str">
            <v>UN</v>
          </cell>
          <cell r="D2763">
            <v>40.68</v>
          </cell>
        </row>
        <row r="2764">
          <cell r="A2764">
            <v>97597</v>
          </cell>
          <cell r="B2764" t="str">
            <v>SENSOR DE PRESENÇA COM FOTOCÉLULA, FIXAÇÃO EM TETO - FORNECIMENTO E INSTALAÇÃO. AF_02/2020</v>
          </cell>
          <cell r="C2764" t="str">
            <v>UN</v>
          </cell>
          <cell r="D2764">
            <v>38.76</v>
          </cell>
        </row>
        <row r="2765">
          <cell r="A2765">
            <v>97598</v>
          </cell>
          <cell r="B2765" t="str">
            <v>SENSOR DE PRESENÇA SEM FOTOCÉLULA, FIXAÇÃO EM TETO - FORNECIMENTO E INSTALAÇÃO. AF_02/2020</v>
          </cell>
          <cell r="C2765" t="str">
            <v>UN</v>
          </cell>
          <cell r="D2765">
            <v>36.76</v>
          </cell>
        </row>
        <row r="2766">
          <cell r="A2766">
            <v>97599</v>
          </cell>
          <cell r="B2766" t="str">
            <v>LUMINÁRIA DE EMERGÊNCIA, COM 30 LÂMPADAS LED DE 2 W, SEM REATOR - FORNECIMENTO E INSTALAÇÃO. AF_02/2020</v>
          </cell>
          <cell r="C2766" t="str">
            <v>UN</v>
          </cell>
          <cell r="D2766">
            <v>22.42</v>
          </cell>
        </row>
        <row r="2767">
          <cell r="A2767">
            <v>97609</v>
          </cell>
          <cell r="B2767" t="str">
            <v>LÂMPADA COMPACTA DE LED 6 W, BASE E27 - FORNECIMENTO E INSTALAÇÃO. AF_02/2020</v>
          </cell>
          <cell r="C2767" t="str">
            <v>UN</v>
          </cell>
          <cell r="D2767">
            <v>13.19</v>
          </cell>
        </row>
        <row r="2768">
          <cell r="A2768">
            <v>97610</v>
          </cell>
          <cell r="B2768" t="str">
            <v>LÂMPADA COMPACTA DE LED 10 W, BASE E27 - FORNECIMENTO E INSTALAÇÃO. AF_02/2020</v>
          </cell>
          <cell r="C2768" t="str">
            <v>UN</v>
          </cell>
          <cell r="D2768">
            <v>14.11</v>
          </cell>
        </row>
        <row r="2769">
          <cell r="A2769">
            <v>97611</v>
          </cell>
          <cell r="B2769" t="str">
            <v>LÂMPADA COMPACTA FLUORESCENTE DE 15 W, BASE E27 - FORNECIMENTO E INSTALAÇÃO. AF_02/2020</v>
          </cell>
          <cell r="C2769" t="str">
            <v>UN</v>
          </cell>
          <cell r="D2769">
            <v>15.57</v>
          </cell>
        </row>
        <row r="2770">
          <cell r="A2770">
            <v>97612</v>
          </cell>
          <cell r="B2770" t="str">
            <v>LÂMPADA COMPACTA FLUORESCENTE DE 20 W, BASE E27 - FORNECIMENTO E INSTALAÇÃO. AF_02/2020</v>
          </cell>
          <cell r="C2770" t="str">
            <v>UN</v>
          </cell>
          <cell r="D2770">
            <v>16.760000000000002</v>
          </cell>
        </row>
        <row r="2771">
          <cell r="A2771">
            <v>97613</v>
          </cell>
          <cell r="B2771" t="str">
            <v>LÂMPADA COMPACTA DE VAPOR MERCURIO 125 W, BASE E27 - FORNECIMENTO E INSTALAÇÃO. AF_02/2020</v>
          </cell>
          <cell r="C2771" t="str">
            <v>UN</v>
          </cell>
          <cell r="D2771">
            <v>20.72</v>
          </cell>
        </row>
        <row r="2772">
          <cell r="A2772">
            <v>97614</v>
          </cell>
          <cell r="B2772" t="str">
            <v>LÂMPADA COMPACTA DE VAPOR METÁLICO OVOIDE 150 W, BASE E27 - FORNECIMENTO E INSTALAÇÃO. AF_02/2020</v>
          </cell>
          <cell r="C2772" t="str">
            <v>UN</v>
          </cell>
          <cell r="D2772">
            <v>35.020000000000003</v>
          </cell>
        </row>
        <row r="2773">
          <cell r="A2773">
            <v>97615</v>
          </cell>
          <cell r="B2773" t="str">
            <v>LÂMPADA TUBULAR FLUORESCENTE T8 DE 16/18 W, BASE G13 - FORNECIMENTO E INSTALAÇÃO. AF_02/2020_P</v>
          </cell>
          <cell r="C2773" t="str">
            <v>UN</v>
          </cell>
          <cell r="D2773">
            <v>32.06</v>
          </cell>
        </row>
        <row r="2774">
          <cell r="A2774">
            <v>97616</v>
          </cell>
          <cell r="B2774" t="str">
            <v>LÂMPADA TUBULAR FLUORESCENTE T8 DE 32/36 W, BASE G13 - FORNECIMENTO E INSTALAÇÃO. AF_02/2020_P</v>
          </cell>
          <cell r="C2774" t="str">
            <v>UN</v>
          </cell>
          <cell r="D2774">
            <v>36.11</v>
          </cell>
        </row>
        <row r="2775">
          <cell r="A2775">
            <v>97617</v>
          </cell>
          <cell r="B2775" t="str">
            <v>LÂMPADA TUBULAR FLUORESCENTE T10 DE 20/40 W, BASE G13 - FORNECIMENTO E INSTALAÇÃO. AF_02/2020_P</v>
          </cell>
          <cell r="C2775" t="str">
            <v>UN</v>
          </cell>
          <cell r="D2775">
            <v>35.93</v>
          </cell>
        </row>
        <row r="2776">
          <cell r="A2776">
            <v>97618</v>
          </cell>
          <cell r="B2776" t="str">
            <v>LÂMPADA TUBULAR FLUORESCENTE T5 DE 14 W, BASE G13 - FORNECIMENTO E INSTALAÇÃO. AF_02/2020_P</v>
          </cell>
          <cell r="C2776" t="str">
            <v>UN</v>
          </cell>
          <cell r="D2776">
            <v>33.729999999999997</v>
          </cell>
        </row>
        <row r="2777">
          <cell r="A2777">
            <v>100902</v>
          </cell>
          <cell r="B2777" t="str">
            <v>LÂMPADA TUBULAR LED DE 9/10 W, BASE G13 - FORNECIMENTO E INSTALAÇÃO. AF_02/2020_P</v>
          </cell>
          <cell r="C2777" t="str">
            <v>UN</v>
          </cell>
          <cell r="D2777">
            <v>21.33</v>
          </cell>
        </row>
        <row r="2778">
          <cell r="A2778">
            <v>100903</v>
          </cell>
          <cell r="B2778" t="str">
            <v>LÂMPADA TUBULAR LED DE 18/20 W, BASE G13 - FORNECIMENTO E INSTALAÇÃO. AF_02/2020_P</v>
          </cell>
          <cell r="C2778" t="str">
            <v>UN</v>
          </cell>
          <cell r="D2778">
            <v>25.39</v>
          </cell>
        </row>
        <row r="2779">
          <cell r="A2779">
            <v>100904</v>
          </cell>
          <cell r="B2779" t="str">
            <v>LUMINÁRIA TIPO CALHA, DE SOBREPOR, COM 1 LÂMPADA TUBULAR FLUORESCENTE DE 20 W, COM REATOR DE PARTIDA CONVENCIONAL - FORNECIMENTO E INSTALAÇÃO. AF_02/2020</v>
          </cell>
          <cell r="C2779" t="str">
            <v>UN</v>
          </cell>
          <cell r="D2779">
            <v>46.41</v>
          </cell>
        </row>
        <row r="2780">
          <cell r="A2780">
            <v>100905</v>
          </cell>
          <cell r="B2780" t="str">
            <v>LUMINÁRIA DUPLA TIPO CALHA, DE SOBREPOR, COM 4 LÂMPADAS TUBULARES FLUORESCENTES DE 18 W,COM REATORES DE PARTIDA RÁPIDA - FORNECIMENTO E INSTALAÇÃO. AF_02/2020</v>
          </cell>
          <cell r="C2780" t="str">
            <v>UN</v>
          </cell>
          <cell r="D2780">
            <v>123.74</v>
          </cell>
        </row>
        <row r="2781">
          <cell r="A2781">
            <v>100906</v>
          </cell>
          <cell r="B2781" t="str">
            <v>LUMINÁRIA DUPLA TIPO CALHA, DE SOBREPOR, COM 4 LÂMPADAS TUBULARES FLUORESCENTES DE 36 W, COM REATORES DE PARTIDA RÁPIDA -FORNECIMENTO E INSTALAÇÃO. AF_02/2020</v>
          </cell>
          <cell r="C2781" t="str">
            <v>UN</v>
          </cell>
          <cell r="D2781">
            <v>165.72</v>
          </cell>
        </row>
        <row r="2782">
          <cell r="A2782">
            <v>100919</v>
          </cell>
          <cell r="B2782" t="str">
            <v>LÂMPADA FLUORESCENTE ESPIRAL BRANCA 45 W, BASE E27 - FORNECIMENTO E INSTALAÇÃO. AF_02/2020</v>
          </cell>
          <cell r="C2782" t="str">
            <v>UN</v>
          </cell>
          <cell r="D2782">
            <v>39.69</v>
          </cell>
        </row>
        <row r="2783">
          <cell r="A2783">
            <v>100920</v>
          </cell>
          <cell r="B2783" t="str">
            <v>LÂMPADA FLUORESCENTE ESPIRAL BRANCA 65 W, BASE E27 - FORNECIMENTO E INSTALAÇÃO. AF_02/2020</v>
          </cell>
          <cell r="C2783" t="str">
            <v>UN</v>
          </cell>
          <cell r="D2783">
            <v>66.05</v>
          </cell>
        </row>
        <row r="2784">
          <cell r="A2784">
            <v>100921</v>
          </cell>
          <cell r="B2784" t="str">
            <v>REATOR DE PARTIDA RÁPIDA PARA LÂMPADA FLUORESCENTE 2X40W - FORNECIMENTO E INSTALAÇÃO. AF_02/2020</v>
          </cell>
          <cell r="C2784" t="str">
            <v>UN</v>
          </cell>
          <cell r="D2784">
            <v>39.08</v>
          </cell>
        </row>
        <row r="2785">
          <cell r="A2785">
            <v>100922</v>
          </cell>
          <cell r="B2785" t="str">
            <v>REATOR DE PARTIDA RÁPIDA PARA LÂMPADA FLUORESCENTE 1X20W - FORNECIMENTO E INSTALAÇÃO. AF_02/2020</v>
          </cell>
          <cell r="C2785" t="str">
            <v>UN</v>
          </cell>
          <cell r="D2785">
            <v>27.89</v>
          </cell>
        </row>
        <row r="2786">
          <cell r="A2786">
            <v>100923</v>
          </cell>
          <cell r="B2786" t="str">
            <v>REATOR DE PARTIDA RÁPIDA PARA LÂMPADA FLUORESCENTE 1X40W - FORNECIMENTO E INSTALAÇÃO. AF_02/2020</v>
          </cell>
          <cell r="C2786" t="str">
            <v>UN</v>
          </cell>
          <cell r="D2786">
            <v>31.64</v>
          </cell>
        </row>
        <row r="2787">
          <cell r="A2787">
            <v>73624</v>
          </cell>
          <cell r="B2787" t="str">
            <v>SUPORTE PARA TRANSFORMADOR EM POSTE DE CONCRETO CIRCULAR</v>
          </cell>
          <cell r="C2787" t="str">
            <v>UN</v>
          </cell>
          <cell r="D2787">
            <v>78.73</v>
          </cell>
        </row>
        <row r="2788">
          <cell r="A2788">
            <v>101489</v>
          </cell>
          <cell r="B2788" t="str">
            <v>ENTRADA DE ENERGIA ELÉTRICA, AÉREA, MONOFÁSICA, COM CAIXA DE SOBREPOR, CABO DE 10 MM2 E DISJUNTOR DIN 50A (NÃO INCLUSO O POSTE DE CONCRETO). AF_07/2020_P</v>
          </cell>
          <cell r="C2788" t="str">
            <v>UN</v>
          </cell>
          <cell r="D2788">
            <v>886.18</v>
          </cell>
        </row>
        <row r="2789">
          <cell r="A2789">
            <v>101490</v>
          </cell>
          <cell r="B2789" t="str">
            <v>ENTRADA DE ENERGIA ELÉTRICA, AÉREA, MONOFÁSICA, COM CAIXA DE SOBREPOR, CABO DE 16 MM2 E DISJUNTOR DIN 50A (NÃO INCLUSO O POSTE DE CONCRETO). AF_07/2020_P</v>
          </cell>
          <cell r="C2789" t="str">
            <v>UN</v>
          </cell>
          <cell r="D2789">
            <v>948.88</v>
          </cell>
        </row>
        <row r="2790">
          <cell r="A2790">
            <v>101491</v>
          </cell>
          <cell r="B2790" t="str">
            <v>ENTRADA DE ENERGIA ELÉTRICA, AÉREA, MONOFÁSICA, COM CAIXA DE SOBREPOR, CABO DE 25 MM2 E DISJUNTOR DIN 50A (NÃO INCLUSO O POSTE DE CONCRETO). AF_07/2020_P</v>
          </cell>
          <cell r="C2790" t="str">
            <v>UN</v>
          </cell>
          <cell r="D2790">
            <v>969.12</v>
          </cell>
        </row>
        <row r="2791">
          <cell r="A2791">
            <v>101492</v>
          </cell>
          <cell r="B2791" t="str">
            <v>ENTRADA DE ENERGIA ELÉTRICA, AÉREA, MONOFÁSICA, COM CAIXA DE SOBREPOR, CABO DE 35 MM2 E DISJUNTOR DIN 50A (NÃO INCLUSO O POSTE DE CONCRETO). AF_07/2020_P</v>
          </cell>
          <cell r="C2791" t="str">
            <v>UN</v>
          </cell>
          <cell r="D2791">
            <v>1058.8499999999999</v>
          </cell>
        </row>
        <row r="2792">
          <cell r="A2792">
            <v>101493</v>
          </cell>
          <cell r="B2792" t="str">
            <v>ENTRADA DE ENERGIA ELÉTRICA, AÉREA, MONOFÁSICA, COM CAIXA DE EMBUTIR, CABO DE 10 MM2 E DISJUNTOR DIN 50A (NÃO INCLUSO O POSTE DE CONCRETO). AF_07/2020_P</v>
          </cell>
          <cell r="C2792" t="str">
            <v>UN</v>
          </cell>
          <cell r="D2792">
            <v>874.35</v>
          </cell>
        </row>
        <row r="2793">
          <cell r="A2793">
            <v>101494</v>
          </cell>
          <cell r="B2793" t="str">
            <v>ENTRADA DE ENERGIA ELÉTRICA, AÉREA, MONOFÁSICA, COM CAIXA DE EMBUTIR, CABO DE 16 MM2 E DISJUNTOR DIN 50A (NÃO INCLUSO O POSTE DE CONCRETO). AF_07/2020_P</v>
          </cell>
          <cell r="C2793" t="str">
            <v>UN</v>
          </cell>
          <cell r="D2793">
            <v>937.05</v>
          </cell>
        </row>
        <row r="2794">
          <cell r="A2794">
            <v>101495</v>
          </cell>
          <cell r="B2794" t="str">
            <v>ENTRADA DE ENERGIA ELÉTRICA, AÉREA, MONOFÁSICA, COM CAIXA DE EMBUTIR, CABO DE 25 MM2 E DISJUNTOR DIN 50A (NÃO INCLUSO O POSTE DE CONCRETO). AF_07/2020_P</v>
          </cell>
          <cell r="C2794" t="str">
            <v>UN</v>
          </cell>
          <cell r="D2794">
            <v>957.29</v>
          </cell>
        </row>
        <row r="2795">
          <cell r="A2795">
            <v>101496</v>
          </cell>
          <cell r="B2795" t="str">
            <v>ENTRADA DE ENERGIA ELÉTRICA, AÉREA, MONOFÁSICA, COM CAIXA DE EMBUTIR, CABO DE 35 MM2 E DISJUNTOR DIN 50A (NÃO INCLUSO O POSTE DE CONCRETO). AF_07/2020_P</v>
          </cell>
          <cell r="C2795" t="str">
            <v>UN</v>
          </cell>
          <cell r="D2795">
            <v>1047.02</v>
          </cell>
        </row>
        <row r="2796">
          <cell r="A2796">
            <v>101497</v>
          </cell>
          <cell r="B2796" t="str">
            <v>ENTRADA DE ENERGIA ELÉTRICA, AÉREA, BIFÁSICA, COM CAIXA DE SOBREPOR, CABO DE 10 MM2 E DISJUNTOR DIN 50A (NÃO INCLUSO O POSTE DE CONCRETO). AF_07/2020_P</v>
          </cell>
          <cell r="C2796" t="str">
            <v>UN</v>
          </cell>
          <cell r="D2796">
            <v>1069.0899999999999</v>
          </cell>
        </row>
        <row r="2797">
          <cell r="A2797">
            <v>101498</v>
          </cell>
          <cell r="B2797" t="str">
            <v>ENTRADA DE ENERGIA ELÉTRICA, AÉREA, BIFÁSICA, COM CAIXA DE SOBREPOR, CABO DE 16 MM2 E DISJUNTOR DIN 50A (NÃO INCLUSO O POSTE DE CONCRETO). AF_07/2020_P</v>
          </cell>
          <cell r="C2797" t="str">
            <v>UN</v>
          </cell>
          <cell r="D2797">
            <v>1163.99</v>
          </cell>
        </row>
        <row r="2798">
          <cell r="A2798">
            <v>101499</v>
          </cell>
          <cell r="B2798" t="str">
            <v>ENTRADA DE ENERGIA ELÉTRICA, AÉREA, BIFÁSICA, COM CAIXA DE SOBREPOR, CABO DE 25 MM2 E DISJUNTOR DIN 50A (NÃO INCLUSO O POSTE DE CONCRETO). AF_07/2020_P</v>
          </cell>
          <cell r="C2798" t="str">
            <v>UN</v>
          </cell>
          <cell r="D2798">
            <v>1194.6300000000001</v>
          </cell>
        </row>
        <row r="2799">
          <cell r="A2799">
            <v>101500</v>
          </cell>
          <cell r="B2799" t="str">
            <v>ENTRADA DE ENERGIA ELÉTRICA, AÉREA, BIFÁSICA, COM CAIXA DE SOBREPOR, CABO DE 35 MM2 E DISJUNTOR DIN 50A (NÃO INCLUSO O POSTE DE CONCRETO). AF_07/2020_P</v>
          </cell>
          <cell r="C2799" t="str">
            <v>UN</v>
          </cell>
          <cell r="D2799">
            <v>1320.63</v>
          </cell>
        </row>
        <row r="2800">
          <cell r="A2800">
            <v>101501</v>
          </cell>
          <cell r="B2800" t="str">
            <v>ENTRADA DE ENERGIA ELÉTRICA, AÉREA, BIFÁSICA, COM CAIXA DE EMBUTIR, CABO DE 10 MM2 E DISJUNTOR DIN 50A (NÃO INCLUSO O POSTE DE CONCRETO). AF_07/2020_P</v>
          </cell>
          <cell r="C2800" t="str">
            <v>UN</v>
          </cell>
          <cell r="D2800">
            <v>1062.5999999999999</v>
          </cell>
        </row>
        <row r="2801">
          <cell r="A2801">
            <v>101502</v>
          </cell>
          <cell r="B2801" t="str">
            <v>ENTRADA DE ENERGIA ELÉTRICA, AÉREA, BIFÁSICA, COM CAIXA DE EMBUTIR, CABO DE 16 MM2 E DISJUNTOR DIN 50A (NÃO INCLUSO O POSTE DE CONCRETO). AF_07/2020_P</v>
          </cell>
          <cell r="C2801" t="str">
            <v>UN</v>
          </cell>
          <cell r="D2801">
            <v>1157.5</v>
          </cell>
        </row>
        <row r="2802">
          <cell r="A2802">
            <v>101503</v>
          </cell>
          <cell r="B2802" t="str">
            <v>ENTRADA DE ENERGIA ELÉTRICA, AÉREA, BIFÁSICA, COM CAIXA DE EMBUTIR, CABO DE 25 MM2 E DISJUNTOR DIN 50A (NÃO INCLUSO O POSTE DE CONCRETO). AF_07/2020_P</v>
          </cell>
          <cell r="C2802" t="str">
            <v>UN</v>
          </cell>
          <cell r="D2802">
            <v>1188.1400000000001</v>
          </cell>
        </row>
        <row r="2803">
          <cell r="A2803">
            <v>101504</v>
          </cell>
          <cell r="B2803" t="str">
            <v>ENTRADA DE ENERGIA ELÉTRICA, AÉREA, BIFÁSICA, COM CAIXA DE EMBUTIR, CABO DE 35 MM2 E DISJUNTOR DIN 50A (NÃO INCLUSO O POSTE DE CONCRETO). AF_07/2020_P</v>
          </cell>
          <cell r="C2803" t="str">
            <v>UN</v>
          </cell>
          <cell r="D2803">
            <v>1314.14</v>
          </cell>
        </row>
        <row r="2804">
          <cell r="A2804">
            <v>101505</v>
          </cell>
          <cell r="B2804" t="str">
            <v>ENTRADA DE ENERGIA ELÉTRICA, AÉREA, TRIFÁSICA, COM CAIXA DE SOBREPOR, CABO DE 10 MM2 E DISJUNTOR DIN 50A (NÃO INCLUSO O POSTE DE CONCRETO). AF_07/2020_P</v>
          </cell>
          <cell r="C2804" t="str">
            <v>UN</v>
          </cell>
          <cell r="D2804">
            <v>1148.57</v>
          </cell>
        </row>
        <row r="2805">
          <cell r="A2805">
            <v>101506</v>
          </cell>
          <cell r="B2805" t="str">
            <v>ENTRADA DE ENERGIA ELÉTRICA, AÉREA, TRIFÁSICA, COM CAIXA DE SOBREPOR, CABO DE 16 MM2 E DISJUNTOR DIN 50A (NÃO INCLUSO O POSTE DE CONCRETO). AF_07/2020_P</v>
          </cell>
          <cell r="C2805" t="str">
            <v>UN</v>
          </cell>
          <cell r="D2805">
            <v>1275.1099999999999</v>
          </cell>
        </row>
        <row r="2806">
          <cell r="A2806">
            <v>101507</v>
          </cell>
          <cell r="B2806" t="str">
            <v>ENTRADA DE ENERGIA ELÉTRICA, AÉREA, TRIFÁSICA, COM CAIXA DE SOBREPOR, CABO DE 25 MM2 E DISJUNTOR DIN 50A (NÃO INCLUSO O POSTE DE CONCRETO). AF_07/2020_P</v>
          </cell>
          <cell r="C2806" t="str">
            <v>UN</v>
          </cell>
          <cell r="D2806">
            <v>1315.96</v>
          </cell>
        </row>
        <row r="2807">
          <cell r="A2807">
            <v>101508</v>
          </cell>
          <cell r="B2807" t="str">
            <v>ENTRADA DE ENERGIA ELÉTRICA, AÉREA, TRIFÁSICA, COM CAIXA DE SOBREPOR, CABO DE 35 MM2 E DISJUNTOR DIN 50A (NÃO INCLUSO O POSTE DE CONCRETO). AF_07/2020_P</v>
          </cell>
          <cell r="C2807" t="str">
            <v>UN</v>
          </cell>
          <cell r="D2807">
            <v>1477.59</v>
          </cell>
        </row>
        <row r="2808">
          <cell r="A2808">
            <v>101509</v>
          </cell>
          <cell r="B2808" t="str">
            <v>ENTRADA DE ENERGIA ELÉTRICA, AÉREA, TRIFÁSICA, COM CAIXA DE EMBUTIR, CABO DE 10 MM2 E DISJUNTOR DIN 50A (NÃO INCLUSO O POSTE DE CONCRETO). AF_07/2020</v>
          </cell>
          <cell r="C2808" t="str">
            <v>UN</v>
          </cell>
          <cell r="D2808">
            <v>1221.27</v>
          </cell>
        </row>
        <row r="2809">
          <cell r="A2809">
            <v>101510</v>
          </cell>
          <cell r="B2809" t="str">
            <v>ENTRADA DE ENERGIA ELÉTRICA, AÉREA, TRIFÁSICA, COM CAIXA DE EMBUTIR, CABO DE 16 MM2 E DISJUNTOR DIN 50A (NÃO INCLUSO O POSTE DE CONCRETO). AF_07/2020</v>
          </cell>
          <cell r="C2809" t="str">
            <v>UN</v>
          </cell>
          <cell r="D2809">
            <v>1347.81</v>
          </cell>
        </row>
        <row r="2810">
          <cell r="A2810">
            <v>101511</v>
          </cell>
          <cell r="B2810" t="str">
            <v>ENTRADA DE ENERGIA ELÉTRICA, AÉREA, TRIFÁSICA, COM CAIXA DE EMBUTIR, CABO DE 25 MM2 E DISJUNTOR DIN 50A (NÃO INCLUSO O POSTE DE CONCRETO). AF_07/2020</v>
          </cell>
          <cell r="C2810" t="str">
            <v>UN</v>
          </cell>
          <cell r="D2810">
            <v>1388.66</v>
          </cell>
        </row>
        <row r="2811">
          <cell r="A2811">
            <v>101512</v>
          </cell>
          <cell r="B2811" t="str">
            <v>ENTRADA DE ENERGIA ELÉTRICA, AÉREA, TRIFÁSICA, COM CAIXA DE EMBUTIR, CABO DE 35 MM2 E DISJUNTOR DIN 50A (NÃO INCLUSO O POSTE DE CONCRETO). AF_07/2020</v>
          </cell>
          <cell r="C2811" t="str">
            <v>UN</v>
          </cell>
          <cell r="D2811">
            <v>1550.29</v>
          </cell>
        </row>
        <row r="2812">
          <cell r="A2812">
            <v>101513</v>
          </cell>
          <cell r="B2812" t="str">
            <v>ENTRADA DE ENERGIA ELÉTRICA, SUBTERRÂNEA, MONOFÁSICA, COM CAIXA DE SOBREPOR, CABO DE 10 MM2 E DISJUNTOR DIN 50A (NÃO INCLUSA MURETA DE ALVENARIA). AF_07/2020_P</v>
          </cell>
          <cell r="C2812" t="str">
            <v>UN</v>
          </cell>
          <cell r="D2812">
            <v>504.47</v>
          </cell>
        </row>
        <row r="2813">
          <cell r="A2813">
            <v>101514</v>
          </cell>
          <cell r="B2813" t="str">
            <v>ENTRADA DE ENERGIA ELÉTRICA, SUBTERRÂNEA, MONOFÁSICA, COM CAIXA DE SOBREPOR, CABO DE 16 MM2 E DISJUNTOR DIN 50A (NÃO INCLUSA MURETA DE ALVENARIA). AF_07/2020_P</v>
          </cell>
          <cell r="C2813" t="str">
            <v>UN</v>
          </cell>
          <cell r="D2813">
            <v>579.71</v>
          </cell>
        </row>
        <row r="2814">
          <cell r="A2814">
            <v>101515</v>
          </cell>
          <cell r="B2814" t="str">
            <v>ENTRADA DE ENERGIA ELÉTRICA, SUBTERRÂNEA, MONOFÁSICA, COM CAIXA DE SOBREPOR, CABO DE 25 MM2 E DISJUNTOR DIN 50A (NÃO INCLUSA MURETA DE ALVENARIA). AF_07/2020_P</v>
          </cell>
          <cell r="C2814" t="str">
            <v>UN</v>
          </cell>
          <cell r="D2814">
            <v>604</v>
          </cell>
        </row>
        <row r="2815">
          <cell r="A2815">
            <v>101516</v>
          </cell>
          <cell r="B2815" t="str">
            <v>ENTRADA DE ENERGIA ELÉTRICA, SUBTERRÂNEA, MONOFÁSICA, COM CAIXA DE SOBREPOR, CABO DE 35 MM2 E DISJUNTOR DIN 50A (NÃO INCLUSA MURETA DE ALVENARIA). AF_07/2020_P</v>
          </cell>
          <cell r="C2815" t="str">
            <v>UN</v>
          </cell>
          <cell r="D2815">
            <v>688.74</v>
          </cell>
        </row>
        <row r="2816">
          <cell r="A2816">
            <v>101517</v>
          </cell>
          <cell r="B2816" t="str">
            <v>ENTRADA DE ENERGIA ELÉTRICA, SUBTERRÂNEA, MONOFÁSICA, COM CAIXA DE EMBUTIR, CABO DE 10 MM2 E DISJUNTOR DIN 50A (NÃO INCLUSA MURETA DE ALVENARIA). AF_07/2020_P</v>
          </cell>
          <cell r="C2816" t="str">
            <v>UN</v>
          </cell>
          <cell r="D2816">
            <v>492.66</v>
          </cell>
        </row>
        <row r="2817">
          <cell r="A2817">
            <v>101518</v>
          </cell>
          <cell r="B2817" t="str">
            <v>ENTRADA DE ENERGIA ELÉTRICA, SUBTERRÂNEA, MONOFÁSICA, COM CAIXA DE EMBUTIR, CABO DE 16 MM2 E DISJUNTOR DIN 50A (NÃO INCLUSA MURETA DE ALVENARIA). AF_07/2020_P</v>
          </cell>
          <cell r="C2817" t="str">
            <v>UN</v>
          </cell>
          <cell r="D2817">
            <v>567.9</v>
          </cell>
        </row>
        <row r="2818">
          <cell r="A2818">
            <v>101519</v>
          </cell>
          <cell r="B2818" t="str">
            <v>ENTRADA DE ENERGIA ELÉTRICA, SUBTERRÂNEA, MONOFÁSICA, COM CAIXA DE EMBUTIR, CABO DE 25 MM2 E DISJUNTOR DIN 50A (NÃO INCLUSA MURETA DE ALVENARIA). AF_07/2020_P</v>
          </cell>
          <cell r="C2818" t="str">
            <v>UN</v>
          </cell>
          <cell r="D2818">
            <v>592.19000000000005</v>
          </cell>
        </row>
        <row r="2819">
          <cell r="A2819">
            <v>101520</v>
          </cell>
          <cell r="B2819" t="str">
            <v>ENTRADA DE ENERGIA ELÉTRICA, SUBTERRÂNEA, MONOFÁSICA, COM CAIXA DE EMBUTIR, CABO DE 35 MM2 E DISJUNTOR DIN 50A (NÃO INCLUSA MURETA DE ALVENARIA). AF_07/2020_P</v>
          </cell>
          <cell r="C2819" t="str">
            <v>UN</v>
          </cell>
          <cell r="D2819">
            <v>676.93</v>
          </cell>
        </row>
        <row r="2820">
          <cell r="A2820">
            <v>101521</v>
          </cell>
          <cell r="B2820" t="str">
            <v>ENTRADA DE ENERGIA ELÉTRICA, SUBTERRÂNEA, BIFÁSICA, COM CAIXA DE SOBREPOR, CABO DE 10 MM2 E DISJUNTOR DIN 50A (NÃO INCLUSA MURETA DE ALVENARIA). AF_07/2020_P</v>
          </cell>
          <cell r="C2820" t="str">
            <v>UN</v>
          </cell>
          <cell r="D2820">
            <v>697.74</v>
          </cell>
        </row>
        <row r="2821">
          <cell r="A2821">
            <v>101522</v>
          </cell>
          <cell r="B2821" t="str">
            <v>ENTRADA DE ENERGIA ELÉTRICA, SUBTERRÂNEA, BIFÁSICA, COM CAIXA DE SOBREPOR, CABO DE 16 MM2 E DISJUNTOR DIN 50A (NÃO INCLUSA MURETA DE ALVENARIA). AF_07/2020_P</v>
          </cell>
          <cell r="C2821" t="str">
            <v>UN</v>
          </cell>
          <cell r="D2821">
            <v>810.6</v>
          </cell>
        </row>
        <row r="2822">
          <cell r="A2822">
            <v>101523</v>
          </cell>
          <cell r="B2822" t="str">
            <v>ENTRADA DE ENERGIA ELÉTRICA, SUBTERRÂNEA, BIFÁSICA, COM CAIXA DE SOBREPOR, CABO DE 25 MM2 E DISJUNTOR DIN 50A (NÃO INCLUSA MURETA DE ALVENARIA). AF_07/2020_P</v>
          </cell>
          <cell r="C2822" t="str">
            <v>UN</v>
          </cell>
          <cell r="D2822">
            <v>847.04</v>
          </cell>
        </row>
        <row r="2823">
          <cell r="A2823">
            <v>101524</v>
          </cell>
          <cell r="B2823" t="str">
            <v>ENTRADA DE ENERGIA ELÉTRICA, SUBTERRÂNEA, BIFÁSICA, COM CAIXA DE SOBREPOR, CABO DE 35 MM2 E DISJUNTOR DIN 50A (NÃO INCLUSA MURETA DE ALVENARIA). AF_07/2020_P</v>
          </cell>
          <cell r="C2823" t="str">
            <v>UN</v>
          </cell>
          <cell r="D2823">
            <v>974.15</v>
          </cell>
        </row>
        <row r="2824">
          <cell r="A2824">
            <v>101525</v>
          </cell>
          <cell r="B2824" t="str">
            <v>ENTRADA DE ENERGIA ELÉTRICA, SUBTERRÂNEA, BIFÁSICA, COM CAIXA DE EMBUTIR, CABO DE 10 MM2 E DISJUNTOR DIN 50A (NÃO INCLUSA MURETA DE ALVENARIA). AF_07/2020_P</v>
          </cell>
          <cell r="C2824" t="str">
            <v>UN</v>
          </cell>
          <cell r="D2824">
            <v>691.26</v>
          </cell>
        </row>
        <row r="2825">
          <cell r="A2825">
            <v>101526</v>
          </cell>
          <cell r="B2825" t="str">
            <v>ENTRADA DE ENERGIA ELÉTRICA, SUBTERRÂNEA, BIFÁSICA, COM CAIXA DE EMBUTIR, CABO DE 16 MM2 E DISJUNTOR DIN 50A (NÃO INCLUSA MURETA DE ALVENARIA). AF_07/2020_P</v>
          </cell>
          <cell r="C2825" t="str">
            <v>UN</v>
          </cell>
          <cell r="D2825">
            <v>804.12</v>
          </cell>
        </row>
        <row r="2826">
          <cell r="A2826">
            <v>101527</v>
          </cell>
          <cell r="B2826" t="str">
            <v>ENTRADA DE ENERGIA ELÉTRICA, SUBTERRÂNEA, BIFÁSICA, COM CAIXA DE EMBUTIR, CABO DE 25 MM2 E DISJUNTOR DIN 50A (NÃO INCLUSA MURETA DE ALVENARIA). AF_07/2020_P</v>
          </cell>
          <cell r="C2826" t="str">
            <v>UN</v>
          </cell>
          <cell r="D2826">
            <v>840.56</v>
          </cell>
        </row>
        <row r="2827">
          <cell r="A2827">
            <v>101528</v>
          </cell>
          <cell r="B2827" t="str">
            <v>ENTRADA DE ENERGIA ELÉTRICA, SUBTERRÂNEA, BIFÁSICA, COM CAIXA DE EMBUTIR, CABO DE 35 MM2 E DISJUNTOR DIN 50A (NÃO INCLUSA MURETA DE ALVENARIA). AF_07/2020_P</v>
          </cell>
          <cell r="C2827" t="str">
            <v>UN</v>
          </cell>
          <cell r="D2827">
            <v>967.67</v>
          </cell>
        </row>
        <row r="2828">
          <cell r="A2828">
            <v>101529</v>
          </cell>
          <cell r="B2828" t="str">
            <v>ENTRADA DE ENERGIA ELÉTRICA, SUBTERRÂNEA, TRIFÁSICA, COM CAIXA DE SOBREPOR, CABO DE 10 MM2 E DISJUNTOR DIN 50A (NÃO INCLUSA MURETA DE ALVENARIA). AF_07/2020_P</v>
          </cell>
          <cell r="C2828" t="str">
            <v>UN</v>
          </cell>
          <cell r="D2828">
            <v>788.68</v>
          </cell>
        </row>
        <row r="2829">
          <cell r="A2829">
            <v>101530</v>
          </cell>
          <cell r="B2829" t="str">
            <v>ENTRADA DE ENERGIA ELÉTRICA, SUBTERRÂNEA, TRIFÁSICA, COM CAIXA DE SOBREPOR, CABO DE 16 MM2 E DISJUNTOR DIN 50A (NÃO INCLUSA MURETA DE ALVENARIA). AF_07/2020_P</v>
          </cell>
          <cell r="C2829" t="str">
            <v>UN</v>
          </cell>
          <cell r="D2829">
            <v>939.16</v>
          </cell>
        </row>
        <row r="2830">
          <cell r="A2830">
            <v>101531</v>
          </cell>
          <cell r="B2830" t="str">
            <v>ENTRADA DE ENERGIA ELÉTRICA, SUBTERRÂNEA, TRIFÁSICA, COM CAIXA DE SOBREPOR, CABO DE 25 MM2 E DISJUNTOR DIN 50A (NÃO INCLUSA MURETA DE ALVENARIA). AF_07/2020_P</v>
          </cell>
          <cell r="C2830" t="str">
            <v>UN</v>
          </cell>
          <cell r="D2830">
            <v>987.74</v>
          </cell>
        </row>
        <row r="2831">
          <cell r="A2831">
            <v>101532</v>
          </cell>
          <cell r="B2831" t="str">
            <v>ENTRADA DE ENERGIA ELÉTRICA, SUBTERRÂNEA, TRIFÁSICA, COM CAIXA DE SOBREPOR, CABO DE 35 MM2 E DISJUNTOR DIN 50A (NÃO INCLUSA MURETA DE ALVENARIA). AF_07/2020_P</v>
          </cell>
          <cell r="C2831" t="str">
            <v>UN</v>
          </cell>
          <cell r="D2831">
            <v>1157.22</v>
          </cell>
        </row>
        <row r="2832">
          <cell r="A2832">
            <v>101533</v>
          </cell>
          <cell r="B2832" t="str">
            <v>ENTRADA DE ENERGIA ELÉTRICA, SUBTERRÂNEA, TRIFÁSICA, COM CAIXA DE EMBUTIR, CABO DE 10 MM2 E DISJUNTOR DIN 50A (NÃO INCLUSA MURETA DE ALVENARIA). AF_07/2020</v>
          </cell>
          <cell r="C2832" t="str">
            <v>UN</v>
          </cell>
          <cell r="D2832">
            <v>861.39</v>
          </cell>
        </row>
        <row r="2833">
          <cell r="A2833">
            <v>101534</v>
          </cell>
          <cell r="B2833" t="str">
            <v>ENTRADA DE ENERGIA ELÉTRICA, SUBTERRÂNEA, TRIFÁSICA, COM CAIXA DE EMBUTIR, CABO DE 16 MM2 E DISJUNTOR DIN 50A (NÃO INCLUSA MURETA DE ALVENARIA). AF_07/2020</v>
          </cell>
          <cell r="C2833" t="str">
            <v>UN</v>
          </cell>
          <cell r="D2833">
            <v>1011.87</v>
          </cell>
        </row>
        <row r="2834">
          <cell r="A2834">
            <v>101535</v>
          </cell>
          <cell r="B2834" t="str">
            <v>ENTRADA DE ENERGIA ELÉTRICA, SUBTERRÂNEA, TRIFÁSICA, COM CAIXA DE EMBUTIR, CABO DE 25 MM2 E DISJUNTOR DIN 50A (NÃO INCLUSA MURETA DE ALVENARIA). AF_07/2020</v>
          </cell>
          <cell r="C2834" t="str">
            <v>UN</v>
          </cell>
          <cell r="D2834">
            <v>1060.45</v>
          </cell>
        </row>
        <row r="2835">
          <cell r="A2835">
            <v>101536</v>
          </cell>
          <cell r="B2835" t="str">
            <v>ENTRADA DE ENERGIA ELÉTRICA, SUBTERRÂNEA, TRIFÁSICA, COM CAIXA DE EMBUTIR, CABO DE 35 MM2 E DISJUNTOR DIN 50A (NÃO INCLUSA MURETA DE ALVENARIA). AF_07/2020</v>
          </cell>
          <cell r="C2835" t="str">
            <v>UN</v>
          </cell>
          <cell r="D2835">
            <v>1229.93</v>
          </cell>
        </row>
        <row r="2836">
          <cell r="A2836">
            <v>101537</v>
          </cell>
          <cell r="B2836" t="str">
            <v>APARELHO SINALIZADOR DE SAÍDA DE GARAGEM, COM CÉLULA FOTOELÉTRICA - FORNECIMENTO E INSTALAÇÃO. AF_07/2020</v>
          </cell>
          <cell r="C2836" t="str">
            <v>UN</v>
          </cell>
          <cell r="D2836">
            <v>106.94</v>
          </cell>
        </row>
        <row r="2837">
          <cell r="A2837">
            <v>101538</v>
          </cell>
          <cell r="B2837" t="str">
            <v>ARMAÇÃO SECUNDÁRIA, COM 1 ESTRIBO E 1 ISOLADOR - FORNECIMENTO E INSTALAÇÃO. AF_07/2020</v>
          </cell>
          <cell r="C2837" t="str">
            <v>UN</v>
          </cell>
          <cell r="D2837">
            <v>40.85</v>
          </cell>
        </row>
        <row r="2838">
          <cell r="A2838">
            <v>101539</v>
          </cell>
          <cell r="B2838" t="str">
            <v>ARMAÇÃO SECUNDÁRIA, COM 2 ESTRIBOS E 2 ISOLADORES - FORNECIMENTO E INSTALAÇÃO. AF_07/2020</v>
          </cell>
          <cell r="C2838" t="str">
            <v>UN</v>
          </cell>
          <cell r="D2838">
            <v>71.73</v>
          </cell>
        </row>
        <row r="2839">
          <cell r="A2839">
            <v>101540</v>
          </cell>
          <cell r="B2839" t="str">
            <v>ARMAÇÃO SECUNDÁRIA, COM 3 ESTRIBOS E 3 ISOLADORES - FORNECIMENTO E INSTALAÇÃO. AF_07/2020</v>
          </cell>
          <cell r="C2839" t="str">
            <v>UN</v>
          </cell>
          <cell r="D2839">
            <v>116.48</v>
          </cell>
        </row>
        <row r="2840">
          <cell r="A2840">
            <v>101541</v>
          </cell>
          <cell r="B2840" t="str">
            <v>ARMAÇÃO SECUNDÁRIA, COM 4 ESTRIBOS E 4 ISOLADORES - FORNECIMENTO E INSTALAÇÃO. AF_07/2020</v>
          </cell>
          <cell r="C2840" t="str">
            <v>UN</v>
          </cell>
          <cell r="D2840">
            <v>152.96</v>
          </cell>
        </row>
        <row r="2841">
          <cell r="A2841">
            <v>101542</v>
          </cell>
          <cell r="B2841" t="str">
            <v>ARMAÇÃO SECUNDÁRIA, COM 1 ESTRIBO, SEM ISOLADOR - FORNECIMENTO E INSTALAÇÃO. AF_07/2020</v>
          </cell>
          <cell r="C2841" t="str">
            <v>UN</v>
          </cell>
          <cell r="D2841">
            <v>33.619999999999997</v>
          </cell>
        </row>
        <row r="2842">
          <cell r="A2842">
            <v>101543</v>
          </cell>
          <cell r="B2842" t="str">
            <v>ARMAÇÃO SECUNDÁRIA, COM 2 ESTRIBOS, SEM ISOLADOR - FORNECIMENTO E INSTALAÇÃO. AF_07/2020</v>
          </cell>
          <cell r="C2842" t="str">
            <v>UN</v>
          </cell>
          <cell r="D2842">
            <v>62.42</v>
          </cell>
        </row>
        <row r="2843">
          <cell r="A2843">
            <v>101544</v>
          </cell>
          <cell r="B2843" t="str">
            <v>ARMAÇÃO SECUNDÁRIA, COM 3 ESTRIBOS, SEM ISOLADOR - FORNECIMENTO E INSTALAÇÃO. AF_07/2020</v>
          </cell>
          <cell r="C2843" t="str">
            <v>UN</v>
          </cell>
          <cell r="D2843">
            <v>97.48</v>
          </cell>
        </row>
        <row r="2844">
          <cell r="A2844">
            <v>101545</v>
          </cell>
          <cell r="B2844" t="str">
            <v>ARMAÇÃO SECUNDÁRIA, COM 4 ESTRIBOS, SEM ISOLADOR - FORNECIMENTO E INSTALAÇÃO. AF_07/2020</v>
          </cell>
          <cell r="C2844" t="str">
            <v>UN</v>
          </cell>
          <cell r="D2844">
            <v>137.26</v>
          </cell>
        </row>
        <row r="2845">
          <cell r="A2845">
            <v>101546</v>
          </cell>
          <cell r="B2845" t="str">
            <v>ISOLADOR, TIPO PINO, PARA TENSÃO 15 KV - FORNECIMENTO E INSTALAÇÃO. AF_07/2020</v>
          </cell>
          <cell r="C2845" t="str">
            <v>UN</v>
          </cell>
          <cell r="D2845">
            <v>20.99</v>
          </cell>
        </row>
        <row r="2846">
          <cell r="A2846">
            <v>101547</v>
          </cell>
          <cell r="B2846" t="str">
            <v>ISOLADOR, TIPO DISCO, PARA TENSÃO 15 KV - FORNECIMENTO E INSTALAÇÃO. AF_07/2020</v>
          </cell>
          <cell r="C2846" t="str">
            <v>UN</v>
          </cell>
          <cell r="D2846">
            <v>65.459999999999994</v>
          </cell>
        </row>
        <row r="2847">
          <cell r="A2847">
            <v>101548</v>
          </cell>
          <cell r="B2847" t="str">
            <v>ISOLADOR, TIPO ROLDANA, PARA BAIXA TENSÃO - FORNECIMENTO E INSTALAÇÃO. AF_07/2020</v>
          </cell>
          <cell r="C2847" t="str">
            <v>UN</v>
          </cell>
          <cell r="D2847">
            <v>5.3</v>
          </cell>
        </row>
        <row r="2848">
          <cell r="A2848">
            <v>101549</v>
          </cell>
          <cell r="B2848" t="str">
            <v>GRAMPO PARALELO METÁLICO, PARA REDES AÉREAS DE DISTRIBUIÇÃO DE ENERGIA ELÉTRICA DE BAIXA TENSÃO - FORNECIMENTO E INSTALAÇÃO. AF_07/2020</v>
          </cell>
          <cell r="C2848" t="str">
            <v>UN</v>
          </cell>
          <cell r="D2848">
            <v>11.48</v>
          </cell>
        </row>
        <row r="2849">
          <cell r="A2849">
            <v>101553</v>
          </cell>
          <cell r="B2849" t="str">
            <v>ALÇA PREFORMADA DE DISTRIBUIÇÃO, EM  AÇO GALVANIZADO, AWG 1 - FORNECIMENTO E INSTALAÇÃO. AF_07/2020</v>
          </cell>
          <cell r="C2849" t="str">
            <v>UN</v>
          </cell>
          <cell r="D2849">
            <v>10.64</v>
          </cell>
        </row>
        <row r="2850">
          <cell r="A2850">
            <v>101554</v>
          </cell>
          <cell r="B2850" t="str">
            <v>ALÇA PREFORMADA DE DISTRIBUIÇÃO, EM  AÇO GALVANIZADO, AWG 2 - FORNECIMENTO E INSTALAÇÃO. AF_07/2020</v>
          </cell>
          <cell r="C2850" t="str">
            <v>UN</v>
          </cell>
          <cell r="D2850">
            <v>7.8</v>
          </cell>
        </row>
        <row r="2851">
          <cell r="A2851">
            <v>101555</v>
          </cell>
          <cell r="B2851" t="str">
            <v>ALÇA PREFORMADA DE DISTRIBUIÇÃO, EM  AÇO GALVANIZADO, AWG 4 - FORNECIMENTO E INSTALAÇÃO. AF_07/2020</v>
          </cell>
          <cell r="C2851" t="str">
            <v>UN</v>
          </cell>
          <cell r="D2851">
            <v>5.22</v>
          </cell>
        </row>
        <row r="2852">
          <cell r="A2852">
            <v>101556</v>
          </cell>
          <cell r="B2852" t="str">
            <v>ALÇA PREFORMADA DE DISTRIBUIÇÃO, EM  AÇO GALVANIZADO, AWG 6 - FORNECIMENTO E INSTALAÇÃO. AF_07/2020</v>
          </cell>
          <cell r="C2852" t="str">
            <v>UN</v>
          </cell>
          <cell r="D2852">
            <v>4.8099999999999996</v>
          </cell>
        </row>
        <row r="2853">
          <cell r="A2853">
            <v>101560</v>
          </cell>
          <cell r="B2853" t="str">
            <v>CABO DE COBRE FLEXÍVEL ISOLADO, 10 MM², 0,6/1,0 KV, PARA REDE AÉREA DE DISTRIBUIÇÃO DE ENERGIA ELÉTRICA DE BAIXA TENSÃO - FORNECIMENTO E INSTALAÇÃO. AF_07/2020</v>
          </cell>
          <cell r="C2853" t="str">
            <v>M</v>
          </cell>
          <cell r="D2853">
            <v>7.12</v>
          </cell>
        </row>
        <row r="2854">
          <cell r="A2854">
            <v>101561</v>
          </cell>
          <cell r="B2854" t="str">
            <v>CABO DE COBRE FLEXÍVEL ISOLADO, 16 MM², 0,6/1,0 KV, PARA REDE AÉREA DE DISTRIBUIÇÃO DE ENERGIA ELÉTRICA DE BAIXA TENSÃO - FORNECIMENTO E INSTALAÇÃO. AF_07/2020</v>
          </cell>
          <cell r="C2854" t="str">
            <v>M</v>
          </cell>
          <cell r="D2854">
            <v>10.89</v>
          </cell>
        </row>
        <row r="2855">
          <cell r="A2855">
            <v>101562</v>
          </cell>
          <cell r="B2855" t="str">
            <v>CABO DE COBRE FLEXÍVEL ISOLADO, 25 MM², 0,6/1,0 KV, PARA REDE AÉREA DE DISTRIBUIÇÃO DE ENERGIA ELÉTRICA DE BAIXA TENSÃO - FORNECIMENTO E INSTALAÇÃO. AF_07/2020</v>
          </cell>
          <cell r="C2855" t="str">
            <v>M</v>
          </cell>
          <cell r="D2855">
            <v>16.55</v>
          </cell>
        </row>
        <row r="2856">
          <cell r="A2856">
            <v>101563</v>
          </cell>
          <cell r="B2856" t="str">
            <v>CABO DE COBRE FLEXÍVEL ISOLADO, 35 MM², 0,6/1,0 KV, PARA REDE AÉREA DE DISTRIBUIÇÃO DE ENERGIA ELÉTRICA DE BAIXA TENSÃO - FORNECIMENTO E INSTALAÇÃO. AF_07/2020</v>
          </cell>
          <cell r="C2856" t="str">
            <v>M</v>
          </cell>
          <cell r="D2856">
            <v>22.81</v>
          </cell>
        </row>
        <row r="2857">
          <cell r="A2857">
            <v>101564</v>
          </cell>
          <cell r="B2857" t="str">
            <v>CABO DE COBRE FLEXÍVEL ISOLADO, 50 MM², 0,6/1,0 KV, PARA REDE AÉREA DE DISTRIBUIÇÃO DE ENERGIA ELÉTRICA DE BAIXA TENSÃO - FORNECIMENTO E INSTALAÇÃO. AF_07/2020</v>
          </cell>
          <cell r="C2857" t="str">
            <v>M</v>
          </cell>
          <cell r="D2857">
            <v>32.5</v>
          </cell>
        </row>
        <row r="2858">
          <cell r="A2858">
            <v>101565</v>
          </cell>
          <cell r="B2858" t="str">
            <v>CABO DE COBRE FLEXÍVEL ISOLADO, 70 MM², 0,6/1,0 KV, PARA REDE AÉREA DE DISTRIBUIÇÃO DE ENERGIA ELÉTRICA DE BAIXA TENSÃO - FORNECIMENTO E INSTALAÇÃO. AF_07/2020</v>
          </cell>
          <cell r="C2858" t="str">
            <v>M</v>
          </cell>
          <cell r="D2858">
            <v>45</v>
          </cell>
        </row>
        <row r="2859">
          <cell r="A2859">
            <v>101567</v>
          </cell>
          <cell r="B2859" t="str">
            <v>CABO DE COBRE FLEXÍVEL ISOLADO, 95 MM², 0,6/1,0 KV, PARA REDE AÉREA DE DISTRIBUIÇÃO DE ENERGIA ELÉTRICA DE BAIXA TENSÃO - FORNECIMENTO E INSTALAÇÃO. AF_07/2020</v>
          </cell>
          <cell r="C2859" t="str">
            <v>M</v>
          </cell>
          <cell r="D2859">
            <v>59.76</v>
          </cell>
        </row>
        <row r="2860">
          <cell r="A2860">
            <v>101568</v>
          </cell>
          <cell r="B2860" t="str">
            <v>CABO DE COBRE FLEXÍVEL ISOLADO, 120 MM², 0,6/1,0 KV, PARA REDE AÉREA DE DISTRIBUIÇÃO DE ENERGIA ELÉTRICA DE BAIXA TENSÃO - FORNECIMENTO E INSTALAÇÃO. AF_07/2020</v>
          </cell>
          <cell r="C2860" t="str">
            <v>M</v>
          </cell>
          <cell r="D2860">
            <v>77.760000000000005</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v>289.14999999999998</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v>316.64</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v>351.53</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v>330.26</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v>393.23</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v>344.99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v>382.81</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v>373.52</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v>433.7</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v>403.26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v>450.03</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v>450.75</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v>497.14</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v>445.15</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v>483.56</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v>476.98</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v>541.95000000000005</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v>572.51</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v>660.04</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v>666</v>
          </cell>
        </row>
        <row r="2881">
          <cell r="A2881">
            <v>100598</v>
          </cell>
          <cell r="B2881" t="str">
            <v>ASSENTAMENTO DE POSTE DE CONCRETO COM COMPRIMENTO NOMINAL DE 20 M, CARGA NOMINAL MAIOR QUE 1000, ENGASTAMENTO SIMPLES COM 2,6 M DE SOLO (NÃO INCLUI FORNECIMENTO). AF_11/2019</v>
          </cell>
          <cell r="C2881" t="str">
            <v>UN</v>
          </cell>
          <cell r="D2881">
            <v>738.17</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v>301.24</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v>366.59</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v>477.3</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v>615.4</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v>970.48</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v>387.38</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v>642.62</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v>1006.06</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v>397.19</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v>656.04</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v>1025.2</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v>406.92</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v>523.30999999999995</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v>669.14</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v>1043.9000000000001</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v>545.79999999999995</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v>695.1</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v>1083.29</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v>720.94</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v>1126.3599999999999</v>
          </cell>
        </row>
        <row r="2902">
          <cell r="A2902">
            <v>100619</v>
          </cell>
          <cell r="B2902" t="str">
            <v>POSTE DECORATIVO PARA JARDIM EM AÇO TUBULAR, H = *2,5* M, SEM LUMINÁRIA - FORNECIMENTO E INSTALAÇÃO. AF_11/2019</v>
          </cell>
          <cell r="C2902" t="str">
            <v>UN</v>
          </cell>
          <cell r="D2902">
            <v>332.72</v>
          </cell>
        </row>
        <row r="2903">
          <cell r="A2903">
            <v>100620</v>
          </cell>
          <cell r="B2903" t="str">
            <v>POSTE DE AÇO CONICO CONTÍNUO CURVO SIMPLES, FLANGEADO, H=9M, INCLUSIVE LUMINÁRIA, SEM LÂMPADA - FORNECIMENTO E INSTALACAO. AF_11/2019</v>
          </cell>
          <cell r="C2903" t="str">
            <v>UN</v>
          </cell>
          <cell r="D2903">
            <v>1948.26</v>
          </cell>
        </row>
        <row r="2904">
          <cell r="A2904">
            <v>100621</v>
          </cell>
          <cell r="B2904" t="str">
            <v>POSTE DE AÇO CONICO CONTÍNUO CURVO DUPLO, FLANGEADO, H=9M, INCLUSIVE LUMINÁRIAS, SEM LÂMPADAS - FORNECIMENTO E INSTALACAO. AF_11/2019</v>
          </cell>
          <cell r="C2904" t="str">
            <v>UN</v>
          </cell>
          <cell r="D2904">
            <v>2180.1</v>
          </cell>
        </row>
        <row r="2905">
          <cell r="A2905">
            <v>100622</v>
          </cell>
          <cell r="B2905" t="str">
            <v>POSTE DE AÇO CONICO CONTÍNUO CURVO SIMPLES, ENGASTADO, H=9M, INCLUSIVE LUMINÁRIA, SEM LÂMPADA - FORNECIMENTO E INSTALACAO. AF_11/2019</v>
          </cell>
          <cell r="C2905" t="str">
            <v>UN</v>
          </cell>
          <cell r="D2905">
            <v>1254.75</v>
          </cell>
        </row>
        <row r="2906">
          <cell r="A2906">
            <v>100623</v>
          </cell>
          <cell r="B2906" t="str">
            <v>POSTE DE AÇO CONICO CONTÍNUO CURVO DUPLO, ENGASTADO, H=9M, INCLUSIVE LUMINÁRIAS, SEM LÂMPADAS - FORNECIMENTO E INSTALACAO. AF_11/2019</v>
          </cell>
          <cell r="C2906" t="str">
            <v>UN</v>
          </cell>
          <cell r="D2906">
            <v>1354.38</v>
          </cell>
        </row>
        <row r="2907">
          <cell r="A2907">
            <v>72281</v>
          </cell>
          <cell r="B2907" t="str">
            <v>REATOR PARA LAMPADA VAPOR DE MERCURIO USO EXTERNO 220V/400W</v>
          </cell>
          <cell r="C2907" t="str">
            <v>UN</v>
          </cell>
          <cell r="D2907">
            <v>109.85</v>
          </cell>
        </row>
        <row r="2908">
          <cell r="A2908">
            <v>72282</v>
          </cell>
          <cell r="B2908" t="str">
            <v>REATOR PARA LAMPADA VAPOR DE SODIO ALTA PRESSAO - 220V/250W - USO EXTERNO</v>
          </cell>
          <cell r="C2908" t="str">
            <v>UN</v>
          </cell>
          <cell r="D2908">
            <v>150.08000000000001</v>
          </cell>
        </row>
        <row r="2909">
          <cell r="A2909" t="str">
            <v>73831/2</v>
          </cell>
          <cell r="B2909" t="str">
            <v>LAMPADA DE VAPOR DE MERCURIO DE 250W - FORNECIMENTO E INSTALACAO</v>
          </cell>
          <cell r="C2909" t="str">
            <v>UN</v>
          </cell>
          <cell r="D2909">
            <v>28.35</v>
          </cell>
        </row>
        <row r="2910">
          <cell r="A2910" t="str">
            <v>73831/3</v>
          </cell>
          <cell r="B2910" t="str">
            <v>LAMPADA DE VAPOR DE MERCURIO DE 400W/250V - FORNECIMENTO E INSTALACAO</v>
          </cell>
          <cell r="C2910" t="str">
            <v>UN</v>
          </cell>
          <cell r="D2910">
            <v>37.19</v>
          </cell>
        </row>
        <row r="2911">
          <cell r="A2911" t="str">
            <v>73831/4</v>
          </cell>
          <cell r="B2911" t="str">
            <v>LAMPADA MISTA DE 160W - FORNECIMENTO E INSTALACAO</v>
          </cell>
          <cell r="C2911" t="str">
            <v>UN</v>
          </cell>
          <cell r="D2911">
            <v>18.32</v>
          </cell>
        </row>
        <row r="2912">
          <cell r="A2912" t="str">
            <v>73831/5</v>
          </cell>
          <cell r="B2912" t="str">
            <v>LAMPADA MISTA DE 250W - FORNECIMENTO E INSTALACAO</v>
          </cell>
          <cell r="C2912" t="str">
            <v>UN</v>
          </cell>
          <cell r="D2912">
            <v>23.58</v>
          </cell>
        </row>
        <row r="2913">
          <cell r="A2913" t="str">
            <v>73831/6</v>
          </cell>
          <cell r="B2913" t="str">
            <v>LAMPADA MISTA DE 500W - FORNECIMENTO E INSTALACAO</v>
          </cell>
          <cell r="C2913" t="str">
            <v>UN</v>
          </cell>
          <cell r="D2913">
            <v>41.4</v>
          </cell>
        </row>
        <row r="2914">
          <cell r="A2914" t="str">
            <v>73831/7</v>
          </cell>
          <cell r="B2914" t="str">
            <v>LAMPADA DE VAPOR DE SODIO DE 150WX220V - FORNECIMENTO E INSTALACAO</v>
          </cell>
          <cell r="C2914" t="str">
            <v>UN</v>
          </cell>
          <cell r="D2914">
            <v>33.57</v>
          </cell>
        </row>
        <row r="2915">
          <cell r="A2915" t="str">
            <v>73831/8</v>
          </cell>
          <cell r="B2915" t="str">
            <v>LAMPADA DE VAPOR DE SODIO DE 250WX220V - FORNECIMENTO E INSTALACAO</v>
          </cell>
          <cell r="C2915" t="str">
            <v>UN</v>
          </cell>
          <cell r="D2915">
            <v>38.17</v>
          </cell>
        </row>
        <row r="2916">
          <cell r="A2916" t="str">
            <v>73831/9</v>
          </cell>
          <cell r="B2916" t="str">
            <v>LAMPADA DE VAPOR DE SODIO DE 400WX220V - FORNECIMENTO E INSTALACAO</v>
          </cell>
          <cell r="C2916" t="str">
            <v>UN</v>
          </cell>
          <cell r="D2916">
            <v>43.83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v>137.08000000000001</v>
          </cell>
        </row>
        <row r="2918">
          <cell r="A2918" t="str">
            <v>74246/1</v>
          </cell>
          <cell r="B2918" t="str">
            <v>REFLETOR RETANGULAR FECHADO COM LAMPADA VAPOR METALICO 400 W</v>
          </cell>
          <cell r="C2918" t="str">
            <v>UN</v>
          </cell>
          <cell r="D2918">
            <v>264.67</v>
          </cell>
        </row>
        <row r="2919">
          <cell r="A2919">
            <v>83399</v>
          </cell>
          <cell r="B2919" t="str">
            <v>RELE FOTOELETRICO P/ COMANDO DE ILUMINACAO EXTERNA 220V/1000W - FORNECIMENTO E INSTALACAO</v>
          </cell>
          <cell r="C2919" t="str">
            <v>UN</v>
          </cell>
          <cell r="D2919">
            <v>31.32</v>
          </cell>
        </row>
        <row r="2920">
          <cell r="A2920">
            <v>83400</v>
          </cell>
          <cell r="B2920" t="str">
            <v>BRACO P/ ILUMINACAO DE RUAS EM TUBO ACO GALV 1" COMP = 1,20M E INCLINACAO 25GRAUS EM RELACAO AO PLANO VERTICAL P/ FIXACAO EM POSTE OU PAREDE - FORNECIMENTO E INSTALACAO</v>
          </cell>
          <cell r="C2920" t="str">
            <v>UN</v>
          </cell>
          <cell r="D2920">
            <v>95.15</v>
          </cell>
        </row>
        <row r="2921">
          <cell r="A2921">
            <v>83401</v>
          </cell>
          <cell r="B2921" t="str">
            <v>BRACO P/ LUMINARIA PUBLICA 1 X 1,50 M, EM TUBO ACO GALV 3/4, P/ FIXACAO EM POSTE OU PAREDE - FORNECIMENTO E INSTALACAO</v>
          </cell>
          <cell r="C2921" t="str">
            <v>UN</v>
          </cell>
          <cell r="D2921">
            <v>95.15</v>
          </cell>
        </row>
        <row r="2922">
          <cell r="A2922">
            <v>83402</v>
          </cell>
          <cell r="B2922" t="str">
            <v>ABRACADEIRA DE FIXACAO DE BRACOS DE LUMINARIAS DE 4" - FORNECIMENTO E INSTALACAO</v>
          </cell>
          <cell r="C2922" t="str">
            <v>UN</v>
          </cell>
          <cell r="D2922">
            <v>51.04</v>
          </cell>
        </row>
        <row r="2923">
          <cell r="A2923">
            <v>83475</v>
          </cell>
          <cell r="B2923" t="str">
            <v>LUMINARIA FECHADA PARA ILUMINACAO PUBLICA COM REATOR DE PARTIDA RAPIDA COM LAMPADA A VAPOR DE MERCURIO 250W - FORNECIMENTO E INSTALACAO</v>
          </cell>
          <cell r="C2923" t="str">
            <v>UN</v>
          </cell>
          <cell r="D2923">
            <v>388.8</v>
          </cell>
        </row>
        <row r="2924">
          <cell r="A2924">
            <v>83478</v>
          </cell>
          <cell r="B2924" t="str">
            <v>LUMINARIA FECHADA PARA ILUMINACAO PUBLICA - LAMPADAS DE 250/500W - FORNECIMENTO E INSTALACAO (EXCLUINDO LAMPADAS)</v>
          </cell>
          <cell r="C2924" t="str">
            <v>UN</v>
          </cell>
          <cell r="D2924">
            <v>279.31</v>
          </cell>
        </row>
        <row r="2925">
          <cell r="A2925">
            <v>83479</v>
          </cell>
          <cell r="B2925" t="str">
            <v>LUMINARIA ESTANQUE - PROTECAO CONTRA AGUA, POEIRA OU IMPACTOS - TIPO AQUATIC PIAL OU EQUIVALENTE</v>
          </cell>
          <cell r="C2925" t="str">
            <v>UN</v>
          </cell>
          <cell r="D2925">
            <v>112.27</v>
          </cell>
        </row>
        <row r="2926">
          <cell r="A2926">
            <v>83480</v>
          </cell>
          <cell r="B2926" t="str">
            <v>REATOR PARA LAMPADA VAPOR DE MERCURIO 125W  USO EXTERNO</v>
          </cell>
          <cell r="C2926" t="str">
            <v>UN</v>
          </cell>
          <cell r="D2926">
            <v>87.87</v>
          </cell>
        </row>
        <row r="2927">
          <cell r="A2927">
            <v>83481</v>
          </cell>
          <cell r="B2927" t="str">
            <v>REATOR PARA LAMPADA VAPOR DE MERCURIO 250W USO EXTERNO</v>
          </cell>
          <cell r="C2927" t="str">
            <v>UN</v>
          </cell>
          <cell r="D2927">
            <v>99.19</v>
          </cell>
        </row>
        <row r="2928">
          <cell r="A2928">
            <v>97600</v>
          </cell>
          <cell r="B2928" t="str">
            <v>REFLETOR EM ALUMÍNIO, DE SUPORTE E ALÇA, COM 1 LÂMPADA VAPOR DE MERCÚRIO DE 125 W, COM REATOR ALTO FATOR DE POTÊNCIA - FORNECIMENTO E INSTALAÇÃO. AF_02/2020</v>
          </cell>
          <cell r="C2928" t="str">
            <v>UN</v>
          </cell>
          <cell r="D2928">
            <v>196.61</v>
          </cell>
        </row>
        <row r="2929">
          <cell r="A2929">
            <v>97601</v>
          </cell>
          <cell r="B2929" t="str">
            <v>REFLETOR EM ALUMÍNIO, DE SUPORTE E ALÇA, COM LÂMPADA VAPOR DE MERCÚRIO DE 250 W, COM REATOR ALTO FATOR DE POTÊNCIA - FORNECIMENTO E INSTALAÇÃO. AF_02/2020</v>
          </cell>
          <cell r="C2929" t="str">
            <v>UN</v>
          </cell>
          <cell r="D2929">
            <v>207.26</v>
          </cell>
        </row>
        <row r="2930">
          <cell r="A2930">
            <v>97605</v>
          </cell>
          <cell r="B2930" t="str">
            <v>LUMINÁRIA ARANDELA TIPO MEIA LUA, DE SOBREPOR, COM 1 LÂMPADA LED DE 6 W, SEM REATOR - FORNECIMENTO E INSTALAÇÃO. AF_02/2020</v>
          </cell>
          <cell r="C2930" t="str">
            <v>UN</v>
          </cell>
          <cell r="D2930">
            <v>53.1</v>
          </cell>
        </row>
        <row r="2931">
          <cell r="A2931">
            <v>97606</v>
          </cell>
          <cell r="B2931" t="str">
            <v>LUMINÁRIA ARANDELA TIPO MEIA LUA, DE SOBREPOR, COM 1 LÂMPADA FLUORESCENTE DE 15 W, SEM REATOR - FORNECIMENTO E INSTALAÇÃO. AF_02/2020</v>
          </cell>
          <cell r="C2931" t="str">
            <v>UN</v>
          </cell>
          <cell r="D2931">
            <v>55.48</v>
          </cell>
        </row>
        <row r="2932">
          <cell r="A2932">
            <v>97607</v>
          </cell>
          <cell r="B2932" t="str">
            <v>LUMINÁRIA ARANDELA TIPO TARTARUGA, DE SOBREPOR, COM 1 LÂMPADA LED DE 6 W, SEM REATOR - FORNECIMENTO E INSTALAÇÃO. AF_02/2020</v>
          </cell>
          <cell r="C2932" t="str">
            <v>UN</v>
          </cell>
          <cell r="D2932">
            <v>63.36</v>
          </cell>
        </row>
        <row r="2933">
          <cell r="A2933">
            <v>97608</v>
          </cell>
          <cell r="B2933" t="str">
            <v>LUMINÁRIA ARANDELA TIPO TARTARUGA, COM GRADE, DE SOBREPOR, COM 1 LÂMPADA FLUORESCENTE DE 15 W, SEM REATOR - FORNECIMENTO E INSTALAÇÃO. AF_02/2020</v>
          </cell>
          <cell r="C2933" t="str">
            <v>UN</v>
          </cell>
          <cell r="D2933">
            <v>65.739999999999995</v>
          </cell>
        </row>
        <row r="2934">
          <cell r="A2934" t="str">
            <v>73857/1</v>
          </cell>
          <cell r="B2934" t="str">
            <v>TRANSFORMADOR DISTRIBUICAO  75KVA TRIFASICO 60HZ CLASSE 15KV IMERSO EM ÓLEO MINERAL FORNECIMENTO E INSTALACAO</v>
          </cell>
          <cell r="C2934" t="str">
            <v>UN</v>
          </cell>
          <cell r="D2934">
            <v>7073.46</v>
          </cell>
        </row>
        <row r="2935">
          <cell r="A2935" t="str">
            <v>73857/2</v>
          </cell>
          <cell r="B2935" t="str">
            <v>TRANSFORMADOR DISTRIBUICAO  112,5KVA TRIFASICO 60HZ CLASSE 15KV IMERSO EM ÓLEO MINERAL FORNECIMENTO E INSTALACAO</v>
          </cell>
          <cell r="C2935" t="str">
            <v>UN</v>
          </cell>
          <cell r="D2935">
            <v>8741.2000000000007</v>
          </cell>
        </row>
        <row r="2936">
          <cell r="A2936" t="str">
            <v>73857/3</v>
          </cell>
          <cell r="B2936" t="str">
            <v>TRANSFORMADOR DISTRIBUICAO  150KVA TRIFASICO 60HZ CLASSE 15KV IMERSO EM ÓLEO MINERAL FORNECIMENTO E INSTALACAO</v>
          </cell>
          <cell r="C2936" t="str">
            <v>UN</v>
          </cell>
          <cell r="D2936">
            <v>11019.17</v>
          </cell>
        </row>
        <row r="2937">
          <cell r="A2937" t="str">
            <v>73857/4</v>
          </cell>
          <cell r="B2937" t="str">
            <v>TRANSFORMADOR DISTRIBUICAO  225KVA TRIFASICO 60HZ CLASSE 15KV IMERSO EM ÓLEO MINERAL FORNECIMENTO E INSTALACAO</v>
          </cell>
          <cell r="C2937" t="str">
            <v>UN</v>
          </cell>
          <cell r="D2937">
            <v>15432.45</v>
          </cell>
        </row>
        <row r="2938">
          <cell r="A2938" t="str">
            <v>73857/5</v>
          </cell>
          <cell r="B2938" t="str">
            <v>TRANSFORMADOR DISTRIBUICAO  300KVA TRIFASICO 60HZ CLASSE 15KV IMERSO EM ÓLEO MINERAL FORNECIMENTO E INSTALACAO</v>
          </cell>
          <cell r="C2938" t="str">
            <v>UN</v>
          </cell>
          <cell r="D2938">
            <v>18001.5</v>
          </cell>
        </row>
        <row r="2939">
          <cell r="A2939" t="str">
            <v>73857/6</v>
          </cell>
          <cell r="B2939" t="str">
            <v>TRANSFORMADOR DISTRIBUICAO  500KVA TRIFASICO 60HZ CLASSE 15KV IMERSO EM ÓLEO MINERAL FORNECIMENTO E INSTALACAO</v>
          </cell>
          <cell r="C2939" t="str">
            <v>UN</v>
          </cell>
          <cell r="D2939">
            <v>29301.73</v>
          </cell>
        </row>
        <row r="2940">
          <cell r="A2940" t="str">
            <v>73857/7</v>
          </cell>
          <cell r="B2940" t="str">
            <v>TRANSFORMADOR DISTRIBUICAO  30KVA TRIFASICO 60HZ CLASSE 15KV IMERSO EM ÓLEO MINERAL FORNECIMENTO E INSTALACAO</v>
          </cell>
          <cell r="C2940" t="str">
            <v>UN</v>
          </cell>
          <cell r="D2940">
            <v>4882.99</v>
          </cell>
        </row>
        <row r="2941">
          <cell r="A2941" t="str">
            <v>73857/8</v>
          </cell>
          <cell r="B2941" t="str">
            <v>TRANSFORMADOR DISTRIBUICAO  45KVA TRIFASICO 60HZ CLASSE 15KV IMERSO EM ÓLEO MINERAL FORNECIMENTO E INSTALACAO</v>
          </cell>
          <cell r="C2941" t="str">
            <v>UN</v>
          </cell>
          <cell r="D2941">
            <v>5468.05</v>
          </cell>
        </row>
        <row r="2942">
          <cell r="A2942" t="str">
            <v>73857/9</v>
          </cell>
          <cell r="B2942" t="str">
            <v>TRANSFORMADOR DISTRIBUICAO  750KVA TRIFASICO 60HZ CLASSE 15KV IMERSO EM ÓLEO MINERAL FORNECIMENTO E INSTALACAO</v>
          </cell>
          <cell r="C2942" t="str">
            <v>UN</v>
          </cell>
          <cell r="D2942">
            <v>40149.620000000003</v>
          </cell>
        </row>
        <row r="2943">
          <cell r="A2943" t="str">
            <v>73857/10</v>
          </cell>
          <cell r="B2943" t="str">
            <v>TRANSFORMADOR DISTRIBUICAO  1000KVA TRIFASICO 60HZ CLASSE 15KV IMERSO EM ÓLEO MINERAL FORNECIMENTO E INSTALACAO</v>
          </cell>
          <cell r="C2943" t="str">
            <v>UN</v>
          </cell>
          <cell r="D2943">
            <v>56159.81</v>
          </cell>
        </row>
        <row r="2944">
          <cell r="A2944">
            <v>93128</v>
          </cell>
          <cell r="B2944" t="str">
            <v>PONTO DE ILUMINAÇÃO RESIDENCIAL INCLUINDO INTERRUPTOR SIMPLES, CAIXA ELÉTRICA, ELETRODUTO, CABO, RASGO, QUEBRA E CHUMBAMENTO (EXCLUINDO LUMINÁRIA E LÂMPADA). AF_01/2016</v>
          </cell>
          <cell r="C2944" t="str">
            <v>UN</v>
          </cell>
          <cell r="D2944">
            <v>105.02</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v>123.45</v>
          </cell>
        </row>
        <row r="2946">
          <cell r="A2946">
            <v>93138</v>
          </cell>
          <cell r="B2946" t="str">
            <v>PONTO DE ILUMINAÇÃO RESIDENCIAL INCLUINDO INTERRUPTOR PARALELO, CAIXA ELÉTRICA, ELETRODUTO, CABO, RASGO, QUEBRA E CHUMBAMENTO (EXCLUINDO LUMINÁRIA E LÂMPADA). AF_01/2016</v>
          </cell>
          <cell r="C2946" t="str">
            <v>UN</v>
          </cell>
          <cell r="D2946">
            <v>117.59</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v>148.57</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v>140.15</v>
          </cell>
        </row>
        <row r="2949">
          <cell r="A2949">
            <v>93141</v>
          </cell>
          <cell r="B2949" t="str">
            <v>PONTO DE TOMADA RESIDENCIAL INCLUINDO TOMADA 10A/250V, CAIXA ELÉTRICA, ELETRODUTO, CABO, RASGO, QUEBRA E CHUMBAMENTO. AF_01/2016</v>
          </cell>
          <cell r="C2949" t="str">
            <v>UN</v>
          </cell>
          <cell r="D2949">
            <v>127.76</v>
          </cell>
        </row>
        <row r="2950">
          <cell r="A2950">
            <v>93142</v>
          </cell>
          <cell r="B2950" t="str">
            <v>PONTO DE TOMADA RESIDENCIAL INCLUINDO TOMADA (2 MÓDULOS) 10A/250V, CAIXA ELÉTRICA, ELETRODUTO, CABO, RASGO, QUEBRA E CHUMBAMENTO. AF_01/2016</v>
          </cell>
          <cell r="C2950" t="str">
            <v>UN</v>
          </cell>
          <cell r="D2950">
            <v>141.43</v>
          </cell>
        </row>
        <row r="2951">
          <cell r="A2951">
            <v>93143</v>
          </cell>
          <cell r="B2951" t="str">
            <v>PONTO DE TOMADA RESIDENCIAL INCLUINDO TOMADA 20A/250V, CAIXA ELÉTRICA, ELETRODUTO, CABO, RASGO, QUEBRA E CHUMBAMENTO. AF_01/2016</v>
          </cell>
          <cell r="C2951" t="str">
            <v>UN</v>
          </cell>
          <cell r="D2951">
            <v>129.07</v>
          </cell>
        </row>
        <row r="2952">
          <cell r="A2952">
            <v>93144</v>
          </cell>
          <cell r="B2952" t="str">
            <v>PONTO DE UTILIZAÇÃO DE EQUIPAMENTOS ELÉTRICOS, RESIDENCIAL, INCLUINDO SUPORTE E PLACA, CAIXA ELÉTRICA, ELETRODUTO, CABO, RASGO, QUEBRA E CHUMBAMENTO. AF_01/2016</v>
          </cell>
          <cell r="C2952" t="str">
            <v>UN</v>
          </cell>
          <cell r="D2952">
            <v>167.47</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v>154.47</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v>167.04</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v>189.64</v>
          </cell>
        </row>
        <row r="2956">
          <cell r="A2956">
            <v>96971</v>
          </cell>
          <cell r="B2956" t="str">
            <v>CORDOALHA DE COBRE NU 16 MM², NÃO ENTERRADA, COM ISOLADOR - FORNECIMENTO E INSTALAÇÃO. AF_12/2017</v>
          </cell>
          <cell r="C2956" t="str">
            <v>M</v>
          </cell>
          <cell r="D2956">
            <v>23.34</v>
          </cell>
        </row>
        <row r="2957">
          <cell r="A2957">
            <v>96972</v>
          </cell>
          <cell r="B2957" t="str">
            <v>CORDOALHA DE COBRE NU 25 MM², NÃO ENTERRADA, COM ISOLADOR - FORNECIMENTO E INSTALAÇÃO. AF_12/2017</v>
          </cell>
          <cell r="C2957" t="str">
            <v>M</v>
          </cell>
          <cell r="D2957">
            <v>31.85</v>
          </cell>
        </row>
        <row r="2958">
          <cell r="A2958">
            <v>96973</v>
          </cell>
          <cell r="B2958" t="str">
            <v>CORDOALHA DE COBRE NU 35 MM², NÃO ENTERRADA, COM ISOLADOR - FORNECIMENTO E INSTALAÇÃO. AF_12/2017</v>
          </cell>
          <cell r="C2958" t="str">
            <v>M</v>
          </cell>
          <cell r="D2958">
            <v>40.020000000000003</v>
          </cell>
        </row>
        <row r="2959">
          <cell r="A2959">
            <v>96974</v>
          </cell>
          <cell r="B2959" t="str">
            <v>CORDOALHA DE COBRE NU 50 MM², NÃO ENTERRADA, COM ISOLADOR - FORNECIMENTO E INSTALAÇÃO. AF_12/2017</v>
          </cell>
          <cell r="C2959" t="str">
            <v>M</v>
          </cell>
          <cell r="D2959">
            <v>50.72</v>
          </cell>
        </row>
        <row r="2960">
          <cell r="A2960">
            <v>96975</v>
          </cell>
          <cell r="B2960" t="str">
            <v>CORDOALHA DE COBRE NU 70 MM², NÃO ENTERRADA, COM ISOLADOR - FORNECIMENTO E INSTALAÇÃO. AF_12/2017</v>
          </cell>
          <cell r="C2960" t="str">
            <v>M</v>
          </cell>
          <cell r="D2960">
            <v>64.92</v>
          </cell>
        </row>
        <row r="2961">
          <cell r="A2961">
            <v>96976</v>
          </cell>
          <cell r="B2961" t="str">
            <v>CORDOALHA DE COBRE NU 95 MM², NÃO ENTERRADA, COM ISOLADOR - FORNECIMENTO E INSTALAÇÃO. AF_12/2017</v>
          </cell>
          <cell r="C2961" t="str">
            <v>M</v>
          </cell>
          <cell r="D2961">
            <v>83.68</v>
          </cell>
        </row>
        <row r="2962">
          <cell r="A2962">
            <v>96977</v>
          </cell>
          <cell r="B2962" t="str">
            <v>CORDOALHA DE COBRE NU 50 MM², ENTERRADA, SEM ISOLADOR - FORNECIMENTO E INSTALAÇÃO. AF_12/2017</v>
          </cell>
          <cell r="C2962" t="str">
            <v>M</v>
          </cell>
          <cell r="D2962">
            <v>31.29</v>
          </cell>
        </row>
        <row r="2963">
          <cell r="A2963">
            <v>96978</v>
          </cell>
          <cell r="B2963" t="str">
            <v>CORDOALHA DE COBRE NU 70 MM², ENTERRADA, SEM ISOLADOR - FORNECIMENTO E INSTALAÇÃO. AF_12/2017</v>
          </cell>
          <cell r="C2963" t="str">
            <v>M</v>
          </cell>
          <cell r="D2963">
            <v>43.83</v>
          </cell>
        </row>
        <row r="2964">
          <cell r="A2964">
            <v>96979</v>
          </cell>
          <cell r="B2964" t="str">
            <v>CORDOALHA DE COBRE NU 95 MM², ENTERRADA, SEM ISOLADOR - FORNECIMENTO E INSTALAÇÃO. AF_12/2017</v>
          </cell>
          <cell r="C2964" t="str">
            <v>M</v>
          </cell>
          <cell r="D2964">
            <v>61.37</v>
          </cell>
        </row>
        <row r="2965">
          <cell r="A2965">
            <v>96984</v>
          </cell>
          <cell r="B2965" t="str">
            <v>ELETRODUTO PVC 40MM (1 ¼ ) PARA SPDA - FORNECIMENTO E INSTALAÇÃO. AF_12/2017</v>
          </cell>
          <cell r="C2965" t="str">
            <v>UN</v>
          </cell>
          <cell r="D2965">
            <v>40.67</v>
          </cell>
        </row>
        <row r="2966">
          <cell r="A2966">
            <v>96985</v>
          </cell>
          <cell r="B2966" t="str">
            <v>HASTE DE ATERRAMENTO 5/8  PARA SPDA - FORNECIMENTO E INSTALAÇÃO. AF_12/2017</v>
          </cell>
          <cell r="C2966" t="str">
            <v>UN</v>
          </cell>
          <cell r="D2966">
            <v>45.27</v>
          </cell>
        </row>
        <row r="2967">
          <cell r="A2967">
            <v>96986</v>
          </cell>
          <cell r="B2967" t="str">
            <v>HASTE DE ATERRAMENTO 3/4  PARA SPDA - FORNECIMENTO E INSTALAÇÃO. AF_12/2017</v>
          </cell>
          <cell r="C2967" t="str">
            <v>UN</v>
          </cell>
          <cell r="D2967">
            <v>67.75</v>
          </cell>
        </row>
        <row r="2968">
          <cell r="A2968">
            <v>96987</v>
          </cell>
          <cell r="B2968" t="str">
            <v>BASE METÁLICA PARA MASTRO 1 ½  PARA SPDA - FORNECIMENTO E INSTALAÇÃO. AF_12/2017</v>
          </cell>
          <cell r="C2968" t="str">
            <v>UN</v>
          </cell>
          <cell r="D2968">
            <v>107.53</v>
          </cell>
        </row>
        <row r="2969">
          <cell r="A2969">
            <v>96988</v>
          </cell>
          <cell r="B2969" t="str">
            <v>MASTRO 1 ½  PARA SPDA - FORNECIMENTO E INSTALAÇÃO. AF_12/2017</v>
          </cell>
          <cell r="C2969" t="str">
            <v>UN</v>
          </cell>
          <cell r="D2969">
            <v>157.80000000000001</v>
          </cell>
        </row>
        <row r="2970">
          <cell r="A2970">
            <v>96989</v>
          </cell>
          <cell r="B2970" t="str">
            <v>CAPTOR TIPO FRANKLIN PARA SPDA - FORNECIMENTO E INSTALAÇÃO. AF_12/2017</v>
          </cell>
          <cell r="C2970" t="str">
            <v>UN</v>
          </cell>
          <cell r="D2970">
            <v>103.85</v>
          </cell>
        </row>
        <row r="2971">
          <cell r="A2971">
            <v>98463</v>
          </cell>
          <cell r="B2971" t="str">
            <v>SUPORTE ISOLADOR PARA CORDOALHA DE COBRE - FORNECIMENTO E INSTALAÇÃO. AF_12/2017</v>
          </cell>
          <cell r="C2971" t="str">
            <v>UN</v>
          </cell>
          <cell r="D2971">
            <v>20.43</v>
          </cell>
        </row>
        <row r="2972">
          <cell r="A2972">
            <v>88547</v>
          </cell>
          <cell r="B2972" t="str">
            <v>CHAVE DE BOIA AUTOMÁTICA SUPERIOR 10A/250V - FORNECIMENTO E INSTALACAO</v>
          </cell>
          <cell r="C2972" t="str">
            <v>UN</v>
          </cell>
          <cell r="D2972">
            <v>69.56</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v>974.34</v>
          </cell>
        </row>
        <row r="2974">
          <cell r="A2974">
            <v>72287</v>
          </cell>
          <cell r="B2974" t="str">
            <v>CAIXA DE INCÊNDIO 45X75X17CM - FORNECIMENTO E INSTALAÇÃO</v>
          </cell>
          <cell r="C2974" t="str">
            <v>UN</v>
          </cell>
          <cell r="D2974">
            <v>253.99</v>
          </cell>
        </row>
        <row r="2975">
          <cell r="A2975">
            <v>72288</v>
          </cell>
          <cell r="B2975" t="str">
            <v>CAIXA DE INCÊNDIO 60X90X17CM - FORNECIMENTO E INSTALAÇÃO</v>
          </cell>
          <cell r="C2975" t="str">
            <v>UN</v>
          </cell>
          <cell r="D2975">
            <v>316.41000000000003</v>
          </cell>
        </row>
        <row r="2976">
          <cell r="A2976">
            <v>72553</v>
          </cell>
          <cell r="B2976" t="str">
            <v>EXTINTOR DE PQS 4KG - FORNECIMENTO E INSTALACAO</v>
          </cell>
          <cell r="C2976" t="str">
            <v>UN</v>
          </cell>
          <cell r="D2976">
            <v>142.66</v>
          </cell>
        </row>
        <row r="2977">
          <cell r="A2977">
            <v>72554</v>
          </cell>
          <cell r="B2977" t="str">
            <v>EXTINTOR DE CO2 6KG - FORNECIMENTO E INSTALACAO</v>
          </cell>
          <cell r="C2977" t="str">
            <v>UN</v>
          </cell>
          <cell r="D2977">
            <v>477.35</v>
          </cell>
        </row>
        <row r="2978">
          <cell r="A2978" t="str">
            <v>73775/1</v>
          </cell>
          <cell r="B2978" t="str">
            <v>EXTINTOR INCENDIO TP PO QUIMICO 4KG FORNECIMENTO E COLOCACAO</v>
          </cell>
          <cell r="C2978" t="str">
            <v>UN</v>
          </cell>
          <cell r="D2978">
            <v>149.33000000000001</v>
          </cell>
        </row>
        <row r="2979">
          <cell r="A2979" t="str">
            <v>73775/2</v>
          </cell>
          <cell r="B2979" t="str">
            <v>EXTINTOR INCENDIO AGUA-PRESSURIZADA 10L INCL SUPORTE PAREDE CARGA     COMPLETA FORNECIMENTO E COLOCACAO</v>
          </cell>
          <cell r="C2979" t="str">
            <v>UN</v>
          </cell>
          <cell r="D2979">
            <v>153.81</v>
          </cell>
        </row>
        <row r="2980">
          <cell r="A2980">
            <v>83633</v>
          </cell>
          <cell r="B2980" t="str">
            <v>HIDRANTE SUBTERRANEO FERRO FUNDIDO C/ CURVA LONGA E CAIXA DN=75MM</v>
          </cell>
          <cell r="C2980" t="str">
            <v>UN</v>
          </cell>
          <cell r="D2980">
            <v>1905.32</v>
          </cell>
        </row>
        <row r="2981">
          <cell r="A2981">
            <v>83634</v>
          </cell>
          <cell r="B2981" t="str">
            <v>EXTINTOR INCENDIO TP GAS CARBONICO 4KG COMPLETO - FORNECIMENTO E INSTALACAO</v>
          </cell>
          <cell r="C2981" t="str">
            <v>UN</v>
          </cell>
          <cell r="D2981">
            <v>448.16</v>
          </cell>
        </row>
        <row r="2982">
          <cell r="A2982">
            <v>83635</v>
          </cell>
          <cell r="B2982" t="str">
            <v>EXTINTOR INCENDIO TP PO QUIMICO 6KG - FORNECIMENTO E INSTALACAO</v>
          </cell>
          <cell r="C2982" t="str">
            <v>UN</v>
          </cell>
          <cell r="D2982">
            <v>173.24</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v>1148.8399999999999</v>
          </cell>
        </row>
        <row r="2984">
          <cell r="A2984" t="str">
            <v>73749/1</v>
          </cell>
          <cell r="B2984" t="str">
            <v>CAIXA ENTERRADA PARA INSTALACOES TELEFONICAS TIPO R1 0,60X0,35X0,50M EM BLOCOS DE CONCRETO ESTRUTURAL</v>
          </cell>
          <cell r="C2984" t="str">
            <v>UN</v>
          </cell>
          <cell r="D2984">
            <v>184.06</v>
          </cell>
        </row>
        <row r="2985">
          <cell r="A2985" t="str">
            <v>73749/2</v>
          </cell>
          <cell r="B2985" t="str">
            <v>CAIXA ENTERRADA PARA INSTALACOES TELEFONICAS TIPO R2 1,07X0,52X0,50M EM BLOCOS DE CONCRETO ESTRUTURAL</v>
          </cell>
          <cell r="C2985" t="str">
            <v>UN</v>
          </cell>
          <cell r="D2985">
            <v>338.1</v>
          </cell>
        </row>
        <row r="2986">
          <cell r="A2986" t="str">
            <v>73749/3</v>
          </cell>
          <cell r="B2986" t="str">
            <v>CAIXA ENTERRADA PARA INSTALACOES TELEFONICAS TIPO R3 1,30X1,20X1,20M EM BLOCOS DE CONCRETO ESTRUTURAL</v>
          </cell>
          <cell r="C2986" t="str">
            <v>UN</v>
          </cell>
          <cell r="D2986">
            <v>1102.1300000000001</v>
          </cell>
        </row>
        <row r="2987">
          <cell r="A2987">
            <v>84796</v>
          </cell>
          <cell r="B2987" t="str">
            <v>TAMPAO FOFO P/ CAIXA R2 PADRAO TELEBRAS COMPLETO - FORNECIMENTO E INSTALACAO</v>
          </cell>
          <cell r="C2987" t="str">
            <v>UN</v>
          </cell>
          <cell r="D2987">
            <v>589.73</v>
          </cell>
        </row>
        <row r="2988">
          <cell r="A2988">
            <v>84798</v>
          </cell>
          <cell r="B2988" t="str">
            <v>TAMPAO FOFO P/ CAIXA R1 PADRAO TELEBRAS COMPLETO - FORNECIMENTO E INSTALACAO</v>
          </cell>
          <cell r="C2988" t="str">
            <v>UN</v>
          </cell>
          <cell r="D2988">
            <v>262.60000000000002</v>
          </cell>
        </row>
        <row r="2989">
          <cell r="A2989">
            <v>98261</v>
          </cell>
          <cell r="B2989" t="str">
            <v>CABO TELEFÔNICO CCI-50 1 PAR, INSTALADO EM ENTRADA DE EDIFICAÇÃO - FORNECIMENTO E INSTALAÇÃO. AF_11/2019</v>
          </cell>
          <cell r="C2989" t="str">
            <v>M</v>
          </cell>
          <cell r="D2989">
            <v>2.89</v>
          </cell>
        </row>
        <row r="2990">
          <cell r="A2990">
            <v>98262</v>
          </cell>
          <cell r="B2990" t="str">
            <v>CABO TELEFÔNICO CCI-50 2 PARES, SEM BLINDAGEM, INSTALADO EM ENTRADA DE EDIFICAÇÃO - FORNECIMENTO E INSTALAÇÃO. AF_11/2019</v>
          </cell>
          <cell r="C2990" t="str">
            <v>M</v>
          </cell>
          <cell r="D2990">
            <v>3.48</v>
          </cell>
        </row>
        <row r="2991">
          <cell r="A2991">
            <v>98263</v>
          </cell>
          <cell r="B2991" t="str">
            <v>CABO TELEFÔNICO CCI-50 3 PARES, SEM BLINDAGEM, INSTALADO EM ENTRADA DE EDIFICAÇÃO - FORNECIMENTO E INSTALAÇÃO. AF_11/2019</v>
          </cell>
          <cell r="C2991" t="str">
            <v>M</v>
          </cell>
          <cell r="D2991">
            <v>4.21</v>
          </cell>
        </row>
        <row r="2992">
          <cell r="A2992">
            <v>98264</v>
          </cell>
          <cell r="B2992" t="str">
            <v>CABO TELEFÔNICO CCI-50 4 PARES, SEM BLINDAGEM, INSTALADO EM ENTRADA DE EDIFICAÇÃO - FORNECIMENTO E INSTALAÇÃO. AF_11/2019</v>
          </cell>
          <cell r="C2992" t="str">
            <v>M</v>
          </cell>
          <cell r="D2992">
            <v>4.7699999999999996</v>
          </cell>
        </row>
        <row r="2993">
          <cell r="A2993">
            <v>98265</v>
          </cell>
          <cell r="B2993" t="str">
            <v>CABO TELEFÔNICO CCI-50 5 PARES, SEM BLINDAGEM, INSTALADO EM ENTRADA DE EDIFICAÇÃO - FORNECIMENTO E INSTALAÇÃO. AF_11/2019</v>
          </cell>
          <cell r="C2993" t="str">
            <v>M</v>
          </cell>
          <cell r="D2993">
            <v>5.64</v>
          </cell>
        </row>
        <row r="2994">
          <cell r="A2994">
            <v>98266</v>
          </cell>
          <cell r="B2994" t="str">
            <v>CABO TELEFÔNICO CCI-50 6 PARES, SEM BLINDAGEM, INSTALADO EM ENTRADA DE EDIFICAÇÃO - FORNECIMENTO E INSTALAÇÃO. AF_11/2019</v>
          </cell>
          <cell r="C2994" t="str">
            <v>M</v>
          </cell>
          <cell r="D2994">
            <v>6.12</v>
          </cell>
        </row>
        <row r="2995">
          <cell r="A2995">
            <v>98267</v>
          </cell>
          <cell r="B2995" t="str">
            <v>CABO TELEFÔNICO CI-50 10 PARES INSTALADO EM ENTRADA DE EDIFICAÇÃO - FORNECIMENTO E INSTALAÇÃO. AF_11/2019</v>
          </cell>
          <cell r="C2995" t="str">
            <v>M</v>
          </cell>
          <cell r="D2995">
            <v>10.32</v>
          </cell>
        </row>
        <row r="2996">
          <cell r="A2996">
            <v>98268</v>
          </cell>
          <cell r="B2996" t="str">
            <v>CABO TELEFÔNICO CI-50 20 PARES INSTALADO EM ENTRADA DE EDIFICAÇÃO - FORNECIMENTO E INSTALAÇÃO. AF_11/2019</v>
          </cell>
          <cell r="C2996" t="str">
            <v>M</v>
          </cell>
          <cell r="D2996">
            <v>17.32</v>
          </cell>
        </row>
        <row r="2997">
          <cell r="A2997">
            <v>98269</v>
          </cell>
          <cell r="B2997" t="str">
            <v>CABO TELEFÔNICO CI-50 30 PARES INSTALADO EM ENTRADA DE EDIFICAÇÃO - FORNECIMENTO E INSTALAÇÃO. AF_11/2019</v>
          </cell>
          <cell r="C2997" t="str">
            <v>M</v>
          </cell>
          <cell r="D2997">
            <v>22.6</v>
          </cell>
        </row>
        <row r="2998">
          <cell r="A2998">
            <v>98270</v>
          </cell>
          <cell r="B2998" t="str">
            <v>CABO TELEFÔNICO CI-50 50 PARES INSTALADO EM ENTRADA DE EDIFICAÇÃO - FORNECIMENTO E INSTALAÇÃO. AF_11/2019</v>
          </cell>
          <cell r="C2998" t="str">
            <v>M</v>
          </cell>
          <cell r="D2998">
            <v>37.36</v>
          </cell>
        </row>
        <row r="2999">
          <cell r="A2999">
            <v>98271</v>
          </cell>
          <cell r="B2999" t="str">
            <v>CABO TELEFÔNICO CI-50 75 PARES INSTALADO EM ENTRADA DE EDIFICAÇÃO - FORNECIMENTO E INSTALAÇÃO. AF_11/2019</v>
          </cell>
          <cell r="C2999" t="str">
            <v>M</v>
          </cell>
          <cell r="D2999">
            <v>58.55</v>
          </cell>
        </row>
        <row r="3000">
          <cell r="A3000">
            <v>98272</v>
          </cell>
          <cell r="B3000" t="str">
            <v>CABO TELEFÔNICO CI-50 200 PARES INSTALADO EM ENTRADA DE EDIFICAÇÃO - FORNECIMENTO E INSTALAÇÃO. AF_11/2019</v>
          </cell>
          <cell r="C3000" t="str">
            <v>M</v>
          </cell>
          <cell r="D3000">
            <v>138.75</v>
          </cell>
        </row>
        <row r="3001">
          <cell r="A3001">
            <v>98273</v>
          </cell>
          <cell r="B3001" t="str">
            <v>CABO TELEFÔNICO CCI-50 4 PARES, SEM BLINDAGEM, INSTALADO EM PRUMADA - FORNECIMENTO E INSTALAÇÃO. AF_11/2019</v>
          </cell>
          <cell r="C3001" t="str">
            <v>M</v>
          </cell>
          <cell r="D3001">
            <v>2.59</v>
          </cell>
        </row>
        <row r="3002">
          <cell r="A3002">
            <v>98274</v>
          </cell>
          <cell r="B3002" t="str">
            <v>CABO TELEFÔNICO CCI-50 5 PARES, SEM BLINDAGEM, INSTALADO EM PRUMADA - FORNECIMENTO E INSTALAÇÃO. AF_11/2019</v>
          </cell>
          <cell r="C3002" t="str">
            <v>M</v>
          </cell>
          <cell r="D3002">
            <v>3.44</v>
          </cell>
        </row>
        <row r="3003">
          <cell r="A3003">
            <v>98275</v>
          </cell>
          <cell r="B3003" t="str">
            <v>CABO TELEFÔNICO CCI-50 6 PARES, SEM BLINDAGEM, INSTALADO EM PRUMADA - FORNECIMENTO E INSTALAÇÃO. AF_11/2019</v>
          </cell>
          <cell r="C3003" t="str">
            <v>M</v>
          </cell>
          <cell r="D3003">
            <v>3.94</v>
          </cell>
        </row>
        <row r="3004">
          <cell r="A3004">
            <v>98276</v>
          </cell>
          <cell r="B3004" t="str">
            <v>CABO TELEFÔNICO CI-50 10 PARES INSTALADO EM PRUMADA - FORNECIMENTO E INSTALAÇÃO. AF_11/2019</v>
          </cell>
          <cell r="C3004" t="str">
            <v>M</v>
          </cell>
          <cell r="D3004">
            <v>8.1300000000000008</v>
          </cell>
        </row>
        <row r="3005">
          <cell r="A3005">
            <v>98277</v>
          </cell>
          <cell r="B3005" t="str">
            <v>CABO TELEFÔNICO CI-50 20 PARES INSTALADO EM PRUMADA - FORNECIMENTO E INSTALAÇÃO. AF_11/2019</v>
          </cell>
          <cell r="C3005" t="str">
            <v>M</v>
          </cell>
          <cell r="D3005">
            <v>15.14</v>
          </cell>
        </row>
        <row r="3006">
          <cell r="A3006">
            <v>98278</v>
          </cell>
          <cell r="B3006" t="str">
            <v>CABO TELEFÔNICO CI-50 30 PARES INSTALADO EM PRUMADA - FORNECIMENTO E INSTALAÇÃO. AF_11/2019</v>
          </cell>
          <cell r="C3006" t="str">
            <v>M</v>
          </cell>
          <cell r="D3006">
            <v>20.41</v>
          </cell>
        </row>
        <row r="3007">
          <cell r="A3007">
            <v>98279</v>
          </cell>
          <cell r="B3007" t="str">
            <v>CABO TELEFÔNICO CI-50 50 PARES INSTALADO EM PRUMADA - FORNECIMENTO E INSTALAÇÃO. AF_11/2019</v>
          </cell>
          <cell r="C3007" t="str">
            <v>M</v>
          </cell>
          <cell r="D3007">
            <v>35.18</v>
          </cell>
        </row>
        <row r="3008">
          <cell r="A3008">
            <v>98280</v>
          </cell>
          <cell r="B3008" t="str">
            <v>CABO TELEFÔNICO CCI-50 1 PAR, SEM BLINDAGEM, INSTALADO EM DISTRIBUIÇÃO DE EDIFICAÇÃO RESIDENCIAL - FORNECIMENTO E INSTALAÇÃO. AF_11/2019</v>
          </cell>
          <cell r="C3008" t="str">
            <v>M</v>
          </cell>
          <cell r="D3008">
            <v>5.7</v>
          </cell>
        </row>
        <row r="3009">
          <cell r="A3009">
            <v>98281</v>
          </cell>
          <cell r="B3009" t="str">
            <v>CABO TELEFÔNICO CCI-50 2 PARES, SEM BLINDAGEM, INSTALADO EM DISTRIBUIÇÃO DE EDIFICAÇÃO RESIDENCIAL - FORNECIMENTO E INSTALAÇÃO. AF_11/2019</v>
          </cell>
          <cell r="C3009" t="str">
            <v>M</v>
          </cell>
          <cell r="D3009">
            <v>6.3</v>
          </cell>
        </row>
        <row r="3010">
          <cell r="A3010">
            <v>98282</v>
          </cell>
          <cell r="B3010" t="str">
            <v>CABO TELEFÔNICO CCI-50 3 PARES, SEM BLINDAGEM, INSTALADO EM DISTRIBUIÇÃO DE EDIFICAÇÃO RESIDENCIAL - FORNECIMENTO E INSTALAÇÃO. AF_11/2019</v>
          </cell>
          <cell r="C3010" t="str">
            <v>M</v>
          </cell>
          <cell r="D3010">
            <v>7.03</v>
          </cell>
        </row>
        <row r="3011">
          <cell r="A3011">
            <v>98283</v>
          </cell>
          <cell r="B3011" t="str">
            <v>CABO TELEFÔNICO CCI-50 4 PARES, SEM BLINDAGEM, INSTALADO EM DISTRIBUIÇÃO DE EDIFICAÇÃO RESIDENCIAL - FORNECIMENTO E INSTALAÇÃO. AF_11/2019</v>
          </cell>
          <cell r="C3011" t="str">
            <v>M</v>
          </cell>
          <cell r="D3011">
            <v>7.59</v>
          </cell>
        </row>
        <row r="3012">
          <cell r="A3012">
            <v>98284</v>
          </cell>
          <cell r="B3012" t="str">
            <v>CABO TELEFÔNICO CCI-50 5 PARES, SEM BLINDAGEM, INSTALADO EM DISTRIBUIÇÃO DE EDIFICAÇÃO RESIDENCIAL - FORNECIMENTO E INSTALAÇÃO. AF_11/2019</v>
          </cell>
          <cell r="C3012" t="str">
            <v>M</v>
          </cell>
          <cell r="D3012">
            <v>8.4499999999999993</v>
          </cell>
        </row>
        <row r="3013">
          <cell r="A3013">
            <v>98285</v>
          </cell>
          <cell r="B3013" t="str">
            <v>CABO TELEFÔNICO CCI-50 6 PARES, SEM BLINDAGEM, INSTALADO EM DISTRIBUIÇÃO DE EDIFICAÇÃO RESIDENCIAL - FORNECIMENTO E INSTALAÇÃO. AF_11/2019</v>
          </cell>
          <cell r="C3013" t="str">
            <v>M</v>
          </cell>
          <cell r="D3013">
            <v>8.94</v>
          </cell>
        </row>
        <row r="3014">
          <cell r="A3014">
            <v>98286</v>
          </cell>
          <cell r="B3014" t="str">
            <v>CABO TELEFÔNICO CI-50 10 PARES INSTALADO EM DISTRIBUIÇÃO DE EDIFICAÇÃO RESIDENCIAL - FORNECIMENTO E INSTALAÇÃO. AF_11/2019</v>
          </cell>
          <cell r="C3014" t="str">
            <v>M</v>
          </cell>
          <cell r="D3014">
            <v>13.14</v>
          </cell>
        </row>
        <row r="3015">
          <cell r="A3015">
            <v>98287</v>
          </cell>
          <cell r="B3015" t="str">
            <v>CABO TELEFÔNICO CCI-50 1 PAR, SEM BLINDAGEM, INSTALADO EM DISTRIBUIÇÃO DE EDIFICAÇÃO INSTITUCIONAL - FORNECIMENTO E INSTALAÇÃO. AF_11/2019</v>
          </cell>
          <cell r="C3015" t="str">
            <v>M</v>
          </cell>
          <cell r="D3015">
            <v>1.2</v>
          </cell>
        </row>
        <row r="3016">
          <cell r="A3016">
            <v>98288</v>
          </cell>
          <cell r="B3016" t="str">
            <v>CABO TELEFÔNICO CCI-50 2 PARES, SEM BLINDAGEM, INSTALADO EM DISTRIBUIÇÃO DE EDIFICAÇÃO INSTITUCIONAL - FORNECIMENTO E INSTALAÇÃO. AF_11/2019</v>
          </cell>
          <cell r="C3016" t="str">
            <v>M</v>
          </cell>
          <cell r="D3016">
            <v>1.79</v>
          </cell>
        </row>
        <row r="3017">
          <cell r="A3017">
            <v>98289</v>
          </cell>
          <cell r="B3017" t="str">
            <v>CABO TELEFÔNICO CCI-50 3 PARES, SEM BLINDAGEM, INSTALADO EM DISTRIBUIÇÃO DE EDIFICAÇÃO INSTITUCIONAL - FORNECIMENTO E INSTALAÇÃO. AF_11/2019</v>
          </cell>
          <cell r="C3017" t="str">
            <v>M</v>
          </cell>
          <cell r="D3017">
            <v>2.52</v>
          </cell>
        </row>
        <row r="3018">
          <cell r="A3018">
            <v>98290</v>
          </cell>
          <cell r="B3018" t="str">
            <v>CABO TELEFÔNICO CCI-50 4 PARES, SEM BLINDAGEM, INSTALADO EM DISTRIBUIÇÃO DE EDIFICAÇÃO INSTITUCIONAL - FORNECIMENTO E INSTALAÇÃO. AF_11/2019</v>
          </cell>
          <cell r="C3018" t="str">
            <v>M</v>
          </cell>
          <cell r="D3018">
            <v>3.09</v>
          </cell>
        </row>
        <row r="3019">
          <cell r="A3019">
            <v>98291</v>
          </cell>
          <cell r="B3019" t="str">
            <v>CABO TELEFÔNICO CCI-50 5 PARES, SEM BLINDAGEM, INSTALADO EM DISTRIBUIÇÃO DE EDIFICAÇÃO INSTITUCIONAL - FORNECIMENTO E INSTALAÇÃO. AF_11/2019</v>
          </cell>
          <cell r="C3019" t="str">
            <v>M</v>
          </cell>
          <cell r="D3019">
            <v>3.94</v>
          </cell>
        </row>
        <row r="3020">
          <cell r="A3020">
            <v>98292</v>
          </cell>
          <cell r="B3020" t="str">
            <v>CABO TELEFÔNICO CCI-50 6 PARES, SEM BLINDAGEM, INSTALADO EM DISTRIBUIÇÃO DE EDIFICAÇÃO INSTITUCIONAL - FORNECIMENTO E INSTALAÇÃO. AF_11/2019</v>
          </cell>
          <cell r="C3020" t="str">
            <v>M</v>
          </cell>
          <cell r="D3020">
            <v>4.43</v>
          </cell>
        </row>
        <row r="3021">
          <cell r="A3021">
            <v>98293</v>
          </cell>
          <cell r="B3021" t="str">
            <v>CABO TELEFÔNICO CI-50 10 PARES INSTALADO EM DISTRIBUIÇÃO DE EDIFICAÇÃO INSTITUCIONAL - FORNECIMENTO E INSTALAÇÃO. AF_11/2019</v>
          </cell>
          <cell r="C3021" t="str">
            <v>M</v>
          </cell>
          <cell r="D3021">
            <v>8.6300000000000008</v>
          </cell>
        </row>
        <row r="3022">
          <cell r="A3022">
            <v>98400</v>
          </cell>
          <cell r="B3022" t="str">
            <v>CABO TELEFÔNICO CTP-APL-50 10 PARES INSTALADO EM ENTRADA DE EDIFICAÇÃO - FORNECIMENTO E INSTALAÇÃO. AF_11/2019</v>
          </cell>
          <cell r="C3022" t="str">
            <v>M</v>
          </cell>
          <cell r="D3022">
            <v>12.41</v>
          </cell>
        </row>
        <row r="3023">
          <cell r="A3023">
            <v>98401</v>
          </cell>
          <cell r="B3023" t="str">
            <v>CABO TELEFÔNICO CTP-APL-50 20 PARES INSTALADO EM ENTRADA DE EDIFICAÇÃO - FORNECIMENTO E INSTALAÇÃO. AF_11/2019</v>
          </cell>
          <cell r="C3023" t="str">
            <v>M</v>
          </cell>
          <cell r="D3023">
            <v>19.579999999999998</v>
          </cell>
        </row>
        <row r="3024">
          <cell r="A3024">
            <v>98402</v>
          </cell>
          <cell r="B3024" t="str">
            <v>CABO TELEFÔNICO CTP-APL-50 30 PARES INSTALADO EM ENTRADA DE EDIFICAÇÃO - FORNECIMENTO E INSTALAÇÃO. AF_11/2019</v>
          </cell>
          <cell r="C3024" t="str">
            <v>M</v>
          </cell>
          <cell r="D3024">
            <v>25.6</v>
          </cell>
        </row>
        <row r="3025">
          <cell r="A3025">
            <v>100556</v>
          </cell>
          <cell r="B3025" t="str">
            <v>CAIXA DE PASSAGEM PARA TELEFONE 15X15X10CM (SOBREPOR), FORNECIMENTO E INSTALACAO. AF_11/2019</v>
          </cell>
          <cell r="C3025" t="str">
            <v>UN</v>
          </cell>
          <cell r="D3025">
            <v>30.87</v>
          </cell>
        </row>
        <row r="3026">
          <cell r="A3026">
            <v>100557</v>
          </cell>
          <cell r="B3026" t="str">
            <v>CAIXA DE PASSAGEM PARA TELEFONE 80X80X15CM (SOBREPOR) FORNECIMENTO E INSTALACAO. AF_11/2019</v>
          </cell>
          <cell r="C3026" t="str">
            <v>UN</v>
          </cell>
          <cell r="D3026">
            <v>379.61</v>
          </cell>
        </row>
        <row r="3027">
          <cell r="A3027">
            <v>100560</v>
          </cell>
          <cell r="B3027" t="str">
            <v>QUADRO DE DISTRIBUIÇÃO PARA TELEFONE N.2, 20X20X12CM EM CHAPA METALICA, DE EMBUTIR, SEM ACESSORIOS, PADRÃO TELEBRAS, FORNECIMENTO E INSTALAÇÃO. AF_11/2019</v>
          </cell>
          <cell r="C3027" t="str">
            <v>UN</v>
          </cell>
          <cell r="D3027">
            <v>83.69</v>
          </cell>
        </row>
        <row r="3028">
          <cell r="A3028">
            <v>100561</v>
          </cell>
          <cell r="B3028" t="str">
            <v>QUADRO DE DISTRIBUICAO PARA TELEFONE N.3, 40X40X12CM EM CHAPA METALICA, DE EMBUTIR, SEM ACESSORIOS, PADRAO TELEBRAS, FORNECIMENTO E INSTALAÇÃO. AF_11/2019</v>
          </cell>
          <cell r="C3028" t="str">
            <v>UN</v>
          </cell>
          <cell r="D3028">
            <v>151.66999999999999</v>
          </cell>
        </row>
        <row r="3029">
          <cell r="A3029">
            <v>100562</v>
          </cell>
          <cell r="B3029" t="str">
            <v>QUADRO DE DISTRIBUICAO PARA TELEFONE N.4, 60X60X12CM EM CHAPA METALICA, DE EMBUTIR, SEM ACESSORIOS, PADRAO TELEBRAS, FORNECIMENTO E INSTALAÇÃO. AF_11/2019</v>
          </cell>
          <cell r="C3029" t="str">
            <v>UN</v>
          </cell>
          <cell r="D3029">
            <v>233.81</v>
          </cell>
        </row>
        <row r="3030">
          <cell r="A3030">
            <v>100563</v>
          </cell>
          <cell r="B3030" t="str">
            <v>QUADRO DE DISTRIBUIÇÃO PARA TELEFONE N.5, 80X80X12CM EM CHAPA METALICA, SEM ACESSORIOS, PADRAO TELEBRAS, FORNECIMENTO E INSTALAÇÃO. AF_11/2019</v>
          </cell>
          <cell r="C3030" t="str">
            <v>UN</v>
          </cell>
          <cell r="D3030">
            <v>336.14</v>
          </cell>
        </row>
        <row r="3031">
          <cell r="A3031">
            <v>98397</v>
          </cell>
          <cell r="B3031" t="str">
            <v>PINTURA ANTICORROSIVA DE DUTO METÁLICO. AF_04/2018</v>
          </cell>
          <cell r="C3031" t="str">
            <v>M2</v>
          </cell>
          <cell r="D3031">
            <v>8.4700000000000006</v>
          </cell>
        </row>
        <row r="3032">
          <cell r="A3032" t="str">
            <v>74003/1</v>
          </cell>
          <cell r="B3032" t="str">
            <v>INSTALACOES GAS CENTRAL P/ EDIFICIO RESIDENCIAL C/ 4 PAVTOS 16 UNID.  UMA CENTRAL POR BLOCO COM 16 PONTOS</v>
          </cell>
          <cell r="C3032" t="str">
            <v>UN</v>
          </cell>
          <cell r="D3032">
            <v>5363.53</v>
          </cell>
        </row>
        <row r="3033">
          <cell r="A3033">
            <v>85120</v>
          </cell>
          <cell r="B3033" t="str">
            <v>MANOMETRO 0 A 200 PSI (0 A 14 KGF/CM2), D = 50MM - FORNECIMENTO E COLOCACAO</v>
          </cell>
          <cell r="C3033" t="str">
            <v>UN</v>
          </cell>
          <cell r="D3033">
            <v>106.64</v>
          </cell>
        </row>
        <row r="3034">
          <cell r="A3034">
            <v>83486</v>
          </cell>
          <cell r="B3034" t="str">
            <v>BOMBA CENTRIFUGA C/ MOTOR ELETRICO TRIFASICO 1CV</v>
          </cell>
          <cell r="C3034" t="str">
            <v>UN</v>
          </cell>
          <cell r="D3034">
            <v>1258.4100000000001</v>
          </cell>
        </row>
        <row r="3035">
          <cell r="A3035">
            <v>83643</v>
          </cell>
          <cell r="B3035" t="str">
            <v>BOMBA SUBMERSIVEL ELETRICA, TRIFASICA, POTÊNCIA 3,75 HP, DIAMETRO DO ROTOR 90 MM SEMIABERTO, BOCAL DE SAIDA DIAMETRO DE 2 POLEGADAS, HM/Q = 5 M / 61,2 M3/H A 25,5 M / 3,6 M3/H</v>
          </cell>
          <cell r="C3035" t="str">
            <v>UN</v>
          </cell>
          <cell r="D3035">
            <v>3836.03</v>
          </cell>
        </row>
        <row r="3036">
          <cell r="A3036">
            <v>83644</v>
          </cell>
          <cell r="B3036" t="str">
            <v>BOMBA RECALQUE D'AGUA TRIFASICA 10,0 HP</v>
          </cell>
          <cell r="C3036" t="str">
            <v>UN</v>
          </cell>
          <cell r="D3036">
            <v>5399.46</v>
          </cell>
        </row>
        <row r="3037">
          <cell r="A3037">
            <v>83645</v>
          </cell>
          <cell r="B3037" t="str">
            <v>BOMBA RECALQUE D'AGUA TRIFASICA 3,0 HP</v>
          </cell>
          <cell r="C3037" t="str">
            <v>UN</v>
          </cell>
          <cell r="D3037">
            <v>1709.92</v>
          </cell>
        </row>
        <row r="3038">
          <cell r="A3038">
            <v>83646</v>
          </cell>
          <cell r="B3038" t="str">
            <v>BOMBA RECALQUE D'AGUA DE ESTAGIOS TRIFASICA 2,0 HP</v>
          </cell>
          <cell r="C3038" t="str">
            <v>UN</v>
          </cell>
          <cell r="D3038">
            <v>1986.35</v>
          </cell>
        </row>
        <row r="3039">
          <cell r="A3039">
            <v>83647</v>
          </cell>
          <cell r="B3039" t="str">
            <v>BOMBA RECALQUE D'AGUA TRIFASICA 1,5HP</v>
          </cell>
          <cell r="C3039" t="str">
            <v>UN</v>
          </cell>
          <cell r="D3039">
            <v>1296.24</v>
          </cell>
        </row>
        <row r="3040">
          <cell r="A3040">
            <v>83648</v>
          </cell>
          <cell r="B3040" t="str">
            <v>BOMBA RECALQUE D'AGUA TRIFASICA 0,5 HP</v>
          </cell>
          <cell r="C3040" t="str">
            <v>UN</v>
          </cell>
          <cell r="D3040">
            <v>828.89</v>
          </cell>
        </row>
        <row r="3041">
          <cell r="A3041">
            <v>83649</v>
          </cell>
          <cell r="B3041" t="str">
            <v>BOMBA RECALQUE D'AGUA PREDIO 6 A 10 PAVTOS - 2UD</v>
          </cell>
          <cell r="C3041" t="str">
            <v>UN</v>
          </cell>
          <cell r="D3041">
            <v>4969.34</v>
          </cell>
        </row>
        <row r="3042">
          <cell r="A3042">
            <v>83650</v>
          </cell>
          <cell r="B3042" t="str">
            <v>BOMBA RECALQUE D'AGUA PREDIO 3 A 5 PAVTOS - 2UD</v>
          </cell>
          <cell r="C3042" t="str">
            <v>UN</v>
          </cell>
          <cell r="D3042">
            <v>4141.9799999999996</v>
          </cell>
        </row>
        <row r="3043">
          <cell r="A3043">
            <v>98294</v>
          </cell>
          <cell r="B3043" t="str">
            <v>CABO ELETRÔNICO CATEGORIA 5E, INSTALADO EM EDIFICAÇÃO RESIDENCIAL - FORNECIMENTO E INSTALAÇÃO. AF_11/2019</v>
          </cell>
          <cell r="C3043" t="str">
            <v>M</v>
          </cell>
          <cell r="D3043">
            <v>1.7</v>
          </cell>
        </row>
        <row r="3044">
          <cell r="A3044">
            <v>98295</v>
          </cell>
          <cell r="B3044" t="str">
            <v>CABO ELETRÔNICO CATEGORIA 5E, INSTALADO EM EDIFICAÇÃO INSTITUCIONAL - FORNECIMENTO E INSTALAÇÃO. AF_11/2019</v>
          </cell>
          <cell r="C3044" t="str">
            <v>M</v>
          </cell>
          <cell r="D3044">
            <v>1.19</v>
          </cell>
        </row>
        <row r="3045">
          <cell r="A3045">
            <v>98296</v>
          </cell>
          <cell r="B3045" t="str">
            <v>CABO ELETRÔNICO CATEGORIA 6, INSTALADO EM EDIFICAÇÃO RESIDENCIAL - FORNECIMENTO E INSTALAÇÃO. AF_11/2019</v>
          </cell>
          <cell r="C3045" t="str">
            <v>M</v>
          </cell>
          <cell r="D3045">
            <v>2.63</v>
          </cell>
        </row>
        <row r="3046">
          <cell r="A3046">
            <v>98297</v>
          </cell>
          <cell r="B3046" t="str">
            <v>CABO ELETRÔNICO CATEGORIA 6, INSTALADO EM EDIFICAÇÃO INSTITUCIONAL - FORNECIMENTO E INSTALAÇÃO. AF_11/2019</v>
          </cell>
          <cell r="C3046" t="str">
            <v>M</v>
          </cell>
          <cell r="D3046">
            <v>1.82</v>
          </cell>
        </row>
        <row r="3047">
          <cell r="A3047">
            <v>98301</v>
          </cell>
          <cell r="B3047" t="str">
            <v>PATCH PANEL 24 PORTAS, CATEGORIA 5E - FORNECIMENTO E INSTALAÇÃO. AF_11/2019</v>
          </cell>
          <cell r="C3047" t="str">
            <v>UN</v>
          </cell>
          <cell r="D3047">
            <v>395.5</v>
          </cell>
        </row>
        <row r="3048">
          <cell r="A3048">
            <v>98302</v>
          </cell>
          <cell r="B3048" t="str">
            <v>PATCH PANEL 24 PORTAS, CATEGORIA 6 - FORNECIMENTO E INSTALAÇÃO. AF_11/2019</v>
          </cell>
          <cell r="C3048" t="str">
            <v>UN</v>
          </cell>
          <cell r="D3048">
            <v>521.85</v>
          </cell>
        </row>
        <row r="3049">
          <cell r="A3049">
            <v>98304</v>
          </cell>
          <cell r="B3049" t="str">
            <v>PATCH PANEL 48 PORTAS, CATEGORIA 6 - FORNECIMENTO E INSTALAÇÃO. AF_11/2019</v>
          </cell>
          <cell r="C3049" t="str">
            <v>UN</v>
          </cell>
          <cell r="D3049">
            <v>847.8</v>
          </cell>
        </row>
        <row r="3050">
          <cell r="A3050">
            <v>98307</v>
          </cell>
          <cell r="B3050" t="str">
            <v>TOMADA DE REDE RJ45 - FORNECIMENTO E INSTALAÇÃO. AF_11/2019</v>
          </cell>
          <cell r="C3050" t="str">
            <v>UN</v>
          </cell>
          <cell r="D3050">
            <v>28.92</v>
          </cell>
        </row>
        <row r="3051">
          <cell r="A3051">
            <v>98308</v>
          </cell>
          <cell r="B3051" t="str">
            <v>TOMADA PARA TELEFONE RJ11 - FORNECIMENTO E INSTALAÇÃO. AF_11/2019</v>
          </cell>
          <cell r="C3051" t="str">
            <v>UN</v>
          </cell>
          <cell r="D3051">
            <v>19.63</v>
          </cell>
        </row>
        <row r="3052">
          <cell r="A3052">
            <v>98593</v>
          </cell>
          <cell r="B3052" t="str">
            <v>PATCH PANEL 48 PORTAS, CATEGORIA 5E - FORNECIMENTO E INSTALAÇÃO. AF_11/2019</v>
          </cell>
          <cell r="C3052" t="str">
            <v>UN</v>
          </cell>
          <cell r="D3052">
            <v>696.89</v>
          </cell>
        </row>
        <row r="3053">
          <cell r="A3053">
            <v>89355</v>
          </cell>
          <cell r="B3053" t="str">
            <v>TUBO, PVC, SOLDÁVEL, DN 20MM, INSTALADO EM RAMAL OU SUB-RAMAL DE ÁGUA - FORNECIMENTO E INSTALAÇÃO. AF_12/2014</v>
          </cell>
          <cell r="C3053" t="str">
            <v>M</v>
          </cell>
          <cell r="D3053">
            <v>13.78</v>
          </cell>
        </row>
        <row r="3054">
          <cell r="A3054">
            <v>89356</v>
          </cell>
          <cell r="B3054" t="str">
            <v>TUBO, PVC, SOLDÁVEL, DN 25MM, INSTALADO EM RAMAL OU SUB-RAMAL DE ÁGUA - FORNECIMENTO E INSTALAÇÃO. AF_12/2014</v>
          </cell>
          <cell r="C3054" t="str">
            <v>M</v>
          </cell>
          <cell r="D3054">
            <v>16.239999999999998</v>
          </cell>
        </row>
        <row r="3055">
          <cell r="A3055">
            <v>89357</v>
          </cell>
          <cell r="B3055" t="str">
            <v>TUBO, PVC, SOLDÁVEL, DN 32MM, INSTALADO EM RAMAL OU SUB-RAMAL DE ÁGUA - FORNECIMENTO E INSTALAÇÃO. AF_12/2014</v>
          </cell>
          <cell r="C3055" t="str">
            <v>M</v>
          </cell>
          <cell r="D3055">
            <v>22.51</v>
          </cell>
        </row>
        <row r="3056">
          <cell r="A3056">
            <v>89401</v>
          </cell>
          <cell r="B3056" t="str">
            <v>TUBO, PVC, SOLDÁVEL, DN 20MM, INSTALADO EM RAMAL DE DISTRIBUIÇÃO DE ÁGUA - FORNECIMENTO E INSTALAÇÃO. AF_12/2014</v>
          </cell>
          <cell r="C3056" t="str">
            <v>M</v>
          </cell>
          <cell r="D3056">
            <v>5.81</v>
          </cell>
        </row>
        <row r="3057">
          <cell r="A3057">
            <v>89402</v>
          </cell>
          <cell r="B3057" t="str">
            <v>TUBO, PVC, SOLDÁVEL, DN 25MM, INSTALADO EM RAMAL DE DISTRIBUIÇÃO DE ÁGUA - FORNECIMENTO E INSTALAÇÃO. AF_12/2014</v>
          </cell>
          <cell r="C3057" t="str">
            <v>M</v>
          </cell>
          <cell r="D3057">
            <v>7.03</v>
          </cell>
        </row>
        <row r="3058">
          <cell r="A3058">
            <v>89403</v>
          </cell>
          <cell r="B3058" t="str">
            <v>TUBO, PVC, SOLDÁVEL, DN 32MM, INSTALADO EM RAMAL DE DISTRIBUIÇÃO DE ÁGUA - FORNECIMENTO E INSTALAÇÃO. AF_12/2014</v>
          </cell>
          <cell r="C3058" t="str">
            <v>M</v>
          </cell>
          <cell r="D3058">
            <v>11.51</v>
          </cell>
        </row>
        <row r="3059">
          <cell r="A3059">
            <v>89446</v>
          </cell>
          <cell r="B3059" t="str">
            <v>TUBO, PVC, SOLDÁVEL, DN 25MM, INSTALADO EM PRUMADA DE ÁGUA - FORNECIMENTO E INSTALAÇÃO. AF_12/2014</v>
          </cell>
          <cell r="C3059" t="str">
            <v>M</v>
          </cell>
          <cell r="D3059">
            <v>3.54</v>
          </cell>
        </row>
        <row r="3060">
          <cell r="A3060">
            <v>89447</v>
          </cell>
          <cell r="B3060" t="str">
            <v>TUBO, PVC, SOLDÁVEL, DN 32MM, INSTALADO EM PRUMADA DE ÁGUA - FORNECIMENTO E INSTALAÇÃO. AF_12/2014</v>
          </cell>
          <cell r="C3060" t="str">
            <v>M</v>
          </cell>
          <cell r="D3060">
            <v>7.4</v>
          </cell>
        </row>
        <row r="3061">
          <cell r="A3061">
            <v>89448</v>
          </cell>
          <cell r="B3061" t="str">
            <v>TUBO, PVC, SOLDÁVEL, DN 40MM, INSTALADO EM PRUMADA DE ÁGUA - FORNECIMENTO E INSTALAÇÃO. AF_12/2014</v>
          </cell>
          <cell r="C3061" t="str">
            <v>M</v>
          </cell>
          <cell r="D3061">
            <v>10.62</v>
          </cell>
        </row>
        <row r="3062">
          <cell r="A3062">
            <v>89449</v>
          </cell>
          <cell r="B3062" t="str">
            <v>TUBO, PVC, SOLDÁVEL, DN 50MM, INSTALADO EM PRUMADA DE ÁGUA - FORNECIMENTO E INSTALAÇÃO. AF_12/2014</v>
          </cell>
          <cell r="C3062" t="str">
            <v>M</v>
          </cell>
          <cell r="D3062">
            <v>12.22</v>
          </cell>
        </row>
        <row r="3063">
          <cell r="A3063">
            <v>89450</v>
          </cell>
          <cell r="B3063" t="str">
            <v>TUBO, PVC, SOLDÁVEL, DN 60MM, INSTALADO EM PRUMADA DE ÁGUA - FORNECIMENTO E INSTALAÇÃO. AF_12/2014</v>
          </cell>
          <cell r="C3063" t="str">
            <v>M</v>
          </cell>
          <cell r="D3063">
            <v>20.100000000000001</v>
          </cell>
        </row>
        <row r="3064">
          <cell r="A3064">
            <v>89451</v>
          </cell>
          <cell r="B3064" t="str">
            <v>TUBO, PVC, SOLDÁVEL, DN 75MM, INSTALADO EM PRUMADA DE ÁGUA - FORNECIMENTO E INSTALAÇÃO. AF_12/2014</v>
          </cell>
          <cell r="C3064" t="str">
            <v>M</v>
          </cell>
          <cell r="D3064">
            <v>33.15</v>
          </cell>
        </row>
        <row r="3065">
          <cell r="A3065">
            <v>89452</v>
          </cell>
          <cell r="B3065" t="str">
            <v>TUBO, PVC, SOLDÁVEL, DN 85MM, INSTALADO EM PRUMADA DE ÁGUA - FORNECIMENTO E INSTALAÇÃO. AF_12/2014</v>
          </cell>
          <cell r="C3065" t="str">
            <v>M</v>
          </cell>
          <cell r="D3065">
            <v>41.24</v>
          </cell>
        </row>
        <row r="3066">
          <cell r="A3066">
            <v>89508</v>
          </cell>
          <cell r="B3066" t="str">
            <v>TUBO PVC, SÉRIE R, ÁGUA PLUVIAL, DN 40 MM, FORNECIDO E INSTALADO EM RAMAL DE ENCAMINHAMENTO. AF_12/2014</v>
          </cell>
          <cell r="C3066" t="str">
            <v>M</v>
          </cell>
          <cell r="D3066">
            <v>15.28</v>
          </cell>
        </row>
        <row r="3067">
          <cell r="A3067">
            <v>89509</v>
          </cell>
          <cell r="B3067" t="str">
            <v>TUBO PVC, SÉRIE R, ÁGUA PLUVIAL, DN 50 MM, FORNECIDO E INSTALADO EM RAMAL DE ENCAMINHAMENTO. AF_12/2014</v>
          </cell>
          <cell r="C3067" t="str">
            <v>M</v>
          </cell>
          <cell r="D3067">
            <v>21.61</v>
          </cell>
        </row>
        <row r="3068">
          <cell r="A3068">
            <v>89511</v>
          </cell>
          <cell r="B3068" t="str">
            <v>TUBO PVC, SÉRIE R, ÁGUA PLUVIAL, DN 75 MM, FORNECIDO E INSTALADO EM RAMAL DE ENCAMINHAMENTO. AF_12/2014</v>
          </cell>
          <cell r="C3068" t="str">
            <v>M</v>
          </cell>
          <cell r="D3068">
            <v>32.69</v>
          </cell>
        </row>
        <row r="3069">
          <cell r="A3069">
            <v>89512</v>
          </cell>
          <cell r="B3069" t="str">
            <v>TUBO PVC, SÉRIE R, ÁGUA PLUVIAL, DN 100 MM, FORNECIDO E INSTALADO EM RAMAL DE ENCAMINHAMENTO. AF_12/2014</v>
          </cell>
          <cell r="C3069" t="str">
            <v>M</v>
          </cell>
          <cell r="D3069">
            <v>51.45</v>
          </cell>
        </row>
        <row r="3070">
          <cell r="A3070">
            <v>89576</v>
          </cell>
          <cell r="B3070" t="str">
            <v>TUBO PVC, SÉRIE R, ÁGUA PLUVIAL, DN 75 MM, FORNECIDO E INSTALADO EM CONDUTORES VERTICAIS DE ÁGUAS PLUVIAIS. AF_12/2014</v>
          </cell>
          <cell r="C3070" t="str">
            <v>M</v>
          </cell>
          <cell r="D3070">
            <v>18.5</v>
          </cell>
        </row>
        <row r="3071">
          <cell r="A3071">
            <v>89578</v>
          </cell>
          <cell r="B3071" t="str">
            <v>TUBO PVC, SÉRIE R, ÁGUA PLUVIAL, DN 100 MM, FORNECIDO E INSTALADO EM CONDUTORES VERTICAIS DE ÁGUAS PLUVIAIS. AF_12/2014</v>
          </cell>
          <cell r="C3071" t="str">
            <v>M</v>
          </cell>
          <cell r="D3071">
            <v>31.82</v>
          </cell>
        </row>
        <row r="3072">
          <cell r="A3072">
            <v>89580</v>
          </cell>
          <cell r="B3072" t="str">
            <v>TUBO PVC, SÉRIE R, ÁGUA PLUVIAL, DN 150 MM, FORNECIDO E INSTALADO EM CONDUTORES VERTICAIS DE ÁGUAS PLUVIAIS. AF_12/2014</v>
          </cell>
          <cell r="C3072" t="str">
            <v>M</v>
          </cell>
          <cell r="D3072">
            <v>62.37</v>
          </cell>
        </row>
        <row r="3073">
          <cell r="A3073">
            <v>89633</v>
          </cell>
          <cell r="B3073" t="str">
            <v>TUBO, CPVC, SOLDÁVEL, DN 15MM, INSTALADO EM RAMAL OU SUB-RAMAL DE ÁGUA - FORNECIMENTO E INSTALAÇÃO. AF_12/2014</v>
          </cell>
          <cell r="C3073" t="str">
            <v>M</v>
          </cell>
          <cell r="D3073">
            <v>20.059999999999999</v>
          </cell>
        </row>
        <row r="3074">
          <cell r="A3074">
            <v>89634</v>
          </cell>
          <cell r="B3074" t="str">
            <v>TUBO, CPVC, SOLDÁVEL, DN 22MM, INSTALADO EM RAMAL OU SUB-RAMAL DE ÁGUA - FORNECIMENTO E INSTALAÇÃO. AF_12/2014</v>
          </cell>
          <cell r="C3074" t="str">
            <v>M</v>
          </cell>
          <cell r="D3074">
            <v>30.76</v>
          </cell>
        </row>
        <row r="3075">
          <cell r="A3075">
            <v>89635</v>
          </cell>
          <cell r="B3075" t="str">
            <v>TUBO, CPVC, SOLDÁVEL, DN 28MM, INSTALADO EM RAMAL OU SUB-RAMAL DE ÁGUA - FORNECIMENTO E INSTALAÇÃO. AF_12/2014</v>
          </cell>
          <cell r="C3075" t="str">
            <v>M</v>
          </cell>
          <cell r="D3075">
            <v>44.3</v>
          </cell>
        </row>
        <row r="3076">
          <cell r="A3076">
            <v>89636</v>
          </cell>
          <cell r="B3076" t="str">
            <v>TUBO, CPVC, SOLDÁVEL, DN 35MM, INSTALADO EM RAMAL OU SUB-RAMAL DE ÁGUA  FORNECIMENTO E INSTALAÇÃO. AF_12/2014</v>
          </cell>
          <cell r="C3076" t="str">
            <v>M</v>
          </cell>
          <cell r="D3076">
            <v>53.99</v>
          </cell>
        </row>
        <row r="3077">
          <cell r="A3077">
            <v>89711</v>
          </cell>
          <cell r="B3077" t="str">
            <v>TUBO PVC, SERIE NORMAL, ESGOTO PREDIAL, DN 40 MM, FORNECIDO E INSTALADO EM RAMAL DE DESCARGA OU RAMAL DE ESGOTO SANITÁRIO. AF_12/2014</v>
          </cell>
          <cell r="C3077" t="str">
            <v>M</v>
          </cell>
          <cell r="D3077">
            <v>14.73</v>
          </cell>
        </row>
        <row r="3078">
          <cell r="A3078">
            <v>89712</v>
          </cell>
          <cell r="B3078" t="str">
            <v>TUBO PVC, SERIE NORMAL, ESGOTO PREDIAL, DN 50 MM, FORNECIDO E INSTALADO EM RAMAL DE DESCARGA OU RAMAL DE ESGOTO SANITÁRIO. AF_12/2014</v>
          </cell>
          <cell r="C3078" t="str">
            <v>M</v>
          </cell>
          <cell r="D3078">
            <v>22.46</v>
          </cell>
        </row>
        <row r="3079">
          <cell r="A3079">
            <v>89713</v>
          </cell>
          <cell r="B3079" t="str">
            <v>TUBO PVC, SERIE NORMAL, ESGOTO PREDIAL, DN 75 MM, FORNECIDO E INSTALADO EM RAMAL DE DESCARGA OU RAMAL DE ESGOTO SANITÁRIO. AF_12/2014</v>
          </cell>
          <cell r="C3079" t="str">
            <v>M</v>
          </cell>
          <cell r="D3079">
            <v>34.65</v>
          </cell>
        </row>
        <row r="3080">
          <cell r="A3080">
            <v>89714</v>
          </cell>
          <cell r="B3080" t="str">
            <v>TUBO PVC, SERIE NORMAL, ESGOTO PREDIAL, DN 100 MM, FORNECIDO E INSTALADO EM RAMAL DE DESCARGA OU RAMAL DE ESGOTO SANITÁRIO. AF_12/2014</v>
          </cell>
          <cell r="C3080" t="str">
            <v>M</v>
          </cell>
          <cell r="D3080">
            <v>44.83</v>
          </cell>
        </row>
        <row r="3081">
          <cell r="A3081">
            <v>89716</v>
          </cell>
          <cell r="B3081" t="str">
            <v>TUBO, CPVC, SOLDÁVEL, DN 22MM, INSTALADO EM RAMAL DE DISTRIBUIÇÃO DE ÁGUA - FORNECIMENTO E INSTALAÇÃO. AF_12/2014</v>
          </cell>
          <cell r="C3081" t="str">
            <v>M</v>
          </cell>
          <cell r="D3081">
            <v>22.43</v>
          </cell>
        </row>
        <row r="3082">
          <cell r="A3082">
            <v>89717</v>
          </cell>
          <cell r="B3082" t="str">
            <v>TUBO, CPVC, SOLDÁVEL, DN 28MM, INSTALADO EM RAMAL DE DISTRIBUIÇÃO DE ÁGUA - FORNECIMENTO E INSTALAÇÃO. AF_12/2014</v>
          </cell>
          <cell r="C3082" t="str">
            <v>M</v>
          </cell>
          <cell r="D3082">
            <v>34.479999999999997</v>
          </cell>
        </row>
        <row r="3083">
          <cell r="A3083">
            <v>89770</v>
          </cell>
          <cell r="B3083" t="str">
            <v>TUBO, CPVC, SOLDÁVEL, DN 35MM, INSTALADO EM PRUMADA DE ÁGUA  FORNECIMENTO E INSTALAÇÃO. AF_12/2014</v>
          </cell>
          <cell r="C3083" t="str">
            <v>M</v>
          </cell>
          <cell r="D3083">
            <v>38.11</v>
          </cell>
        </row>
        <row r="3084">
          <cell r="A3084">
            <v>89771</v>
          </cell>
          <cell r="B3084" t="str">
            <v>TUBO, CPVC, SOLDÁVEL, DN 42MM, INSTALADO EM PRUMADA DE ÁGUA  FORNECIMENTO E INSTALAÇÃO. AF_12/2014</v>
          </cell>
          <cell r="C3084" t="str">
            <v>M</v>
          </cell>
          <cell r="D3084">
            <v>52.1</v>
          </cell>
        </row>
        <row r="3085">
          <cell r="A3085">
            <v>89773</v>
          </cell>
          <cell r="B3085" t="str">
            <v>TUBO, CPVC, SOLDÁVEL, DN 73MM, INSTALADO EM PRUMADA DE ÁGUA  FORNECIMENTO E INSTALAÇÃO. AF_12/2014</v>
          </cell>
          <cell r="C3085" t="str">
            <v>M</v>
          </cell>
          <cell r="D3085">
            <v>121.4</v>
          </cell>
        </row>
        <row r="3086">
          <cell r="A3086">
            <v>89775</v>
          </cell>
          <cell r="B3086" t="str">
            <v>TUBO, CPVC, SOLDÁVEL, DN 89MM, INSTALADO EM PRUMADA DE ÁGUA  FORNECIMENTO E INSTALAÇÃO. AF_12/2014</v>
          </cell>
          <cell r="C3086" t="str">
            <v>M</v>
          </cell>
          <cell r="D3086">
            <v>191.82</v>
          </cell>
        </row>
        <row r="3087">
          <cell r="A3087">
            <v>89798</v>
          </cell>
          <cell r="B3087" t="str">
            <v>TUBO PVC, SERIE NORMAL, ESGOTO PREDIAL, DN 50 MM, FORNECIDO E INSTALADO EM PRUMADA DE ESGOTO SANITÁRIO OU VENTILAÇÃO. AF_12/2014</v>
          </cell>
          <cell r="C3087" t="str">
            <v>M</v>
          </cell>
          <cell r="D3087">
            <v>9.16</v>
          </cell>
        </row>
        <row r="3088">
          <cell r="A3088">
            <v>89799</v>
          </cell>
          <cell r="B3088" t="str">
            <v>TUBO PVC, SERIE NORMAL, ESGOTO PREDIAL, DN 75 MM, FORNECIDO E INSTALADO EM PRUMADA DE ESGOTO SANITÁRIO OU VENTILAÇÃO. AF_12/2014</v>
          </cell>
          <cell r="C3088" t="str">
            <v>M</v>
          </cell>
          <cell r="D3088">
            <v>15.22</v>
          </cell>
        </row>
        <row r="3089">
          <cell r="A3089">
            <v>89800</v>
          </cell>
          <cell r="B3089" t="str">
            <v>TUBO PVC, SERIE NORMAL, ESGOTO PREDIAL, DN 100 MM, FORNECIDO E INSTALADO EM PRUMADA DE ESGOTO SANITÁRIO OU VENTILAÇÃO. AF_12/2014</v>
          </cell>
          <cell r="C3089" t="str">
            <v>M</v>
          </cell>
          <cell r="D3089">
            <v>19.07</v>
          </cell>
        </row>
        <row r="3090">
          <cell r="A3090">
            <v>89848</v>
          </cell>
          <cell r="B3090" t="str">
            <v>TUBO PVC, SERIE NORMAL, ESGOTO PREDIAL, DN 100 MM, FORNECIDO E INSTALADO EM SUBCOLETOR AÉREO DE ESGOTO SANITÁRIO. AF_12/2014</v>
          </cell>
          <cell r="C3090" t="str">
            <v>M</v>
          </cell>
          <cell r="D3090">
            <v>23.44</v>
          </cell>
        </row>
        <row r="3091">
          <cell r="A3091">
            <v>89849</v>
          </cell>
          <cell r="B3091" t="str">
            <v>TUBO PVC, SERIE NORMAL, ESGOTO PREDIAL, DN 150 MM, FORNECIDO E INSTALADO EM SUBCOLETOR AÉREO DE ESGOTO SANITÁRIO. AF_12/2014</v>
          </cell>
          <cell r="C3091" t="str">
            <v>M</v>
          </cell>
          <cell r="D3091">
            <v>44.88</v>
          </cell>
        </row>
        <row r="3092">
          <cell r="A3092">
            <v>89865</v>
          </cell>
          <cell r="B3092" t="str">
            <v>TUBO, PVC, SOLDÁVEL, DN 25MM, INSTALADO EM DRENO DE AR-CONDICIONADO - FORNECIMENTO E INSTALAÇÃO. AF_12/2014</v>
          </cell>
          <cell r="C3092" t="str">
            <v>M</v>
          </cell>
          <cell r="D3092">
            <v>9.7799999999999994</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v>33.51</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v>33.159999999999997</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v>22.06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v>23.86</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v>30.72</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v>34.1</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v>51.93</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v>66.63</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v>44.88</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v>68.099999999999994</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v>31.34</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v>53.16</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v>55.43</v>
          </cell>
        </row>
        <row r="3106">
          <cell r="A3106">
            <v>92275</v>
          </cell>
          <cell r="B3106" t="str">
            <v>TUBO EM COBRE RÍGIDO, DN 22 MM, CLASSE E, SEM ISOLAMENTO, INSTALADO EM PRUMADA  FORNECIMENTO E INSTALAÇÃO. AF_12/2015</v>
          </cell>
          <cell r="C3106" t="str">
            <v>M</v>
          </cell>
          <cell r="D3106">
            <v>37.82</v>
          </cell>
        </row>
        <row r="3107">
          <cell r="A3107">
            <v>92276</v>
          </cell>
          <cell r="B3107" t="str">
            <v>TUBO EM COBRE RÍGIDO, DN 28 MM, CLASSE E, SEM ISOLAMENTO, INSTALADO EM PRUMADA  FORNECIMENTO E INSTALAÇÃO. AF_12/2015</v>
          </cell>
          <cell r="C3107" t="str">
            <v>M</v>
          </cell>
          <cell r="D3107">
            <v>47.88</v>
          </cell>
        </row>
        <row r="3108">
          <cell r="A3108">
            <v>92277</v>
          </cell>
          <cell r="B3108" t="str">
            <v>TUBO EM COBRE RÍGIDO, DN 35 MM, CLASSE E, SEM ISOLAMENTO, INSTALADO EM PRUMADA  FORNECIMENTO E INSTALAÇÃO. AF_12/2015</v>
          </cell>
          <cell r="C3108" t="str">
            <v>M</v>
          </cell>
          <cell r="D3108">
            <v>69</v>
          </cell>
        </row>
        <row r="3109">
          <cell r="A3109">
            <v>92278</v>
          </cell>
          <cell r="B3109" t="str">
            <v>TUBO EM COBRE RÍGIDO, DN 42 MM, CLASSE E, SEM ISOLAMENTO, INSTALADO EM PRUMADA  FORNECIMENTO E INSTALAÇÃO. AF_12/2015</v>
          </cell>
          <cell r="C3109" t="str">
            <v>M</v>
          </cell>
          <cell r="D3109">
            <v>92.72</v>
          </cell>
        </row>
        <row r="3110">
          <cell r="A3110">
            <v>92279</v>
          </cell>
          <cell r="B3110" t="str">
            <v>TUBO EM COBRE RÍGIDO, DN 54 MM, CLASSE E, SEM ISOLAMENTO, INSTALADO EM PRUMADA  FORNECIMENTO E INSTALAÇÃO. AF_12/2015</v>
          </cell>
          <cell r="C3110" t="str">
            <v>M</v>
          </cell>
          <cell r="D3110">
            <v>133.9</v>
          </cell>
        </row>
        <row r="3111">
          <cell r="A3111">
            <v>92280</v>
          </cell>
          <cell r="B3111" t="str">
            <v>TUBO EM COBRE RÍGIDO, DN 66 MM, CLASSE E, SEM ISOLAMENTO, INSTALADO EM PRUMADA  FORNECIMENTO E INSTALAÇÃO. AF_12/2015</v>
          </cell>
          <cell r="C3111" t="str">
            <v>M</v>
          </cell>
          <cell r="D3111">
            <v>187.89</v>
          </cell>
        </row>
        <row r="3112">
          <cell r="A3112">
            <v>92281</v>
          </cell>
          <cell r="B3112" t="str">
            <v>TUBO EM COBRE RÍGIDO, DN 22 MM, CLASSE E, COM ISOLAMENTO, INSTALADO EM PRUMADA  FORNECIMENTO E INSTALAÇÃO. AF_12/2015</v>
          </cell>
          <cell r="C3112" t="str">
            <v>M</v>
          </cell>
          <cell r="D3112">
            <v>109.53</v>
          </cell>
        </row>
        <row r="3113">
          <cell r="A3113">
            <v>92282</v>
          </cell>
          <cell r="B3113" t="str">
            <v>TUBO EM COBRE RÍGIDO, DN 28 MM, CLASSE E, COM ISOLAMENTO, INSTALADO EM PRUMADA  FORNECIMENTO E INSTALAÇÃO. AF_12/2015</v>
          </cell>
          <cell r="C3113" t="str">
            <v>M</v>
          </cell>
          <cell r="D3113">
            <v>122.49</v>
          </cell>
        </row>
        <row r="3114">
          <cell r="A3114">
            <v>92283</v>
          </cell>
          <cell r="B3114" t="str">
            <v>TUBO EM COBRE RÍGIDO, DN 35 MM, CLASSE E, COM ISOLAMENTO, INSTALADO EM PRUMADA  FORNECIMENTO E INSTALAÇÃO. AF_12/2015</v>
          </cell>
          <cell r="C3114" t="str">
            <v>M</v>
          </cell>
          <cell r="D3114">
            <v>163.34</v>
          </cell>
        </row>
        <row r="3115">
          <cell r="A3115">
            <v>92284</v>
          </cell>
          <cell r="B3115" t="str">
            <v>TUBO EM COBRE RÍGIDO, DN 42 MM, CLASSE E, COM ISOLAMENTO, INSTALADO EM PRUMADA  FORNECIMENTO E INSTALAÇÃO. AF_12/2015</v>
          </cell>
          <cell r="C3115" t="str">
            <v>M</v>
          </cell>
          <cell r="D3115">
            <v>200.32</v>
          </cell>
        </row>
        <row r="3116">
          <cell r="A3116">
            <v>92285</v>
          </cell>
          <cell r="B3116" t="str">
            <v>TUBO EM COBRE RÍGIDO, DN 54 MM, CLASSE E, COM ISOLAMENTO, INSTALADO EM PRUMADA  FORNECIMENTO E INSTALAÇÃO. AF_12/2015</v>
          </cell>
          <cell r="C3116" t="str">
            <v>M</v>
          </cell>
          <cell r="D3116">
            <v>262.47000000000003</v>
          </cell>
        </row>
        <row r="3117">
          <cell r="A3117">
            <v>92286</v>
          </cell>
          <cell r="B3117" t="str">
            <v>TUBO EM COBRE RÍGIDO, DN 66 MM, CLASSE E, COM ISOLAMENTO, INSTALADO EM PRUMADA  FORNECIMENTO E INSTALAÇÃO. AF_12/2015</v>
          </cell>
          <cell r="C3117" t="str">
            <v>M</v>
          </cell>
          <cell r="D3117">
            <v>318.27999999999997</v>
          </cell>
        </row>
        <row r="3118">
          <cell r="A3118">
            <v>92305</v>
          </cell>
          <cell r="B3118" t="str">
            <v>TUBO EM COBRE RÍGIDO, DN 15 MM, CLASSE E, SEM ISOLAMENTO, INSTALADO EM RAMAL DE DISTRIBUIÇÃO  FORNECIMENTO E INSTALAÇÃO. AF_12/2015</v>
          </cell>
          <cell r="C3118" t="str">
            <v>M</v>
          </cell>
          <cell r="D3118">
            <v>25.43</v>
          </cell>
        </row>
        <row r="3119">
          <cell r="A3119">
            <v>92306</v>
          </cell>
          <cell r="B3119" t="str">
            <v>TUBO EM COBRE RÍGIDO, DN 22 MM, CLASSE E, SEM ISOLAMENTO, INSTALADO EM RAMAL DE DISTRIBUIÇÃO  FORNECIMENTO E INSTALAÇÃO. AF_12/2015</v>
          </cell>
          <cell r="C3119" t="str">
            <v>M</v>
          </cell>
          <cell r="D3119">
            <v>41.24</v>
          </cell>
        </row>
        <row r="3120">
          <cell r="A3120">
            <v>92307</v>
          </cell>
          <cell r="B3120" t="str">
            <v>TUBO EM COBRE RÍGIDO, DN 28 MM, CLASSE E, SEM ISOLAMENTO, INSTALADO EM RAMAL DE DISTRIBUIÇÃO  FORNECIMENTO E INSTALAÇÃO. AF_12/2015</v>
          </cell>
          <cell r="C3120" t="str">
            <v>M</v>
          </cell>
          <cell r="D3120">
            <v>51.55</v>
          </cell>
        </row>
        <row r="3121">
          <cell r="A3121">
            <v>92308</v>
          </cell>
          <cell r="B3121" t="str">
            <v>TUBO EM COBRE RÍGIDO, DN 15 MM, CLASSE E, COM ISOLAMENTO, INSTALADO EM RAMAL DE DISTRIBUIÇÃO  FORNECIMENTO E INSTALAÇÃO. AF_12/2015</v>
          </cell>
          <cell r="C3121" t="str">
            <v>M</v>
          </cell>
          <cell r="D3121">
            <v>42.26</v>
          </cell>
        </row>
        <row r="3122">
          <cell r="A3122">
            <v>92309</v>
          </cell>
          <cell r="B3122" t="str">
            <v>TUBO EM COBRE RÍGIDO, DN 22 MM, CLASSE E, COM ISOLAMENTO, INSTALADO EM RAMAL DE DISTRIBUIÇÃO  FORNECIMENTO E INSTALAÇÃO. AF_12/2015</v>
          </cell>
          <cell r="C3122" t="str">
            <v>M</v>
          </cell>
          <cell r="D3122">
            <v>114.67</v>
          </cell>
        </row>
        <row r="3123">
          <cell r="A3123">
            <v>92310</v>
          </cell>
          <cell r="B3123" t="str">
            <v>TUBO EM COBRE RÍGIDO, DN 28 MM, CLASSE E, COM ISOLAMENTO, INSTALADO EM RAMAL DE DISTRIBUIÇÃO  FORNECIMENTO E INSTALAÇÃO. AF_12/2015</v>
          </cell>
          <cell r="C3123" t="str">
            <v>M</v>
          </cell>
          <cell r="D3123">
            <v>127.92</v>
          </cell>
        </row>
        <row r="3124">
          <cell r="A3124">
            <v>92320</v>
          </cell>
          <cell r="B3124" t="str">
            <v>TUBO EM COBRE RÍGIDO, DN 15 MM, CLASSE E, SEM ISOLAMENTO, INSTALADO EM RAMAL E SUB-RAMAL  FORNECIMENTO E INSTALAÇÃO. AF_12/2015</v>
          </cell>
          <cell r="C3124" t="str">
            <v>M</v>
          </cell>
          <cell r="D3124">
            <v>32.94</v>
          </cell>
        </row>
        <row r="3125">
          <cell r="A3125">
            <v>92321</v>
          </cell>
          <cell r="B3125" t="str">
            <v>TUBO EM COBRE RÍGIDO, DN 22 MM, CLASSE E, SEM ISOLAMENTO, INSTALADO EM RAMAL E SUB-RAMAL  FORNECIMENTO E INSTALAÇÃO. AF_12/2015</v>
          </cell>
          <cell r="C3125" t="str">
            <v>M</v>
          </cell>
          <cell r="D3125">
            <v>54.15</v>
          </cell>
        </row>
        <row r="3126">
          <cell r="A3126">
            <v>92322</v>
          </cell>
          <cell r="B3126" t="str">
            <v>TUBO EM COBRE RÍGIDO, DN 28 MM, CLASSE E, SEM ISOLAMENTO, INSTALADO EM RAMAL E SUB-RAMAL  FORNECIMENTO E INSTALAÇÃO. AF_12/2015</v>
          </cell>
          <cell r="C3126" t="str">
            <v>M</v>
          </cell>
          <cell r="D3126">
            <v>69.150000000000006</v>
          </cell>
        </row>
        <row r="3127">
          <cell r="A3127">
            <v>92323</v>
          </cell>
          <cell r="B3127" t="str">
            <v>TUBO EM COBRE RÍGIDO, DN 15 MM, CLASSE E, COM ISOLAMENTO, INSTALADO EM RAMAL E SUB-RAMAL  FORNECIMENTO E INSTALAÇÃO. AF_12/2015</v>
          </cell>
          <cell r="C3127" t="str">
            <v>M</v>
          </cell>
          <cell r="D3127">
            <v>47.98</v>
          </cell>
        </row>
        <row r="3128">
          <cell r="A3128">
            <v>92324</v>
          </cell>
          <cell r="B3128" t="str">
            <v>TUBO EM COBRE RÍGIDO, DN 22 MM, CLASSE E, COM ISOLAMENTO, INSTALADO EM RAMAL E SUB-RAMAL  FORNECIMENTO E INSTALAÇÃO. AF_12/2015</v>
          </cell>
          <cell r="C3128" t="str">
            <v>M</v>
          </cell>
          <cell r="D3128">
            <v>125.79</v>
          </cell>
        </row>
        <row r="3129">
          <cell r="A3129">
            <v>92325</v>
          </cell>
          <cell r="B3129" t="str">
            <v>TUBO EM COBRE RÍGIDO, DN 28 MM, CLASSE E, COM ISOLAMENTO, INSTALADO EM RAMAL E SUB-RAMAL  FORNECIMENTO E INSTALAÇÃO. AF_12/2015</v>
          </cell>
          <cell r="C3129" t="str">
            <v>M</v>
          </cell>
          <cell r="D3129">
            <v>143.69</v>
          </cell>
        </row>
        <row r="3130">
          <cell r="A3130">
            <v>92335</v>
          </cell>
          <cell r="B3130" t="str">
            <v>TUBO DE AÇO GALVANIZADO COM COSTURA, CLASSE MÉDIA, CONEXÃO RANHURADA, DN 50 (2"), INSTALADO EM PRUMADAS - FORNECIMENTO E INSTALAÇÃO. AF_12/2015</v>
          </cell>
          <cell r="C3130" t="str">
            <v>M</v>
          </cell>
          <cell r="D3130">
            <v>54.57</v>
          </cell>
        </row>
        <row r="3131">
          <cell r="A3131">
            <v>92336</v>
          </cell>
          <cell r="B3131" t="str">
            <v>TUBO DE AÇO GALVANIZADO COM COSTURA, CLASSE MÉDIA, CONEXÃO RANHURADA, DN 65 (2 1/2"), INSTALADO EM PRUMADAS - FORNECIMENTO E INSTALAÇÃO. AF_12/2015</v>
          </cell>
          <cell r="C3131" t="str">
            <v>M</v>
          </cell>
          <cell r="D3131">
            <v>66.92</v>
          </cell>
        </row>
        <row r="3132">
          <cell r="A3132">
            <v>92337</v>
          </cell>
          <cell r="B3132" t="str">
            <v>TUBO DE AÇO GALVANIZADO COM COSTURA, CLASSE MÉDIA, CONEXÃO RANHURADA, DN 80 (3"), INSTALADO EM PRUMADAS - FORNECIMENTO E INSTALAÇÃO. AF_12/2015</v>
          </cell>
          <cell r="C3132" t="str">
            <v>M</v>
          </cell>
          <cell r="D3132">
            <v>87.75</v>
          </cell>
        </row>
        <row r="3133">
          <cell r="A3133">
            <v>92338</v>
          </cell>
          <cell r="B3133" t="str">
            <v>TUBO DE AÇO PRETO SEM COSTURA, CONEXÃO SOLDADA, DN 50 (2"), INSTALADO EM PRUMADAS - FORNECIMENTO E INSTALAÇÃO. AF_12/2015</v>
          </cell>
          <cell r="C3133" t="str">
            <v>M</v>
          </cell>
          <cell r="D3133">
            <v>74.91</v>
          </cell>
        </row>
        <row r="3134">
          <cell r="A3134">
            <v>92339</v>
          </cell>
          <cell r="B3134" t="str">
            <v>TUBO DE AÇO PRETO SEM COSTURA, CONEXÃO SOLDADA, DN 65 (2 1/2"), INSTALADO EM PRUMADAS - FORNECIMENTO E INSTALAÇÃO. AF_12/2015</v>
          </cell>
          <cell r="C3134" t="str">
            <v>M</v>
          </cell>
          <cell r="D3134">
            <v>110.69</v>
          </cell>
        </row>
        <row r="3135">
          <cell r="A3135">
            <v>92341</v>
          </cell>
          <cell r="B3135" t="str">
            <v>TUBO DE AÇO GALVANIZADO COM COSTURA, CLASSE MÉDIA, DN 50 (2"), CONEXÃO ROSQUEADA, INSTALADO EM PRUMADAS - FORNECIMENTO E INSTALAÇÃO. AF_12/2015</v>
          </cell>
          <cell r="C3135" t="str">
            <v>M</v>
          </cell>
          <cell r="D3135">
            <v>62.09</v>
          </cell>
        </row>
        <row r="3136">
          <cell r="A3136">
            <v>92342</v>
          </cell>
          <cell r="B3136" t="str">
            <v>TUBO DE AÇO GALVANIZADO COM COSTURA, CLASSE MÉDIA, DN 65 (2 1/2"), CONEXÃO ROSQUEADA, INSTALADO EM PRUMADAS - FORNECIMENTO E INSTALAÇÃO. AF_12/2015</v>
          </cell>
          <cell r="C3136" t="str">
            <v>M</v>
          </cell>
          <cell r="D3136">
            <v>74.47</v>
          </cell>
        </row>
        <row r="3137">
          <cell r="A3137">
            <v>92343</v>
          </cell>
          <cell r="B3137" t="str">
            <v>TUBO DE AÇO GALVANIZADO COM COSTURA, CLASSE MÉDIA, DN 80 (3"), CONEXÃO ROSQUEADA, INSTALADO EM PRUMADAS - FORNECIMENTO E INSTALAÇÃO. AF_12/2015</v>
          </cell>
          <cell r="C3137" t="str">
            <v>M</v>
          </cell>
          <cell r="D3137">
            <v>95.37</v>
          </cell>
        </row>
        <row r="3138">
          <cell r="A3138">
            <v>92361</v>
          </cell>
          <cell r="B3138" t="str">
            <v>TUBO DE AÇO PRETO SEM COSTURA, CONEXÃO SOLDADA, DN 50 (2"), INSTALADO EM REDE DE ALIMENTAÇÃO PARA HIDRANTE - FORNECIMENTO E INSTALAÇÃO. AF_12/2015</v>
          </cell>
          <cell r="C3138" t="str">
            <v>M</v>
          </cell>
          <cell r="D3138">
            <v>59.55</v>
          </cell>
        </row>
        <row r="3139">
          <cell r="A3139">
            <v>92362</v>
          </cell>
          <cell r="B3139" t="str">
            <v>TUBO DE AÇO PRETO SEM COSTURA, CONEXÃO SOLDADA, DN 65 (2 1/2"), INSTALADO EM REDE DE ALIMENTAÇÃO PARA HIDRANTE - FORNECIMENTO E INSTALAÇÃO. AF_12/2015</v>
          </cell>
          <cell r="C3139" t="str">
            <v>M</v>
          </cell>
          <cell r="D3139">
            <v>94.72</v>
          </cell>
        </row>
        <row r="3140">
          <cell r="A3140">
            <v>92364</v>
          </cell>
          <cell r="B3140" t="str">
            <v>TUBO DE AÇO GALVANIZADO COM COSTURA, CLASSE MÉDIA, DN 32 (1 1/4"), CONEXÃO ROSQUEADA, INSTALADO EM REDE DE ALIMENTAÇÃO PARA HIDRANTE - FORNECIMENTO E INSTALAÇÃO. AF_12/2015</v>
          </cell>
          <cell r="C3140" t="str">
            <v>M</v>
          </cell>
          <cell r="D3140">
            <v>33.270000000000003</v>
          </cell>
        </row>
        <row r="3141">
          <cell r="A3141">
            <v>92365</v>
          </cell>
          <cell r="B3141" t="str">
            <v>TUBO DE AÇO GALVANIZADO COM COSTURA, CLASSE MÉDIA, DN 40 (1 1/2"), CONEXÃO ROSQUEADA, INSTALADO EM REDE DE ALIMENTAÇÃO PARA HIDRANTE - FORNECIMENTO E INSTALAÇÃO. AF_12/2015</v>
          </cell>
          <cell r="C3141" t="str">
            <v>M</v>
          </cell>
          <cell r="D3141">
            <v>38.200000000000003</v>
          </cell>
        </row>
        <row r="3142">
          <cell r="A3142">
            <v>92366</v>
          </cell>
          <cell r="B3142" t="str">
            <v>TUBO DE AÇO GALVANIZADO COM COSTURA, CLASSE MÉDIA, DN 50 (2"), CONEXÃO ROSQUEADA, INSTALADO EM REDE DE ALIMENTAÇÃO PARA HIDRANTE - FORNECIMENTO E INSTALAÇÃO. AF_12/2015</v>
          </cell>
          <cell r="C3142" t="str">
            <v>M</v>
          </cell>
          <cell r="D3142">
            <v>52.8</v>
          </cell>
        </row>
        <row r="3143">
          <cell r="A3143">
            <v>92367</v>
          </cell>
          <cell r="B3143" t="str">
            <v>TUBO DE AÇO GALVANIZADO COM COSTURA, CLASSE MÉDIA, DN 65 (2 1/2"), CONEXÃO ROSQUEADA, INSTALADO EM REDE DE ALIMENTAÇÃO PARA HIDRANTE - FORNECIMENTO E INSTALAÇÃO. AF_12/2015</v>
          </cell>
          <cell r="C3143" t="str">
            <v>M</v>
          </cell>
          <cell r="D3143">
            <v>64.77</v>
          </cell>
        </row>
        <row r="3144">
          <cell r="A3144">
            <v>92368</v>
          </cell>
          <cell r="B3144" t="str">
            <v>TUBO DE AÇO GALVANIZADO COM COSTURA, CLASSE MÉDIA, DN 80 (3"), CONEXÃO ROSQUEADA, INSTALADO EM REDE DE ALIMENTAÇÃO PARA HIDRANTE - FORNECIMENTO E INSTALAÇÃO. AF_12/2015</v>
          </cell>
          <cell r="C3144" t="str">
            <v>M</v>
          </cell>
          <cell r="D3144">
            <v>85.28</v>
          </cell>
        </row>
        <row r="3145">
          <cell r="A3145">
            <v>92648</v>
          </cell>
          <cell r="B3145" t="str">
            <v>TUBO DE AÇO PRETO SEM COSTURA, CONEXÃO SOLDADA, DN 40 (1 1/2"), INSTALADO EM REDE DE ALIMENTAÇÃO PARA SPRINKLER - FORNECIMENTO E INSTALAÇÃO. AF_12/2015</v>
          </cell>
          <cell r="C3145" t="str">
            <v>M</v>
          </cell>
          <cell r="D3145">
            <v>51.2</v>
          </cell>
        </row>
        <row r="3146">
          <cell r="A3146">
            <v>92649</v>
          </cell>
          <cell r="B3146" t="str">
            <v>TUBO DE AÇO PRETO SEM COSTURA, CONEXÃO SOLDADA, DN 50 (2"), INSTALADO EM REDE DE ALIMENTAÇÃO PARA SPRINKLER - FORNECIMENTO E INSTALAÇÃO. AF_12/2015</v>
          </cell>
          <cell r="C3146" t="str">
            <v>M</v>
          </cell>
          <cell r="D3146">
            <v>62.31</v>
          </cell>
        </row>
        <row r="3147">
          <cell r="A3147">
            <v>92650</v>
          </cell>
          <cell r="B3147" t="str">
            <v>TUBO DE AÇO PRETO SEM COSTURA, CONEXÃO SOLDADA, DN 65 (2 1/2"), INSTALADO EM REDE DE ALIMENTAÇÃO PARA SPRINKLER - FORNECIMENTO E INSTALAÇÃO. AF_12/2015</v>
          </cell>
          <cell r="C3147" t="str">
            <v>M</v>
          </cell>
          <cell r="D3147">
            <v>97.49</v>
          </cell>
        </row>
        <row r="3148">
          <cell r="A3148">
            <v>92652</v>
          </cell>
          <cell r="B3148" t="str">
            <v>TUBO DE AÇO GALVANIZADO COM COSTURA, CLASSE MÉDIA, CONEXÃO ROSQUEADA, DN 32 (1 1/4"), INSTALADO EM REDE DE ALIMENTAÇÃO PARA SPRINKLER - FORNECIMENTO E INSTALAÇÃO. AF_12/2015</v>
          </cell>
          <cell r="C3148" t="str">
            <v>M</v>
          </cell>
          <cell r="D3148">
            <v>36.69</v>
          </cell>
        </row>
        <row r="3149">
          <cell r="A3149">
            <v>92653</v>
          </cell>
          <cell r="B3149" t="str">
            <v>TUBO DE AÇO GALVANIZADO COM COSTURA, CLASSE MÉDIA, CONEXÃO ROSQUEADA, DN 40 (1 1/2"), INSTALADO EM REDE DE ALIMENTAÇÃO PARA SPRINKLER - FORNECIMENTO E INSTALAÇÃO. AF_12/2015</v>
          </cell>
          <cell r="C3149" t="str">
            <v>M</v>
          </cell>
          <cell r="D3149">
            <v>41.66</v>
          </cell>
        </row>
        <row r="3150">
          <cell r="A3150">
            <v>92654</v>
          </cell>
          <cell r="B3150" t="str">
            <v>TUBO DE AÇO GALVANIZADO COM COSTURA, CLASSE MÉDIA, CONEXÃO ROSQUEADA, DN 50 (2"), INSTALADO EM REDE DE ALIMENTAÇÃO PARA SPRINKLER - FORNECIMENTO E INSTALAÇÃO. AF_12/2015</v>
          </cell>
          <cell r="C3150" t="str">
            <v>M</v>
          </cell>
          <cell r="D3150">
            <v>56.26</v>
          </cell>
        </row>
        <row r="3151">
          <cell r="A3151">
            <v>92655</v>
          </cell>
          <cell r="B3151" t="str">
            <v>TUBO DE AÇO GALVANIZADO COM COSTURA, CLASSE MÉDIA, CONEXÃO ROSQUEADA, DN 65 (2 1/2"), INSTALADO EM REDE DE ALIMENTAÇÃO PARA SPRINKLER - FORNECIMENTO E INSTALAÇÃO. AF_12/2015</v>
          </cell>
          <cell r="C3151" t="str">
            <v>M</v>
          </cell>
          <cell r="D3151">
            <v>68.3</v>
          </cell>
        </row>
        <row r="3152">
          <cell r="A3152">
            <v>92656</v>
          </cell>
          <cell r="B3152" t="str">
            <v>TUBO DE AÇO GALVANIZADO COM COSTURA, CLASSE MÉDIA, CONEXÃO ROSQUEADA, DN 80 (3"), INSTALADO EM REDE DE ALIMENTAÇÃO PARA SPRINKLER - FORNECIMENTO E INSTALAÇÃO. AF_12/2015</v>
          </cell>
          <cell r="C3152" t="str">
            <v>M</v>
          </cell>
          <cell r="D3152">
            <v>88.81</v>
          </cell>
        </row>
        <row r="3153">
          <cell r="A3153">
            <v>92687</v>
          </cell>
          <cell r="B3153" t="str">
            <v>TUBO DE AÇO GALVANIZADO COM COSTURA, CLASSE MÉDIA, CONEXÃO ROSQUEADA, DN 15 (1/2"), INSTALADO EM RAMAIS E SUB-RAMAIS DE GÁS - FORNECIMENTO E INSTALAÇÃO. AF_12/2015</v>
          </cell>
          <cell r="C3153" t="str">
            <v>M</v>
          </cell>
          <cell r="D3153">
            <v>17.5</v>
          </cell>
        </row>
        <row r="3154">
          <cell r="A3154">
            <v>92688</v>
          </cell>
          <cell r="B3154" t="str">
            <v>TUBO DE AÇO GALVANIZADO COM COSTURA, CLASSE MÉDIA, CONEXÃO ROSQUEADA, DN 20 (3/4"), INSTALADO EM RAMAIS E SUB-RAMAIS DE GÁS - FORNECIMENTO E INSTALAÇÃO. AF_12/2015</v>
          </cell>
          <cell r="C3154" t="str">
            <v>M</v>
          </cell>
          <cell r="D3154">
            <v>24.9</v>
          </cell>
        </row>
        <row r="3155">
          <cell r="A3155">
            <v>92689</v>
          </cell>
          <cell r="B3155" t="str">
            <v>TUBO DE AÇO PRETO SEM COSTURA, CLASSE MÉDIA, CONEXÃO SOLDADA, DN 15 (1/2"), INSTALADO EM RAMAIS E SUB-RAMAIS DE GÁS - FORNECIMENTO E INSTALAÇÃO. AF_12/2015</v>
          </cell>
          <cell r="C3155" t="str">
            <v>M</v>
          </cell>
          <cell r="D3155">
            <v>25.91</v>
          </cell>
        </row>
        <row r="3156">
          <cell r="A3156">
            <v>92690</v>
          </cell>
          <cell r="B3156" t="str">
            <v>TUBO DE AÇO PRETO SEM COSTURA, CLASSE MÉDIA, CONEXÃO SOLDADA, DN 20 (3/4"), INSTALADO EM RAMAIS E SUB-RAMAIS DE GÁS - FORNECIMENTO E INSTALAÇÃO. AF_12/2015</v>
          </cell>
          <cell r="C3156" t="str">
            <v>M</v>
          </cell>
          <cell r="D3156">
            <v>37.61</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v>62.17</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v>72.23</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v>101.12</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v>145.81</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v>195.59</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v>266.95</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v>381.2</v>
          </cell>
        </row>
        <row r="3164">
          <cell r="A3164">
            <v>94648</v>
          </cell>
          <cell r="B3164" t="str">
            <v>TUBO, PVC, SOLDÁVEL, DN  25 MM, INSTALADO EM RESERVAÇÃO DE ÁGUA DE EDIFICAÇÃO QUE POSSUA RESERVATÓRIO DE FIBRA/FIBROCIMENTO   FORNECIMENTO E INSTALAÇÃO. AF_06/2016</v>
          </cell>
          <cell r="C3164" t="str">
            <v>M</v>
          </cell>
          <cell r="D3164">
            <v>7.62</v>
          </cell>
        </row>
        <row r="3165">
          <cell r="A3165">
            <v>94649</v>
          </cell>
          <cell r="B3165" t="str">
            <v>TUBO, PVC, SOLDÁVEL, DN 32 MM, INSTALADO EM RESERVAÇÃO DE ÁGUA DE EDIFICAÇÃO QUE POSSUA RESERVATÓRIO DE FIBRA/FIBROCIMENTO   FORNECIMENTO E INSTALAÇÃO. AF_06/2016</v>
          </cell>
          <cell r="C3165" t="str">
            <v>M</v>
          </cell>
          <cell r="D3165">
            <v>11.28</v>
          </cell>
        </row>
        <row r="3166">
          <cell r="A3166">
            <v>94650</v>
          </cell>
          <cell r="B3166" t="str">
            <v>TUBO, PVC, SOLDÁVEL, DN 40 MM, INSTALADO EM RESERVAÇÃO DE ÁGUA DE EDIFICAÇÃO QUE POSSUA RESERVATÓRIO DE FIBRA/FIBROCIMENTO   FORNECIMENTO E INSTALAÇÃO. AF_06/2016</v>
          </cell>
          <cell r="C3166" t="str">
            <v>M</v>
          </cell>
          <cell r="D3166">
            <v>16.14</v>
          </cell>
        </row>
        <row r="3167">
          <cell r="A3167">
            <v>94651</v>
          </cell>
          <cell r="B3167" t="str">
            <v>TUBO, PVC, SOLDÁVEL, DN 50 MM, INSTALADO EM RESERVAÇÃO DE ÁGUA DE EDIFICAÇÃO QUE POSSUA RESERVATÓRIO DE FIBRA/FIBROCIMENTO   FORNECIMENTO E INSTALAÇÃO. AF_06/2016</v>
          </cell>
          <cell r="C3167" t="str">
            <v>M</v>
          </cell>
          <cell r="D3167">
            <v>17.52</v>
          </cell>
        </row>
        <row r="3168">
          <cell r="A3168">
            <v>94652</v>
          </cell>
          <cell r="B3168" t="str">
            <v>TUBO, PVC, SOLDÁVEL, DN 60 MM, INSTALADO EM RESERVAÇÃO DE ÁGUA DE EDIFICAÇÃO QUE POSSUA RESERVATÓRIO DE FIBRA/FIBROCIMENTO   FORNECIMENTO E INSTALAÇÃO. AF_06/2016</v>
          </cell>
          <cell r="C3168" t="str">
            <v>M</v>
          </cell>
          <cell r="D3168">
            <v>28.49</v>
          </cell>
        </row>
        <row r="3169">
          <cell r="A3169">
            <v>94653</v>
          </cell>
          <cell r="B3169" t="str">
            <v>TUBO, PVC, SOLDÁVEL, DN 75 MM, INSTALADO EM RESERVAÇÃO DE ÁGUA DE EDIFICAÇÃO QUE POSSUA RESERVATÓRIO DE FIBRA/FIBROCIMENTO   FORNECIMENTO E INSTALAÇÃO. AF_06/2016</v>
          </cell>
          <cell r="C3169" t="str">
            <v>M</v>
          </cell>
          <cell r="D3169">
            <v>40.42</v>
          </cell>
        </row>
        <row r="3170">
          <cell r="A3170">
            <v>94654</v>
          </cell>
          <cell r="B3170" t="str">
            <v>TUBO, PVC, SOLDÁVEL, DN 85 MM, INSTALADO EM RESERVAÇÃO DE ÁGUA DE EDIFICAÇÃO QUE POSSUA RESERVATÓRIO DE FIBRA/FIBROCIMENTO   FORNECIMENTO E INSTALAÇÃO. AF_06/2016</v>
          </cell>
          <cell r="C3170" t="str">
            <v>M</v>
          </cell>
          <cell r="D3170">
            <v>54.14</v>
          </cell>
        </row>
        <row r="3171">
          <cell r="A3171">
            <v>94655</v>
          </cell>
          <cell r="B3171" t="str">
            <v>TUBO, PVC, SOLDÁVEL, DN 110 MM, INSTALADO EM RESERVAÇÃO DE ÁGUA DE EDIFICAÇÃO QUE POSSUA RESERVATÓRIO DE FIBRA/FIBROCIMENTO   FORNECIMENTO E INSTALAÇÃO. AF_06/2016</v>
          </cell>
          <cell r="C3171" t="str">
            <v>M</v>
          </cell>
          <cell r="D3171">
            <v>75.37</v>
          </cell>
        </row>
        <row r="3172">
          <cell r="A3172">
            <v>94716</v>
          </cell>
          <cell r="B3172" t="str">
            <v>TUBO, CPVC, SOLDÁVEL, DN 22 MM, INSTALADO EM RESERVAÇÃO DE ÁGUA DE EDIFICAÇÃO QUE POSSUA RESERVATÓRIO DE FIBRA/FIBROCIMENTO  FORNECIMENTO E INSTALAÇÃO. AF_06/2016</v>
          </cell>
          <cell r="C3172" t="str">
            <v>M</v>
          </cell>
          <cell r="D3172">
            <v>22.56</v>
          </cell>
        </row>
        <row r="3173">
          <cell r="A3173">
            <v>94717</v>
          </cell>
          <cell r="B3173" t="str">
            <v>TUBO, CPVC, SOLDÁVEL, DN 28 MM, INSTALADO EM RESERVAÇÃO DE ÁGUA DE EDIFICAÇÃO QUE POSSUA RESERVATÓRIO DE FIBRA/FIBROCIMENTO  FORNECIMENTO E INSTALAÇÃO. AF_06/2016</v>
          </cell>
          <cell r="C3173" t="str">
            <v>M</v>
          </cell>
          <cell r="D3173">
            <v>33.58</v>
          </cell>
        </row>
        <row r="3174">
          <cell r="A3174">
            <v>94718</v>
          </cell>
          <cell r="B3174" t="str">
            <v>TUBO, CPVC, SOLDÁVEL, DN 35 MM, INSTALADO EM RESERVAÇÃO DE ÁGUA DE EDIFICAÇÃO QUE POSSUA RESERVATÓRIO DE FIBRA/FIBROCIMENTO  FORNECIMENTO E INSTALAÇÃO. AF_06/2016</v>
          </cell>
          <cell r="C3174" t="str">
            <v>M</v>
          </cell>
          <cell r="D3174">
            <v>41.47</v>
          </cell>
        </row>
        <row r="3175">
          <cell r="A3175">
            <v>94719</v>
          </cell>
          <cell r="B3175" t="str">
            <v>TUBO, CPVC, SOLDÁVEL, DN 42 MM, INSTALADO EM RESERVAÇÃO DE ÁGUA DE EDIFICAÇÃO QUE POSSUA RESERVATÓRIO DE FIBRA/FIBROCIMENTO  FORNECIMENTO E INSTALAÇÃO. AF_06/2016</v>
          </cell>
          <cell r="C3175" t="str">
            <v>M</v>
          </cell>
          <cell r="D3175">
            <v>54.69</v>
          </cell>
        </row>
        <row r="3176">
          <cell r="A3176">
            <v>94720</v>
          </cell>
          <cell r="B3176" t="str">
            <v>TUBO, CPVC, SOLDÁVEL, DN 54 MM, INSTALADO EM RESERVAÇÃO DE ÁGUA DE EDIFICAÇÃO QUE POSSUA RESERVATÓRIO DE FIBRA/FIBROCIMENTO  FORNECIMENTO E INSTALAÇÃO. AF_06/2016</v>
          </cell>
          <cell r="C3176" t="str">
            <v>M</v>
          </cell>
          <cell r="D3176">
            <v>82.29</v>
          </cell>
        </row>
        <row r="3177">
          <cell r="A3177">
            <v>94721</v>
          </cell>
          <cell r="B3177" t="str">
            <v>TUBO, CPVC, SOLDÁVEL, DN 73 MM, INSTALADO EM RESERVAÇÃO DE ÁGUA DE EDIFICAÇÃO QUE POSSUA RESERVATÓRIO DE FIBRA/FIBROCIMENTO  FORNECIMENTO E INSTALAÇÃO. AF_06/2016</v>
          </cell>
          <cell r="C3177" t="str">
            <v>M</v>
          </cell>
          <cell r="D3177">
            <v>121.04</v>
          </cell>
        </row>
        <row r="3178">
          <cell r="A3178">
            <v>94722</v>
          </cell>
          <cell r="B3178" t="str">
            <v>TUBO, CPVC, SOLDÁVEL, DN 89 MM, INSTALADO EM RESERVAÇÃO DE ÁGUA DE EDIFICAÇÃO QUE POSSUA RESERVATÓRIO DE FIBRA/FIBROCIMENTO  FORNECIMENTO E INSTALAÇÃO. AF_06/2016</v>
          </cell>
          <cell r="C3178" t="str">
            <v>M</v>
          </cell>
          <cell r="D3178">
            <v>210.38</v>
          </cell>
        </row>
        <row r="3179">
          <cell r="A3179">
            <v>95697</v>
          </cell>
          <cell r="B3179" t="str">
            <v>TUBO DE AÇO PRETO SEM COSTURA, CONEXÃO SOLDADA, DN 40 (1 1/2"), INSTALADO EM REDE DE ALIMENTAÇÃO PARA HIDRANTE - FORNECIMENTO E INSTALAÇÃO. AF_12/2015</v>
          </cell>
          <cell r="C3179" t="str">
            <v>M</v>
          </cell>
          <cell r="D3179">
            <v>48.45</v>
          </cell>
        </row>
        <row r="3180">
          <cell r="A3180">
            <v>96635</v>
          </cell>
          <cell r="B3180" t="str">
            <v>TUBO, PPR, DN 25, CLASSE PN 20,  INSTALADO EM RAMAL OU SUB-RAMAL DE ÁGUA  FORNECIMENTO E INSTALAÇÃO. AF_06/2015</v>
          </cell>
          <cell r="C3180" t="str">
            <v>M</v>
          </cell>
          <cell r="D3180">
            <v>22.41</v>
          </cell>
        </row>
        <row r="3181">
          <cell r="A3181">
            <v>96636</v>
          </cell>
          <cell r="B3181" t="str">
            <v>TUBO, PPR, DN 25, CLASSE PN 25 INSTALADO EM RAMAL OU SUB-RAMAL DE ÁGUA  FORNECIMENTO E INSTALAÇÃO. AF_06/2015</v>
          </cell>
          <cell r="C3181" t="str">
            <v>M</v>
          </cell>
          <cell r="D3181">
            <v>23.68</v>
          </cell>
        </row>
        <row r="3182">
          <cell r="A3182">
            <v>96644</v>
          </cell>
          <cell r="B3182" t="str">
            <v>TUBO, PPR, DN 25, CLASSE PN 20,  INSTALADO EM RAMAL DE DISTRIBUIÇÃO DE ÁGUA  FORNECIMENTO E INSTALAÇÃO. AF_06/2015</v>
          </cell>
          <cell r="C3182" t="str">
            <v>M</v>
          </cell>
          <cell r="D3182">
            <v>14.62</v>
          </cell>
        </row>
        <row r="3183">
          <cell r="A3183">
            <v>96645</v>
          </cell>
          <cell r="B3183" t="str">
            <v>TUBO, PPR, DN 32, CLASSE PN 12,  INSTALADO EM RAMAL DE DISTRIBUIÇÃO DE ÁGUA  FORNECIMENTO E INSTALAÇÃO. AF_06/2015</v>
          </cell>
          <cell r="C3183" t="str">
            <v>M</v>
          </cell>
          <cell r="D3183">
            <v>18.93</v>
          </cell>
        </row>
        <row r="3184">
          <cell r="A3184">
            <v>96646</v>
          </cell>
          <cell r="B3184" t="str">
            <v>TUBO, PPR, DN 40, CLASSE PN 12,  INSTALADO EM RAMAL DE DISTRIBUIÇÃO DE ÁGUA  FORNECIMENTO E INSTALAÇÃO. AF_06/2015</v>
          </cell>
          <cell r="C3184" t="str">
            <v>M</v>
          </cell>
          <cell r="D3184">
            <v>29.36</v>
          </cell>
        </row>
        <row r="3185">
          <cell r="A3185">
            <v>96647</v>
          </cell>
          <cell r="B3185" t="str">
            <v>TUBO, PPR, DN 25, CLASSE PN 25,  INSTALADO EM RAMAL DE DISTRIBUIÇÃO DE ÁGUA  FORNECIMENTO E INSTALAÇÃO. AF_06/2015</v>
          </cell>
          <cell r="C3185" t="str">
            <v>M</v>
          </cell>
          <cell r="D3185">
            <v>13.21</v>
          </cell>
        </row>
        <row r="3186">
          <cell r="A3186">
            <v>96648</v>
          </cell>
          <cell r="B3186" t="str">
            <v>TUBO, PPR, DN 32, CLASSE PN 25,  INSTALADO EM RAMAL DE DISTRIBUIÇÃO DE ÁGUA  FORNECIMENTO E INSTALAÇÃO. AF_06/2015</v>
          </cell>
          <cell r="C3186" t="str">
            <v>M</v>
          </cell>
          <cell r="D3186">
            <v>24.05</v>
          </cell>
        </row>
        <row r="3187">
          <cell r="A3187">
            <v>96649</v>
          </cell>
          <cell r="B3187" t="str">
            <v>TUBO, PPR, DN 40, CLASSE PN 25,  INSTALADO EM RAMAL DE DISTRIBUIÇÃO DE ÁGUA  FORNECIMENTO E INSTALAÇÃO. AF_06/2015</v>
          </cell>
          <cell r="C3187" t="str">
            <v>M</v>
          </cell>
          <cell r="D3187">
            <v>35.43</v>
          </cell>
        </row>
        <row r="3188">
          <cell r="A3188">
            <v>96668</v>
          </cell>
          <cell r="B3188" t="str">
            <v>TUBO, PPR, DN 25, CLASSE PN 20,  INSTALADO EM PRUMADA DE ÁGUA  FORNECIMENTO E INSTALAÇÃO. AF_06/2015</v>
          </cell>
          <cell r="C3188" t="str">
            <v>M</v>
          </cell>
          <cell r="D3188">
            <v>9.18</v>
          </cell>
        </row>
        <row r="3189">
          <cell r="A3189">
            <v>96669</v>
          </cell>
          <cell r="B3189" t="str">
            <v>TUBO, PPR, DN 32, CLASSE PN 12,  INSTALADO EM PRUMADA DE ÁGUA  FORNECIMENTO E INSTALAÇÃO. AF_06/2015</v>
          </cell>
          <cell r="C3189" t="str">
            <v>M</v>
          </cell>
          <cell r="D3189">
            <v>11.42</v>
          </cell>
        </row>
        <row r="3190">
          <cell r="A3190">
            <v>96670</v>
          </cell>
          <cell r="B3190" t="str">
            <v>TUBO, PPR, DN 40, CLASSE PN 12,  INSTALADO EM PRUMADA DE ÁGUA  FORNECIMENTO E INSTALAÇÃO. AF_06/2015</v>
          </cell>
          <cell r="C3190" t="str">
            <v>M</v>
          </cell>
          <cell r="D3190">
            <v>17.329999999999998</v>
          </cell>
        </row>
        <row r="3191">
          <cell r="A3191">
            <v>96671</v>
          </cell>
          <cell r="B3191" t="str">
            <v>TUBO, PPR, DN 50, CLASSE PN 12,  INSTALADO EM PRUMADA DE ÁGUA  FORNECIMENTO E INSTALAÇÃO. AF_06/2015</v>
          </cell>
          <cell r="C3191" t="str">
            <v>M</v>
          </cell>
          <cell r="D3191">
            <v>23.2</v>
          </cell>
        </row>
        <row r="3192">
          <cell r="A3192">
            <v>96672</v>
          </cell>
          <cell r="B3192" t="str">
            <v>TUBO, PPR, DN 63, CLASSE PN 12,  INSTALADO EM PRUMADA DE ÁGUA  FORNECIMENTO E INSTALAÇÃO. AF_06/2015</v>
          </cell>
          <cell r="C3192" t="str">
            <v>M</v>
          </cell>
          <cell r="D3192">
            <v>34.07</v>
          </cell>
        </row>
        <row r="3193">
          <cell r="A3193">
            <v>96673</v>
          </cell>
          <cell r="B3193" t="str">
            <v>TUBO, PPR, DN 75, CLASSE PN 12,  INSTALADO EM PRUMADA DE ÁGUA  FORNECIMENTO E INSTALAÇÃO. AF_06/2015</v>
          </cell>
          <cell r="C3193" t="str">
            <v>M</v>
          </cell>
          <cell r="D3193">
            <v>55.62</v>
          </cell>
        </row>
        <row r="3194">
          <cell r="A3194">
            <v>96674</v>
          </cell>
          <cell r="B3194" t="str">
            <v>TUBO, PPR, DN 90, CLASSE PN 12,  INSTALADO EM PRUMADA DE ÁGUA  FORNECIMENTO E INSTALAÇÃO. AF_06/2015</v>
          </cell>
          <cell r="C3194" t="str">
            <v>M</v>
          </cell>
          <cell r="D3194">
            <v>78.150000000000006</v>
          </cell>
        </row>
        <row r="3195">
          <cell r="A3195">
            <v>96675</v>
          </cell>
          <cell r="B3195" t="str">
            <v>TUBO, PPR, DN 110, CLASSE PN 12,  INSTALADO EM PRUMADA DE ÁGUA  FORNECIMENTO E INSTALAÇÃO. AF_06/2015</v>
          </cell>
          <cell r="C3195" t="str">
            <v>M</v>
          </cell>
          <cell r="D3195">
            <v>135.74</v>
          </cell>
        </row>
        <row r="3196">
          <cell r="A3196">
            <v>96676</v>
          </cell>
          <cell r="B3196" t="str">
            <v>TUBO, PPR, DN 25, CLASSE PN 25,  INSTALADO EM PRUMADA DE ÁGUA  FORNECIMENTO E INSTALAÇÃO. AF_06/2015</v>
          </cell>
          <cell r="C3196" t="str">
            <v>M</v>
          </cell>
          <cell r="D3196">
            <v>9.15</v>
          </cell>
        </row>
        <row r="3197">
          <cell r="A3197">
            <v>96677</v>
          </cell>
          <cell r="B3197" t="str">
            <v>TUBO, PPR, DN 32, CLASSE PN 25,  INSTALADO EM PRUMADA DE ÁGUA  FORNECIMENTO E INSTALAÇÃO. AF_06/2015</v>
          </cell>
          <cell r="C3197" t="str">
            <v>M</v>
          </cell>
          <cell r="D3197">
            <v>15.08</v>
          </cell>
        </row>
        <row r="3198">
          <cell r="A3198">
            <v>96678</v>
          </cell>
          <cell r="B3198" t="str">
            <v>TUBO, PPR, DN 40, CLASSE PN 25,  INSTALADO EM PRUMADA DE ÁGUA  FORNECIMENTO E INSTALAÇÃO. AF_06/2015</v>
          </cell>
          <cell r="C3198" t="str">
            <v>M</v>
          </cell>
          <cell r="D3198">
            <v>20.96</v>
          </cell>
        </row>
        <row r="3199">
          <cell r="A3199">
            <v>96679</v>
          </cell>
          <cell r="B3199" t="str">
            <v>TUBO, PPR, DN 50, CLASSE PN 25,  INSTALADO EM PRUMADA DE ÁGUA  FORNECIMENTO E INSTALAÇÃO. AF_06/2015</v>
          </cell>
          <cell r="C3199" t="str">
            <v>M</v>
          </cell>
          <cell r="D3199">
            <v>30.6</v>
          </cell>
        </row>
        <row r="3200">
          <cell r="A3200">
            <v>96680</v>
          </cell>
          <cell r="B3200" t="str">
            <v>TUBO, PPR, DN 63, CLASSE PN 25,  INSTALADO EM PRUMADA DE ÁGUA  FORNECIMENTO E INSTALAÇÃO. AF_06/2015</v>
          </cell>
          <cell r="C3200" t="str">
            <v>M</v>
          </cell>
          <cell r="D3200">
            <v>41.26</v>
          </cell>
        </row>
        <row r="3201">
          <cell r="A3201">
            <v>96681</v>
          </cell>
          <cell r="B3201" t="str">
            <v>TUBO, PPR, DN 75, CLASSE PN 25,  INSTALADO EM PRUMADA DE ÁGUA  FORNECIMENTO E INSTALAÇÃO. AF_06/2015</v>
          </cell>
          <cell r="C3201" t="str">
            <v>M</v>
          </cell>
          <cell r="D3201">
            <v>76.89</v>
          </cell>
        </row>
        <row r="3202">
          <cell r="A3202">
            <v>96682</v>
          </cell>
          <cell r="B3202" t="str">
            <v>TUBO, PPR, DN 90, CLASSE PN 25,  INSTALADO EM PRUMADA DE ÁGUA  FORNECIMENTO E INSTALAÇÃO. AF_06/2015</v>
          </cell>
          <cell r="C3202" t="str">
            <v>M</v>
          </cell>
          <cell r="D3202">
            <v>113.4</v>
          </cell>
        </row>
        <row r="3203">
          <cell r="A3203">
            <v>96683</v>
          </cell>
          <cell r="B3203" t="str">
            <v>TUBO, PPR, DN 110, CLASSE PN 25,  INSTALADO EM PRUMADA DE ÁGUA  FORNECIMENTO E INSTALAÇÃO. AF_06/2015</v>
          </cell>
          <cell r="C3203" t="str">
            <v>M</v>
          </cell>
          <cell r="D3203">
            <v>155.28</v>
          </cell>
        </row>
        <row r="3204">
          <cell r="A3204">
            <v>96718</v>
          </cell>
          <cell r="B3204" t="str">
            <v>TUBO, PPR, DN 20, CLASSE PN 20,  INSTALADO EM RESERVAÇÃO DE ÁGUA DE EDIFICAÇÃO QUE POSSUA RESERVATÓRIO DE FIBRA/FIBROCIMENTO  FORNECIMENTO E INSTALAÇÃO. AF_06/2016</v>
          </cell>
          <cell r="C3204" t="str">
            <v>M</v>
          </cell>
          <cell r="D3204">
            <v>5.99</v>
          </cell>
        </row>
        <row r="3205">
          <cell r="A3205">
            <v>96719</v>
          </cell>
          <cell r="B3205" t="str">
            <v>TUBO, PPR, DN 25, CLASSE PN 20,  INSTALADO EM RESERVAÇÃO DE ÁGUA DE EDIFICAÇÃO QUE POSSUA RESERVATÓRIO DE FIBRA/FIBROCIMENTO  FORNECIMENTO E INSTALAÇÃO. AF_06/2016</v>
          </cell>
          <cell r="C3205" t="str">
            <v>M</v>
          </cell>
          <cell r="D3205">
            <v>12.43</v>
          </cell>
        </row>
        <row r="3206">
          <cell r="A3206">
            <v>96720</v>
          </cell>
          <cell r="B3206" t="str">
            <v>TUBO, PPR, DN 32, CLASSE PN 12,  INSTALADO EM RESERVAÇÃO DE ÁGUA DE EDIFICAÇÃO QUE POSSUA RESERVATÓRIO DE FIBRA/FIBROCIMENTO  FORNECIMENTO E INSTALAÇÃO. AF_06/2016</v>
          </cell>
          <cell r="C3206" t="str">
            <v>M</v>
          </cell>
          <cell r="D3206">
            <v>15.1</v>
          </cell>
        </row>
        <row r="3207">
          <cell r="A3207">
            <v>96721</v>
          </cell>
          <cell r="B3207" t="str">
            <v>TUBO, PPR, DN 40, CLASSE PN 12,  INSTALADO EM RESERVAÇÃO DE ÁGUA DE EDIFICAÇÃO QUE POSSUA RESERVATÓRIO DE FIBRA/FIBROCIMENTO  FORNECIMENTO E INSTALAÇÃO. AF_06/2016</v>
          </cell>
          <cell r="C3207" t="str">
            <v>M</v>
          </cell>
          <cell r="D3207">
            <v>20.18</v>
          </cell>
        </row>
        <row r="3208">
          <cell r="A3208">
            <v>96722</v>
          </cell>
          <cell r="B3208" t="str">
            <v>TUBO, PPR, DN 50, CLASSE PN 12,  INSTALADO EM RESERVAÇÃO DE ÁGUA DE EDIFICAÇÃO QUE POSSUA RESERVATÓRIO DE FIBRA/FIBROCIMENTO  FORNECIMENTO E INSTALAÇÃO. AF_06/2016</v>
          </cell>
          <cell r="C3208" t="str">
            <v>M</v>
          </cell>
          <cell r="D3208">
            <v>27.6</v>
          </cell>
        </row>
        <row r="3209">
          <cell r="A3209">
            <v>96723</v>
          </cell>
          <cell r="B3209" t="str">
            <v>TUBO, PPR, DN 63, CLASSE PN 12,  INSTALADO EM RESERVAÇÃO DE ÁGUA DE EDIFICAÇÃO QUE POSSUA RESERVATÓRIO DE FIBRA/FIBROCIMENTO  FORNECIMENTO E INSTALAÇÃO. AF_06/2016</v>
          </cell>
          <cell r="C3209" t="str">
            <v>M</v>
          </cell>
          <cell r="D3209">
            <v>36.49</v>
          </cell>
        </row>
        <row r="3210">
          <cell r="A3210">
            <v>96724</v>
          </cell>
          <cell r="B3210" t="str">
            <v>TUBO, PPR, DN 75, CLASSE PN 12,  INSTALADO EM RESERVAÇÃO DE ÁGUA DE EDIFICAÇÃO QUE POSSUA RESERVATÓRIO DE FIBRA/FIBROCIMENTO  FORNECIMENTO E INSTALAÇÃO. AF_06/2016</v>
          </cell>
          <cell r="C3210" t="str">
            <v>M</v>
          </cell>
          <cell r="D3210">
            <v>59.59</v>
          </cell>
        </row>
        <row r="3211">
          <cell r="A3211">
            <v>96725</v>
          </cell>
          <cell r="B3211" t="str">
            <v>TUBO, PPR, DN 90, CLASSE PN 12,  INSTALADO EM RESERVAÇÃO DE ÁGUA DE EDIFICAÇÃO QUE POSSUA RESERVATÓRIO DE FIBRA/FIBROCIMENTO  FORNECIMENTO E INSTALAÇÃO. AF_06/2016</v>
          </cell>
          <cell r="C3211" t="str">
            <v>M</v>
          </cell>
          <cell r="D3211">
            <v>78.13</v>
          </cell>
        </row>
        <row r="3212">
          <cell r="A3212">
            <v>96726</v>
          </cell>
          <cell r="B3212" t="str">
            <v>TUBO, PPR, DN 110, CLASSE PN 12,  INSTALADO EM RESERVAÇÃO DE ÁGUA DE EDIFICAÇÃO QUE POSSUA RESERVATÓRIO DE FIBRA/FIBROCIMENTO  FORNECIMENTO E INSTALAÇÃO. AF_06/2016</v>
          </cell>
          <cell r="C3212" t="str">
            <v>M</v>
          </cell>
          <cell r="D3212">
            <v>127.34</v>
          </cell>
        </row>
        <row r="3213">
          <cell r="A3213">
            <v>96727</v>
          </cell>
          <cell r="B3213" t="str">
            <v>TUBO, PPR, DN 20, CLASSE PN 25,  INSTALADO EM RESERVAÇÃO DE ÁGUA DE EDIFICAÇÃO QUE POSSUA RESERVATÓRIO DE FIBRA/FIBROCIMENTO  FORNECIMENTO E INSTALAÇÃO. AF_06/2016</v>
          </cell>
          <cell r="C3213" t="str">
            <v>M</v>
          </cell>
          <cell r="D3213">
            <v>10.79</v>
          </cell>
        </row>
        <row r="3214">
          <cell r="A3214">
            <v>96728</v>
          </cell>
          <cell r="B3214" t="str">
            <v>TUBO, PPR, DN 25, CLASSE PN 25,  INSTALADO EM RESERVAÇÃO DE ÁGUA DE EDIFICAÇÃO QUE POSSUA RESERVATÓRIO DE FIBRA/FIBROCIMENTO  FORNECIMENTO E INSTALAÇÃO. AF_06/2016</v>
          </cell>
          <cell r="C3214" t="str">
            <v>M</v>
          </cell>
          <cell r="D3214">
            <v>12.85</v>
          </cell>
        </row>
        <row r="3215">
          <cell r="A3215">
            <v>96729</v>
          </cell>
          <cell r="B3215" t="str">
            <v>TUBO, PPR, DN 32, CLASSE PN 25,  INSTALADO EM RESERVAÇÃO DE ÁGUA DE EDIFICAÇÃO QUE POSSUA RESERVATÓRIO DE FIBRA/FIBROCIMENTO  FORNECIMENTO E INSTALAÇÃO. AF_06/2016</v>
          </cell>
          <cell r="C3215" t="str">
            <v>M</v>
          </cell>
          <cell r="D3215">
            <v>19.39</v>
          </cell>
        </row>
        <row r="3216">
          <cell r="A3216">
            <v>96730</v>
          </cell>
          <cell r="B3216" t="str">
            <v>TUBO, PPR, DN 40, CLASSE PN 25,  INSTALADO EM RESERVAÇÃO DE ÁGUA DE EDIFICAÇÃO QUE POSSUA RESERVATÓRIO DE FIBRA/FIBROCIMENTO  FORNECIMENTO E INSTALAÇÃO. AF_06/2016</v>
          </cell>
          <cell r="C3216" t="str">
            <v>M</v>
          </cell>
          <cell r="D3216">
            <v>24.37</v>
          </cell>
        </row>
        <row r="3217">
          <cell r="A3217">
            <v>96731</v>
          </cell>
          <cell r="B3217" t="str">
            <v>TUBO, PPR, DN 50, CLASSE PN 25,  INSTALADO EM RESERVAÇÃO DE ÁGUA DE EDIFICAÇÃO QUE POSSUA RESERVATÓRIO DE FIBRA/FIBROCIMENTO  FORNECIMENTO E INSTALAÇÃO. AF_06/2016</v>
          </cell>
          <cell r="C3217" t="str">
            <v>M</v>
          </cell>
          <cell r="D3217">
            <v>35.700000000000003</v>
          </cell>
        </row>
        <row r="3218">
          <cell r="A3218">
            <v>96732</v>
          </cell>
          <cell r="B3218" t="str">
            <v>TUBO, PPR, DN 63, CLASSE PN 25,  INSTALADO EM RESERVAÇÃO DE ÁGUA DE EDIFICAÇÃO QUE POSSUA RESERVATÓRIO DE FIBRA/FIBROCIMENTO  FORNECIMENTO E INSTALAÇÃO. AF_06/2016</v>
          </cell>
          <cell r="C3218" t="str">
            <v>M</v>
          </cell>
          <cell r="D3218">
            <v>44.13</v>
          </cell>
        </row>
        <row r="3219">
          <cell r="A3219">
            <v>96733</v>
          </cell>
          <cell r="B3219" t="str">
            <v>TUBO, PPR, DN 75, CLASSE PN 25,  INSTALADO EM RESERVAÇÃO DE ÁGUA DE EDIFICAÇÃO QUE POSSUA RESERVATÓRIO DE FIBRA/FIBROCIMENTO  FORNECIMENTO E INSTALAÇÃO. AF_06/2016</v>
          </cell>
          <cell r="C3219" t="str">
            <v>M</v>
          </cell>
          <cell r="D3219">
            <v>80.89</v>
          </cell>
        </row>
        <row r="3220">
          <cell r="A3220">
            <v>96734</v>
          </cell>
          <cell r="B3220" t="str">
            <v>TUBO, PPR, DN 90, CLASSE PN 25,  INSTALADO EM RESERVAÇÃO DE ÁGUA DE EDIFICAÇÃO QUE POSSUA RESERVATÓRIO DE FIBRA/FIBROCIMENTO  FORNECIMENTO E INSTALAÇÃO. AF_06/2016</v>
          </cell>
          <cell r="C3220" t="str">
            <v>M</v>
          </cell>
          <cell r="D3220">
            <v>111.95</v>
          </cell>
        </row>
        <row r="3221">
          <cell r="A3221">
            <v>96735</v>
          </cell>
          <cell r="B3221" t="str">
            <v>TUBO, PPR, DN 110, CLASSE PN 25,  INSTALADO EM RESERVAÇÃO DE ÁGUA DE EDIFICAÇÃO QUE POSSUA RESERVATÓRIO DE FIBRA/FIBROCIMENTO  FORNECIMENTO E INSTALAÇÃO. AF_06/2016</v>
          </cell>
          <cell r="C3221" t="str">
            <v>M</v>
          </cell>
          <cell r="D3221">
            <v>146.25</v>
          </cell>
        </row>
        <row r="3222">
          <cell r="A3222">
            <v>96794</v>
          </cell>
          <cell r="B3222" t="str">
            <v>TUBO, PEX, MONOCAMADA, DN 16, INSTALADO EM RAMAL OU SUB-RAMAL DE ÁGUA  FORNECIMENTO E INSTALAÇÃO. AF_06/2015</v>
          </cell>
          <cell r="C3222" t="str">
            <v>M</v>
          </cell>
          <cell r="D3222">
            <v>6.42</v>
          </cell>
        </row>
        <row r="3223">
          <cell r="A3223">
            <v>96795</v>
          </cell>
          <cell r="B3223" t="str">
            <v>TUBO, PEX, MONOCAMADA, DN 20, INSTALADO EM RAMAL OU SUB-RAMAL DE ÁGUA  FORNECIMENTO E INSTALAÇÃO. AF_06/2015</v>
          </cell>
          <cell r="C3223" t="str">
            <v>M</v>
          </cell>
          <cell r="D3223">
            <v>8.1300000000000008</v>
          </cell>
        </row>
        <row r="3224">
          <cell r="A3224">
            <v>96796</v>
          </cell>
          <cell r="B3224" t="str">
            <v>TUBO, PEX, MONOCAMADA, DN 25, INSTALADO EM RAMAL OU SUB-RAMAL DE ÁGUA  FORNECIMENTO E INSTALAÇÃO. AF_06/2015</v>
          </cell>
          <cell r="C3224" t="str">
            <v>M</v>
          </cell>
          <cell r="D3224">
            <v>11.33</v>
          </cell>
        </row>
        <row r="3225">
          <cell r="A3225">
            <v>96797</v>
          </cell>
          <cell r="B3225" t="str">
            <v>TUBO, PEX, MONOCAMADA, DN 32, INSTALADO EM RAMAL OU SUB-RAMAL DE ÁGUA  FORNECIMENTO E INSTALAÇÃO. AF_06/2015</v>
          </cell>
          <cell r="C3225" t="str">
            <v>M</v>
          </cell>
          <cell r="D3225">
            <v>17.010000000000002</v>
          </cell>
        </row>
        <row r="3226">
          <cell r="A3226">
            <v>96798</v>
          </cell>
          <cell r="B3226" t="str">
            <v>TUBO, PEX, MONOCAMADA, DN 16, INSTALADO EM RAMAL DE DISTRIBUIÇÃO DE ÁGUA  FORNECIMENTO E INSTALAÇÃO. AF_06/2015</v>
          </cell>
          <cell r="C3226" t="str">
            <v>M</v>
          </cell>
          <cell r="D3226">
            <v>6.53</v>
          </cell>
        </row>
        <row r="3227">
          <cell r="A3227">
            <v>96799</v>
          </cell>
          <cell r="B3227" t="str">
            <v>TUBO, PEX, MONOCAMADA, DN 20, INSTALADO EM RAMAL DE DISTRIBUIÇÃO DE ÁGUA  FORNECIMENTO E INSTALAÇÃO. AF_06/2015</v>
          </cell>
          <cell r="C3227" t="str">
            <v>M</v>
          </cell>
          <cell r="D3227">
            <v>8.76</v>
          </cell>
        </row>
        <row r="3228">
          <cell r="A3228">
            <v>96800</v>
          </cell>
          <cell r="B3228" t="str">
            <v>TUBO, PEX, MONOCAMADA, DN 25, INSTALADO EM RAMAL DE DISTRIBUIÇÃO DE ÁGUA  FORNECIMENTO E INSTALAÇÃO. AF_06/2015</v>
          </cell>
          <cell r="C3228" t="str">
            <v>M</v>
          </cell>
          <cell r="D3228">
            <v>12.61</v>
          </cell>
        </row>
        <row r="3229">
          <cell r="A3229">
            <v>96801</v>
          </cell>
          <cell r="B3229" t="str">
            <v>TUBO, PEX, MONOCAMADA, DN 32, INSTALADO EM RAMAL DE DISTRIBUIÇÃO DE ÁGUA  FORNECIMENTO E INSTALAÇÃO. AF_06/2015</v>
          </cell>
          <cell r="C3229" t="str">
            <v>M</v>
          </cell>
          <cell r="D3229">
            <v>19.21</v>
          </cell>
        </row>
        <row r="3230">
          <cell r="A3230">
            <v>97327</v>
          </cell>
          <cell r="B3230" t="str">
            <v>TUBO EM COBRE FLEXÍVEL, DN 1/4, COM ISOLAMENTO, INSTALADO EM RAMAL DE ALIMENTAÇÃO DE AR CONDICIONADO COM CONDENSADORA INDIVIDUAL   FORNECIMENTO E INSTALAÇÃO. AF_12/2015</v>
          </cell>
          <cell r="C3230" t="str">
            <v>M</v>
          </cell>
          <cell r="D3230">
            <v>20.29</v>
          </cell>
        </row>
        <row r="3231">
          <cell r="A3231">
            <v>97328</v>
          </cell>
          <cell r="B3231" t="str">
            <v>TUBO EM COBRE FLEXÍVEL, DN 3/8", COM ISOLAMENTO, INSTALADO EM RAMAL DE ALIMENTAÇÃO DE AR CONDICIONADO COM CONDENSADORA INDIVIDUAL  FORNECIMENTO E INSTALAÇÃO. AF_12/2015</v>
          </cell>
          <cell r="C3231" t="str">
            <v>M</v>
          </cell>
          <cell r="D3231">
            <v>35.5</v>
          </cell>
        </row>
        <row r="3232">
          <cell r="A3232">
            <v>97329</v>
          </cell>
          <cell r="B3232" t="str">
            <v>TUBO EM COBRE FLEXÍVEL, DN 1/2", COM ISOLAMENTO, INSTALADO EM RAMAL DE ALIMENTAÇÃO DE AR CONDICIONADO COM CONDENSADORA INDIVIDUAL  FORNECIMENTO E INSTALAÇÃO. AF_12/2015</v>
          </cell>
          <cell r="C3232" t="str">
            <v>M</v>
          </cell>
          <cell r="D3232">
            <v>44.21</v>
          </cell>
        </row>
        <row r="3233">
          <cell r="A3233">
            <v>97330</v>
          </cell>
          <cell r="B3233" t="str">
            <v>TUBO EM COBRE FLEXÍVEL, DN 5/8", COM ISOLAMENTO, INSTALADO EM RAMAL DE ALIMENTAÇÃO DE AR CONDICIONADO COM CONDENSADORA INDIVIDUAL  FORNECIMENTO E INSTALAÇÃO. AF_12/2015</v>
          </cell>
          <cell r="C3233" t="str">
            <v>M</v>
          </cell>
          <cell r="D3233">
            <v>53.88</v>
          </cell>
        </row>
        <row r="3234">
          <cell r="A3234">
            <v>97331</v>
          </cell>
          <cell r="B3234" t="str">
            <v>TUBO EM COBRE FLEXÍVEL, DN 1/4", COM ISOLAMENTO, INSTALADO EM RAMAL DE ALIMENTAÇÃO DE AR CONDICIONADO COM CONDENSADORA CENTRAL  FORNECIMENTO E INSTALAÇÃO. AF_12/2015</v>
          </cell>
          <cell r="C3234" t="str">
            <v>M</v>
          </cell>
          <cell r="D3234">
            <v>20.54</v>
          </cell>
        </row>
        <row r="3235">
          <cell r="A3235">
            <v>97332</v>
          </cell>
          <cell r="B3235" t="str">
            <v>TUBO EM COBRE FLEXÍVEL, DN 3/8", COM ISOLAMENTO, INSTALADO EM RAMAL DE ALIMENTAÇÃO DE AR CONDICIONADO COM CONDENSADORA CENTRAL  FORNECIMENTO E INSTALAÇÃO. AF_12/2015</v>
          </cell>
          <cell r="C3235" t="str">
            <v>M</v>
          </cell>
          <cell r="D3235">
            <v>35.78</v>
          </cell>
        </row>
        <row r="3236">
          <cell r="A3236">
            <v>97333</v>
          </cell>
          <cell r="B3236" t="str">
            <v>TUBO EM COBRE FLEXÍVEL, DN 1/2", COM ISOLAMENTO, INSTALADO EM RAMAL DE ALIMENTAÇÃO DE AR CONDICIONADO COM CONDENSADORA CENTRAL  FORNECIMENTO E INSTALAÇÃO. AF_12/2015</v>
          </cell>
          <cell r="C3236" t="str">
            <v>M</v>
          </cell>
          <cell r="D3236">
            <v>44.57</v>
          </cell>
        </row>
        <row r="3237">
          <cell r="A3237">
            <v>97334</v>
          </cell>
          <cell r="B3237" t="str">
            <v>TUBO EM COBRE FLEXÍVEL, DN 5/8, COM ISOLAMENTO, INSTALADO EM RAMAL DE ALIMENTAÇÃO DE AR CONDICIONADO COM CONDENSADORA CENTRAL   FORNECIMENTO E INSTALAÇÃO. AF_12/2015</v>
          </cell>
          <cell r="C3237" t="str">
            <v>M</v>
          </cell>
          <cell r="D3237">
            <v>54.27</v>
          </cell>
        </row>
        <row r="3238">
          <cell r="A3238">
            <v>97335</v>
          </cell>
          <cell r="B3238" t="str">
            <v>TUBO EM COBRE RÍGIDO, DN 22 MM, CLASSE A, SEM ISOLAMENTO, INSTALADO EM PRUMADA  FORNECIMENTO E INSTALAÇÃO. AF_12/2015</v>
          </cell>
          <cell r="C3238" t="str">
            <v>M</v>
          </cell>
          <cell r="D3238">
            <v>54.33</v>
          </cell>
        </row>
        <row r="3239">
          <cell r="A3239">
            <v>97336</v>
          </cell>
          <cell r="B3239" t="str">
            <v>TUBO EM COBRE RÍGIDO, DN 28 MM, CLASSE A, SEM ISOLAMENTO, INSTALADO EM PRUMADA  FORNECIMENTO E INSTALAÇÃO. AF_12/2015</v>
          </cell>
          <cell r="C3239" t="str">
            <v>M</v>
          </cell>
          <cell r="D3239">
            <v>69</v>
          </cell>
        </row>
        <row r="3240">
          <cell r="A3240">
            <v>97337</v>
          </cell>
          <cell r="B3240" t="str">
            <v>TUBO EM COBRE RÍGIDO, DN 35 MM, CLASSE A, SEM ISOLAMENTO, INSTALADO EM PRUMADA  FORNECIMENTO E INSTALAÇÃO. AF_12/2015</v>
          </cell>
          <cell r="C3240" t="str">
            <v>M</v>
          </cell>
          <cell r="D3240">
            <v>103.56</v>
          </cell>
        </row>
        <row r="3241">
          <cell r="A3241">
            <v>97338</v>
          </cell>
          <cell r="B3241" t="str">
            <v>TUBO EM COBRE RÍGIDO, DN 42 MM, CLASSE A, SEM ISOLAMENTO, INSTALADO EM PRUMADA  FORNECIMENTO E INSTALAÇÃO. AF_12/2015</v>
          </cell>
          <cell r="C3241" t="str">
            <v>M</v>
          </cell>
          <cell r="D3241">
            <v>124.47</v>
          </cell>
        </row>
        <row r="3242">
          <cell r="A3242">
            <v>97339</v>
          </cell>
          <cell r="B3242" t="str">
            <v>TUBO EM COBRE RÍGIDO, DN 54 MM, CLASSE A, SEM ISOLAMENTO, INSTALADO EM PRUMADA  FORNECIMENTO E INSTALAÇÃO. AF_12/2015</v>
          </cell>
          <cell r="C3242" t="str">
            <v>M</v>
          </cell>
          <cell r="D3242">
            <v>133.9</v>
          </cell>
        </row>
        <row r="3243">
          <cell r="A3243">
            <v>97340</v>
          </cell>
          <cell r="B3243" t="str">
            <v>TUBO EM COBRE RÍGIDO, DN 66 MM, CLASSE A, SEM ISOLAMENTO, INSTALADO EM PRUMADA  FORNECIMENTO E INSTALAÇÃO. AF_12/2015</v>
          </cell>
          <cell r="C3243" t="str">
            <v>M</v>
          </cell>
          <cell r="D3243">
            <v>134.49</v>
          </cell>
        </row>
        <row r="3244">
          <cell r="A3244">
            <v>97341</v>
          </cell>
          <cell r="B3244" t="str">
            <v>TUBO EM COBRE RÍGIDO, DN 15 MM, CLASSE A, SEM ISOLAMENTO, INSTALADO EM RAMAL DE DISTRIBUIÇÃO  FORNECIMENTO E INSTALAÇÃO. AF_12/2015</v>
          </cell>
          <cell r="C3244" t="str">
            <v>M</v>
          </cell>
          <cell r="D3244">
            <v>36.96</v>
          </cell>
        </row>
        <row r="3245">
          <cell r="A3245">
            <v>97342</v>
          </cell>
          <cell r="B3245" t="str">
            <v>TUBO EM COBRE RÍGIDO, DN 22 MM, CLASSE A, SEM ISOLAMENTO, INSTALADO EM RAMAL DE DISTRIBUIÇÃO FORNECIMENTO E INSTALAÇÃO. AF_12/2015</v>
          </cell>
          <cell r="C3245" t="str">
            <v>M</v>
          </cell>
          <cell r="D3245">
            <v>57.75</v>
          </cell>
        </row>
        <row r="3246">
          <cell r="A3246">
            <v>97343</v>
          </cell>
          <cell r="B3246" t="str">
            <v>TUBO EM COBRE RÍGIDO, DN 28 MM, CLASSE A, SEM ISOLAMENTO, INSTALADO EM RAMAL DE DISTRIBUIÇÃO FORNECIMENTO E INSTALAÇÃO. AF_12/2015</v>
          </cell>
          <cell r="C3246" t="str">
            <v>M</v>
          </cell>
          <cell r="D3246">
            <v>72.67</v>
          </cell>
        </row>
        <row r="3247">
          <cell r="A3247">
            <v>97344</v>
          </cell>
          <cell r="B3247" t="str">
            <v>TUBO EM COBRE RÍGIDO, DN 15 MM, CLASSE A, SEM ISOLAMENTO, INSTALADO EM RAMAL E SUB-RAMAL  FORNECIMENTO E INSTALAÇÃO. AF_12/2015</v>
          </cell>
          <cell r="C3247" t="str">
            <v>M</v>
          </cell>
          <cell r="D3247">
            <v>44.47</v>
          </cell>
        </row>
        <row r="3248">
          <cell r="A3248">
            <v>97345</v>
          </cell>
          <cell r="B3248" t="str">
            <v>TUBO EM COBRE RÍGIDO, DN 22 MM, CLASSE A, SEM ISOLAMENTO, INSTALADO EM RAMAL E SUB-RAMAL  FORNECIMENTO E INSTALAÇÃO. AF_12/2015</v>
          </cell>
          <cell r="C3248" t="str">
            <v>M</v>
          </cell>
          <cell r="D3248">
            <v>70.66</v>
          </cell>
        </row>
        <row r="3249">
          <cell r="A3249">
            <v>97346</v>
          </cell>
          <cell r="B3249" t="str">
            <v>TUBO EM COBRE RÍGIDO, DN 28 MM, CLASSE A, SEM ISOLAMENTO, INSTALADO EM RAMAL E SUB-RAMAL  FORNECIMENTO E INSTALAÇÃO. AF_12/2015</v>
          </cell>
          <cell r="C3249" t="str">
            <v>M</v>
          </cell>
          <cell r="D3249">
            <v>90.27</v>
          </cell>
        </row>
        <row r="3250">
          <cell r="A3250">
            <v>97347</v>
          </cell>
          <cell r="B3250" t="str">
            <v>TUBO EM COBRE RÍGIDO, DN 22 MM, CLASSE I, SEM ISOLAMENTO, INSTALADO EM PRUMADA  FORNECIMENTO E INSTALAÇÃO. AF_12/2015</v>
          </cell>
          <cell r="C3250" t="str">
            <v>M</v>
          </cell>
          <cell r="D3250">
            <v>65.400000000000006</v>
          </cell>
        </row>
        <row r="3251">
          <cell r="A3251">
            <v>97348</v>
          </cell>
          <cell r="B3251" t="str">
            <v>TUBO EM COBRE RÍGIDO, DN 28 MM, CLASSE I, SEM ISOLAMENTO, INSTALADO EM PRUMADA  FORNECIMENTO E INSTALAÇÃO. AF_12/2015</v>
          </cell>
          <cell r="C3251" t="str">
            <v>M</v>
          </cell>
          <cell r="D3251">
            <v>90.31</v>
          </cell>
        </row>
        <row r="3252">
          <cell r="A3252">
            <v>97349</v>
          </cell>
          <cell r="B3252" t="str">
            <v>TUBO EM COBRE RÍGIDO, DN 35 MM, CLASSE I, SEM ISOLAMENTO, INSTALADO EM PRUMADA  FORNECIMENTO E INSTALAÇÃO. AF_12/2015</v>
          </cell>
          <cell r="C3252" t="str">
            <v>M</v>
          </cell>
          <cell r="D3252">
            <v>130.09</v>
          </cell>
        </row>
        <row r="3253">
          <cell r="A3253">
            <v>97350</v>
          </cell>
          <cell r="B3253" t="str">
            <v>TUBO EM COBRE RÍGIDO, DN 42 MM, CLASSE I, SEM ISOLAMENTO, INSTALADO EM PRUMADA  FORNECIMENTO E INSTALAÇÃO. AF_12/2015</v>
          </cell>
          <cell r="C3253" t="str">
            <v>M</v>
          </cell>
          <cell r="D3253">
            <v>157.93</v>
          </cell>
        </row>
        <row r="3254">
          <cell r="A3254">
            <v>97351</v>
          </cell>
          <cell r="B3254" t="str">
            <v>TUBO EM COBRE RÍGIDO, DN 54 MM, CLASSE I, SEM ISOLAMENTO, INSTALADO EM PRUMADA  FORNECIMENTO E INSTALAÇÃO. AF_12/2015</v>
          </cell>
          <cell r="C3254" t="str">
            <v>M</v>
          </cell>
          <cell r="D3254">
            <v>218.32</v>
          </cell>
        </row>
        <row r="3255">
          <cell r="A3255">
            <v>97352</v>
          </cell>
          <cell r="B3255" t="str">
            <v>TUBO EM COBRE RÍGIDO, DN 66 MM, CLASSE I, SEM ISOLAMENTO, INSTALADO EM PRUMADA  FORNECIMENTO E INSTALAÇÃO. AF_12/2015</v>
          </cell>
          <cell r="C3255" t="str">
            <v>M</v>
          </cell>
          <cell r="D3255">
            <v>282.87</v>
          </cell>
        </row>
        <row r="3256">
          <cell r="A3256">
            <v>97353</v>
          </cell>
          <cell r="B3256" t="str">
            <v>TUBO EM COBRE RÍGIDO, DN 15 MM, CLASSE I, SEM ISOLAMENTO, INSTALADO EM RAMAL DE DISTRIBUIÇÃO  FORNECIMENTO E INSTALAÇÃO. AF_12/2015</v>
          </cell>
          <cell r="C3256" t="str">
            <v>M</v>
          </cell>
          <cell r="D3256">
            <v>43.51</v>
          </cell>
        </row>
        <row r="3257">
          <cell r="A3257">
            <v>97354</v>
          </cell>
          <cell r="B3257" t="str">
            <v>TUBO EM COBRE RÍGIDO, DN 22 MM, CLASSE I, SEM ISOLAMENTO, INSTALADO EM RAMAL DE DISTRIBUIÇÃO FORNECIMENTO E INSTALAÇÃO. AF_12/2015</v>
          </cell>
          <cell r="C3257" t="str">
            <v>M</v>
          </cell>
          <cell r="D3257">
            <v>68.819999999999993</v>
          </cell>
        </row>
        <row r="3258">
          <cell r="A3258">
            <v>97355</v>
          </cell>
          <cell r="B3258" t="str">
            <v>TUBO EM COBRE RÍGIDO, DN 28 MM, CLASSE I, SEM ISOLAMENTO, INSTALADO EM RAMAL DE DISTRIBUIÇÃO FORNECIMENTO E INSTALAÇÃO. AF_12/2015</v>
          </cell>
          <cell r="C3258" t="str">
            <v>M</v>
          </cell>
          <cell r="D3258">
            <v>93.98</v>
          </cell>
        </row>
        <row r="3259">
          <cell r="A3259">
            <v>97356</v>
          </cell>
          <cell r="B3259" t="str">
            <v>TUBO EM COBRE RÍGIDO, DN 15 MM, CLASSE I, SEM ISOLAMENTO, INSTALADO EM RAMAL E SUB-RAMAL  FORNECIMENTO E INSTALAÇÃO. AF_12/2015</v>
          </cell>
          <cell r="C3259" t="str">
            <v>M</v>
          </cell>
          <cell r="D3259">
            <v>51.02</v>
          </cell>
        </row>
        <row r="3260">
          <cell r="A3260">
            <v>97357</v>
          </cell>
          <cell r="B3260" t="str">
            <v>TUBO EM COBRE RÍGIDO, DN 22 MM, CLASSE I, SEM ISOLAMENTO, INSTALADO EM RAMAL E SUB-RAMAL  FORNECIMENTO E INSTALAÇÃO. AF_12/2015</v>
          </cell>
          <cell r="C3260" t="str">
            <v>M</v>
          </cell>
          <cell r="D3260">
            <v>81.73</v>
          </cell>
        </row>
        <row r="3261">
          <cell r="A3261">
            <v>97358</v>
          </cell>
          <cell r="B3261" t="str">
            <v>TUBO EM COBRE RÍGIDO, DN 28 MM, CLASSE I, SEM ISOLAMENTO, INSTALADO EM RAMAL E SUB-RAMAL  FORNECIMENTO E INSTALAÇÃO. AF_12/2015</v>
          </cell>
          <cell r="C3261" t="str">
            <v>M</v>
          </cell>
          <cell r="D3261">
            <v>111.58</v>
          </cell>
        </row>
        <row r="3262">
          <cell r="A3262">
            <v>97498</v>
          </cell>
          <cell r="B3262" t="str">
            <v>TUBO DE AÇO GALVANIZADO COM COSTURA, CLASSE MÉDIA, DN 25 (1"), CONEXÃO ROSQUEADA, INSTALADO EM REDE DE ALIMENTAÇÃO PARA HIDRANTE - FORNECIMENTO E INSTALAÇÃO. AF_12/2015</v>
          </cell>
          <cell r="C3262" t="str">
            <v>M</v>
          </cell>
          <cell r="D3262">
            <v>27.15</v>
          </cell>
        </row>
        <row r="3263">
          <cell r="A3263">
            <v>97535</v>
          </cell>
          <cell r="B3263" t="str">
            <v>TUBO DE AÇO GALVANIZADO COM COSTURA, CLASSE MÉDIA, CONEXÃO ROSQUEADA, DN 25 (1"), INSTALADO EM REDE DE ALIMENTAÇÃO PARA SPRINKLER - FORNECIMENTO E INSTALAÇÃO. AF_12/2015</v>
          </cell>
          <cell r="C3263" t="str">
            <v>M</v>
          </cell>
          <cell r="D3263">
            <v>30.57</v>
          </cell>
        </row>
        <row r="3264">
          <cell r="A3264">
            <v>97536</v>
          </cell>
          <cell r="B3264" t="str">
            <v>TUBO DE AÇO GALVANIZADO COM COSTURA, CLASSE MÉDIA, CONEXÃO ROSQUEADA, DN 25 (1"), INSTALADO EM RAMAIS  E SUB-RAMAIS DE GÁS - FORNECIMENTO E INSTALAÇÃO. AF_12/2015</v>
          </cell>
          <cell r="C3264" t="str">
            <v>M</v>
          </cell>
          <cell r="D3264">
            <v>38.44</v>
          </cell>
        </row>
        <row r="3265">
          <cell r="A3265">
            <v>100788</v>
          </cell>
          <cell r="B3265" t="str">
            <v>KIT CAVALETE PARA GÁS - SEM MEDIDOR OU REGULADOR - ENTRADA INDIVIDUAL PRINCIPAL, EM AÇO GALVANIZADO DN 15 E 25 MM (1/2" E 1") - FORNECIMENTO E INSTALAÇÃO. AF_01/2020</v>
          </cell>
          <cell r="C3265" t="str">
            <v>UN</v>
          </cell>
          <cell r="D3265">
            <v>438.87</v>
          </cell>
        </row>
        <row r="3266">
          <cell r="A3266">
            <v>100791</v>
          </cell>
          <cell r="B3266" t="str">
            <v>TUBO, PEX, MULTICAMADA, DN 16, INSTALADO EM IMPLANTAÇÃO DE INSTALAÇÕES DE GÁS - FORNECIMENTO E INSTALAÇÃO. AF_01/2020</v>
          </cell>
          <cell r="C3266" t="str">
            <v>M</v>
          </cell>
          <cell r="D3266">
            <v>13.5</v>
          </cell>
        </row>
        <row r="3267">
          <cell r="A3267">
            <v>100792</v>
          </cell>
          <cell r="B3267" t="str">
            <v>TUBO, PEX, MULTICAMADA, DN 20, INSTALADO EM IMPLANTAÇÃO DE INSTALAÇÕES DE GÁS - FORNECIMENTO E INSTALAÇÃO. AF_01/2020</v>
          </cell>
          <cell r="C3267" t="str">
            <v>M</v>
          </cell>
          <cell r="D3267">
            <v>19.600000000000001</v>
          </cell>
        </row>
        <row r="3268">
          <cell r="A3268">
            <v>100793</v>
          </cell>
          <cell r="B3268" t="str">
            <v>TUBO, PEX, MULTICAMADA, DN 26, INSTALADO EM IMPLANTAÇÃO DE INSTALAÇÕES DE GÁS - FORNECIMENTO E INSTALAÇÃO. AF_01/2020</v>
          </cell>
          <cell r="C3268" t="str">
            <v>M</v>
          </cell>
          <cell r="D3268">
            <v>25.9</v>
          </cell>
        </row>
        <row r="3269">
          <cell r="A3269">
            <v>100794</v>
          </cell>
          <cell r="B3269" t="str">
            <v>TUBO, PEX, MULTICAMADA, DN 32, INSTALADO EM IMPLANTAÇÃO DE INSTALAÇÕES DE GÁS - FORNECIMENTO E INSTALAÇÃO. AF_01/2020</v>
          </cell>
          <cell r="C3269" t="str">
            <v>M</v>
          </cell>
          <cell r="D3269">
            <v>34.83</v>
          </cell>
        </row>
        <row r="3270">
          <cell r="A3270">
            <v>100803</v>
          </cell>
          <cell r="B3270" t="str">
            <v>TUBO, PEX, MULTICAMADA, DN 16, INSTALADO EM RAMAL INTERNO DE INSTALAÇÕES DE GÁS - FORNECIMENTO E INSTALAÇÃO. AF_01/2020</v>
          </cell>
          <cell r="C3270" t="str">
            <v>M</v>
          </cell>
          <cell r="D3270">
            <v>12.78</v>
          </cell>
        </row>
        <row r="3271">
          <cell r="A3271">
            <v>100804</v>
          </cell>
          <cell r="B3271" t="str">
            <v>TUBO, PEX, MULTICAMADA, DN 20, INSTALADO EM RAMAL INTERNO DE INSTALAÇÕES DE GÁS - FORNECIMENTO E INSTALAÇÃO. AF_01/2020</v>
          </cell>
          <cell r="C3271" t="str">
            <v>M</v>
          </cell>
          <cell r="D3271">
            <v>18.739999999999998</v>
          </cell>
        </row>
        <row r="3272">
          <cell r="A3272">
            <v>100805</v>
          </cell>
          <cell r="B3272" t="str">
            <v>TUBO, PEX, MULTICAMADA, DN 26, INSTALADO EM RAMAL INTERNO DE INSTALAÇÕES DE GÁS - FORNECIMENTO E INSTALAÇÃO. AF_01/2020</v>
          </cell>
          <cell r="C3272" t="str">
            <v>M</v>
          </cell>
          <cell r="D3272">
            <v>24.88</v>
          </cell>
        </row>
        <row r="3273">
          <cell r="A3273">
            <v>100806</v>
          </cell>
          <cell r="B3273" t="str">
            <v>TUBO, PEX, MULTICAMADA, DN 32, INSTALADO EM RAMAL INTERNO DE INSTALAÇÕES DE GÁS - FORNECIMENTO E INSTALAÇÃO. AF_01/2020</v>
          </cell>
          <cell r="C3273" t="str">
            <v>M</v>
          </cell>
          <cell r="D3273">
            <v>33.56</v>
          </cell>
        </row>
        <row r="3274">
          <cell r="A3274">
            <v>72306</v>
          </cell>
          <cell r="B3274" t="str">
            <v>COTOVELO DE AÇO GALVANIZADO 4" - FORNECIMENTO E INSTALAÇÃO</v>
          </cell>
          <cell r="C3274" t="str">
            <v>UN</v>
          </cell>
          <cell r="D3274">
            <v>170.33</v>
          </cell>
        </row>
        <row r="3275">
          <cell r="A3275">
            <v>72307</v>
          </cell>
          <cell r="B3275" t="str">
            <v>COTOVELO DE AÇO GALVANIZADO 5" - FORNECIMENTO E INSTALAÇÃO</v>
          </cell>
          <cell r="C3275" t="str">
            <v>UN</v>
          </cell>
          <cell r="D3275">
            <v>238.3</v>
          </cell>
        </row>
        <row r="3276">
          <cell r="A3276">
            <v>72313</v>
          </cell>
          <cell r="B3276" t="str">
            <v>COTOVELO DE AÇO GALVANIZADO 6" - FORNECIMENTO E INSTALAÇÃO</v>
          </cell>
          <cell r="C3276" t="str">
            <v>UN</v>
          </cell>
          <cell r="D3276">
            <v>553.16999999999996</v>
          </cell>
        </row>
        <row r="3277">
          <cell r="A3277">
            <v>72482</v>
          </cell>
          <cell r="B3277" t="str">
            <v>UNIAO DE ACO GALVANIZADO 4" - FORNECIMENTO E INSTALACAO</v>
          </cell>
          <cell r="C3277" t="str">
            <v>UN</v>
          </cell>
          <cell r="D3277">
            <v>238.45</v>
          </cell>
        </row>
        <row r="3278">
          <cell r="A3278">
            <v>72619</v>
          </cell>
          <cell r="B3278" t="str">
            <v>LUVA DE ACO GALVANIZADO 4" - FORNECIMENTO E INSTALACAO</v>
          </cell>
          <cell r="C3278" t="str">
            <v>UN</v>
          </cell>
          <cell r="D3278">
            <v>99.63</v>
          </cell>
        </row>
        <row r="3279">
          <cell r="A3279">
            <v>72620</v>
          </cell>
          <cell r="B3279" t="str">
            <v>LUVA DE ACO GALVANIZADO 5" - FORNECIMENTO E INSTALACAO</v>
          </cell>
          <cell r="C3279" t="str">
            <v>UN</v>
          </cell>
          <cell r="D3279">
            <v>173.32</v>
          </cell>
        </row>
        <row r="3280">
          <cell r="A3280">
            <v>72621</v>
          </cell>
          <cell r="B3280" t="str">
            <v>LUVA DE ACO GALVANIZADO 6" - FORNECIMENTO E INSTALACAO</v>
          </cell>
          <cell r="C3280" t="str">
            <v>UN</v>
          </cell>
          <cell r="D3280">
            <v>277.83</v>
          </cell>
        </row>
        <row r="3281">
          <cell r="A3281">
            <v>72667</v>
          </cell>
          <cell r="B3281" t="str">
            <v>LUVA REDUCAO ACO GALVANIZADO 4X2.1/2" - FORNECIMENTO E INSTALACAO</v>
          </cell>
          <cell r="C3281" t="str">
            <v>UN</v>
          </cell>
          <cell r="D3281">
            <v>138.09</v>
          </cell>
        </row>
        <row r="3282">
          <cell r="A3282">
            <v>72668</v>
          </cell>
          <cell r="B3282" t="str">
            <v>LUVA REDUCAO ACO GALVANIZADO 4X2" - FORNECIMENTO E INSTALACAO</v>
          </cell>
          <cell r="C3282" t="str">
            <v>UN</v>
          </cell>
          <cell r="D3282">
            <v>137.33000000000001</v>
          </cell>
        </row>
        <row r="3283">
          <cell r="A3283">
            <v>72669</v>
          </cell>
          <cell r="B3283" t="str">
            <v>LUVA REDUCAO ACO GALVANIZADO 4X3" - FORNECIMENTO E INSTALACAO</v>
          </cell>
          <cell r="C3283" t="str">
            <v>UN</v>
          </cell>
          <cell r="D3283">
            <v>141.74</v>
          </cell>
        </row>
        <row r="3284">
          <cell r="A3284">
            <v>72681</v>
          </cell>
          <cell r="B3284" t="str">
            <v>NIPLE DE ACO GALVANIZADO 4" - FORNECIMENTO E INSTALACAO</v>
          </cell>
          <cell r="C3284" t="str">
            <v>UN</v>
          </cell>
          <cell r="D3284">
            <v>96.76</v>
          </cell>
        </row>
        <row r="3285">
          <cell r="A3285">
            <v>72682</v>
          </cell>
          <cell r="B3285" t="str">
            <v>NIPLE DE ACO GALVANIZADO 5" - FORNECIMENTO E INSTALACAO</v>
          </cell>
          <cell r="C3285" t="str">
            <v>UN</v>
          </cell>
          <cell r="D3285">
            <v>193.76</v>
          </cell>
        </row>
        <row r="3286">
          <cell r="A3286">
            <v>72683</v>
          </cell>
          <cell r="B3286" t="str">
            <v>NIPLE DE ACO GALVANIZADO 6" - FORNECIMENTO E INSTALACAO</v>
          </cell>
          <cell r="C3286" t="str">
            <v>UN</v>
          </cell>
          <cell r="D3286">
            <v>310.70999999999998</v>
          </cell>
        </row>
        <row r="3287">
          <cell r="A3287">
            <v>72719</v>
          </cell>
          <cell r="B3287" t="str">
            <v>TE DE ACO GALVANIZADO 4" - FORNECIMENTO E INSTALACAO</v>
          </cell>
          <cell r="C3287" t="str">
            <v>UN</v>
          </cell>
          <cell r="D3287">
            <v>213.47</v>
          </cell>
        </row>
        <row r="3288">
          <cell r="A3288">
            <v>72720</v>
          </cell>
          <cell r="B3288" t="str">
            <v>TE DE ACO GALVANIZADO 5" - FORNECIMENTO E INSTALACAO</v>
          </cell>
          <cell r="C3288" t="str">
            <v>UN</v>
          </cell>
          <cell r="D3288">
            <v>293.41000000000003</v>
          </cell>
        </row>
        <row r="3289">
          <cell r="A3289">
            <v>72721</v>
          </cell>
          <cell r="B3289" t="str">
            <v>TE DE ACO GALVANIZADO 6" - FORNECIMENTO E INSTALACAO</v>
          </cell>
          <cell r="C3289" t="str">
            <v>UN</v>
          </cell>
          <cell r="D3289">
            <v>632.96</v>
          </cell>
        </row>
        <row r="3290">
          <cell r="A3290">
            <v>89358</v>
          </cell>
          <cell r="B3290" t="str">
            <v>JOELHO 90 GRAUS, PVC, SOLDÁVEL, DN 20MM, INSTALADO EM RAMAL OU SUB-RAMAL DE ÁGUA - FORNECIMENTO E INSTALAÇÃO. AF_12/2014</v>
          </cell>
          <cell r="C3290" t="str">
            <v>UN</v>
          </cell>
          <cell r="D3290">
            <v>5.93</v>
          </cell>
        </row>
        <row r="3291">
          <cell r="A3291">
            <v>89359</v>
          </cell>
          <cell r="B3291" t="str">
            <v>JOELHO 45 GRAUS, PVC, SOLDÁVEL, DN 20MM, INSTALADO EM RAMAL OU SUB-RAMAL DE ÁGUA - FORNECIMENTO E INSTALAÇÃO. AF_12/2014</v>
          </cell>
          <cell r="C3291" t="str">
            <v>UN</v>
          </cell>
          <cell r="D3291">
            <v>6.2</v>
          </cell>
        </row>
        <row r="3292">
          <cell r="A3292">
            <v>89360</v>
          </cell>
          <cell r="B3292" t="str">
            <v>CURVA 90 GRAUS, PVC, SOLDÁVEL, DN 20MM, INSTALADO EM RAMAL OU SUB-RAMAL DE ÁGUA - FORNECIMENTO E INSTALAÇÃO. AF_12/2014</v>
          </cell>
          <cell r="C3292" t="str">
            <v>UN</v>
          </cell>
          <cell r="D3292">
            <v>7.34</v>
          </cell>
        </row>
        <row r="3293">
          <cell r="A3293">
            <v>89361</v>
          </cell>
          <cell r="B3293" t="str">
            <v>CURVA 45 GRAUS, PVC, SOLDÁVEL, DN 20MM, INSTALADO EM RAMAL OU SUB-RAMAL DE ÁGUA - FORNECIMENTO E INSTALAÇÃO. AF_12/2014</v>
          </cell>
          <cell r="C3293" t="str">
            <v>UN</v>
          </cell>
          <cell r="D3293">
            <v>6.89</v>
          </cell>
        </row>
        <row r="3294">
          <cell r="A3294">
            <v>89362</v>
          </cell>
          <cell r="B3294" t="str">
            <v>JOELHO 90 GRAUS, PVC, SOLDÁVEL, DN 25MM, INSTALADO EM RAMAL OU SUB-RAMAL DE ÁGUA - FORNECIMENTO E INSTALAÇÃO. AF_12/2014</v>
          </cell>
          <cell r="C3294" t="str">
            <v>UN</v>
          </cell>
          <cell r="D3294">
            <v>7.06</v>
          </cell>
        </row>
        <row r="3295">
          <cell r="A3295">
            <v>89363</v>
          </cell>
          <cell r="B3295" t="str">
            <v>JOELHO 45 GRAUS, PVC, SOLDÁVEL, DN 25MM, INSTALADO EM RAMAL OU SUB-RAMAL DE ÁGUA - FORNECIMENTO E INSTALAÇÃO. AF_12/2014</v>
          </cell>
          <cell r="C3295" t="str">
            <v>UN</v>
          </cell>
          <cell r="D3295">
            <v>7.64</v>
          </cell>
        </row>
        <row r="3296">
          <cell r="A3296">
            <v>89364</v>
          </cell>
          <cell r="B3296" t="str">
            <v>CURVA 90 GRAUS, PVC, SOLDÁVEL, DN 25MM, INSTALADO EM RAMAL OU SUB-RAMAL DE ÁGUA - FORNECIMENTO E INSTALAÇÃO. AF_12/2014</v>
          </cell>
          <cell r="C3296" t="str">
            <v>UN</v>
          </cell>
          <cell r="D3296">
            <v>8.84</v>
          </cell>
        </row>
        <row r="3297">
          <cell r="A3297">
            <v>89365</v>
          </cell>
          <cell r="B3297" t="str">
            <v>CURVA 45 GRAUS, PVC, SOLDÁVEL, DN 25MM, INSTALADO EM RAMAL OU SUB-RAMAL DE ÁGUA - FORNECIMENTO E INSTALAÇÃO. AF_12/2014</v>
          </cell>
          <cell r="C3297" t="str">
            <v>UN</v>
          </cell>
          <cell r="D3297">
            <v>8.31</v>
          </cell>
        </row>
        <row r="3298">
          <cell r="A3298">
            <v>89366</v>
          </cell>
          <cell r="B3298" t="str">
            <v>JOELHO 90 GRAUS COM BUCHA DE LATÃO, PVC, SOLDÁVEL, DN 25MM, X 3/4 INSTALADO EM RAMAL OU SUB-RAMAL DE ÁGUA - FORNECIMENTO E INSTALAÇÃO. AF_12/2014</v>
          </cell>
          <cell r="C3298" t="str">
            <v>UN</v>
          </cell>
          <cell r="D3298">
            <v>12.01</v>
          </cell>
        </row>
        <row r="3299">
          <cell r="A3299">
            <v>89367</v>
          </cell>
          <cell r="B3299" t="str">
            <v>JOELHO 90 GRAUS, PVC, SOLDÁVEL, DN 32MM, INSTALADO EM RAMAL OU SUB-RAMAL DE ÁGUA - FORNECIMENTO E INSTALAÇÃO. AF_12/2014</v>
          </cell>
          <cell r="C3299" t="str">
            <v>UN</v>
          </cell>
          <cell r="D3299">
            <v>9.6</v>
          </cell>
        </row>
        <row r="3300">
          <cell r="A3300">
            <v>89368</v>
          </cell>
          <cell r="B3300" t="str">
            <v>JOELHO 45 GRAUS, PVC, SOLDÁVEL, DN 32MM, INSTALADO EM RAMAL OU SUB-RAMAL DE ÁGUA - FORNECIMENTO E INSTALAÇÃO. AF_12/2014</v>
          </cell>
          <cell r="C3300" t="str">
            <v>UN</v>
          </cell>
          <cell r="D3300">
            <v>11.23</v>
          </cell>
        </row>
        <row r="3301">
          <cell r="A3301">
            <v>89369</v>
          </cell>
          <cell r="B3301" t="str">
            <v>CURVA 90 GRAUS, PVC, SOLDÁVEL, DN 32MM, INSTALADO EM RAMAL OU SUB-RAMAL DE ÁGUA - FORNECIMENTO E INSTALAÇÃO. AF_12/2014</v>
          </cell>
          <cell r="C3301" t="str">
            <v>UN</v>
          </cell>
          <cell r="D3301">
            <v>13.24</v>
          </cell>
        </row>
        <row r="3302">
          <cell r="A3302">
            <v>89370</v>
          </cell>
          <cell r="B3302" t="str">
            <v>CURVA 45 GRAUS, PVC, SOLDÁVEL, DN 32MM, INSTALADO EM RAMAL OU SUB-RAMAL DE ÁGUA - FORNECIMENTO E INSTALAÇÃO. AF_12/2014</v>
          </cell>
          <cell r="C3302" t="str">
            <v>UN</v>
          </cell>
          <cell r="D3302">
            <v>10.88</v>
          </cell>
        </row>
        <row r="3303">
          <cell r="A3303">
            <v>89371</v>
          </cell>
          <cell r="B3303" t="str">
            <v>LUVA, PVC, SOLDÁVEL, DN 20MM, INSTALADO EM RAMAL OU SUB-RAMAL DE ÁGUA - FORNECIMENTO E INSTALAÇÃO. AF_12/2014</v>
          </cell>
          <cell r="C3303" t="str">
            <v>UN</v>
          </cell>
          <cell r="D3303">
            <v>4.51</v>
          </cell>
        </row>
        <row r="3304">
          <cell r="A3304">
            <v>89372</v>
          </cell>
          <cell r="B3304" t="str">
            <v>LUVA DE CORRER, PVC, SOLDÁVEL, DN 20MM, INSTALADO EM RAMAL OU SUB-RAMAL DE ÁGUA - FORNECIMENTO E INSTALAÇÃO. AF_12/2014</v>
          </cell>
          <cell r="C3304" t="str">
            <v>UN</v>
          </cell>
          <cell r="D3304">
            <v>9.8800000000000008</v>
          </cell>
        </row>
        <row r="3305">
          <cell r="A3305">
            <v>89373</v>
          </cell>
          <cell r="B3305" t="str">
            <v>LUVA DE REDUÇÃO, PVC, SOLDÁVEL, DN 25MM X 20MM, INSTALADO EM RAMAL OU SUB-RAMAL DE ÁGUA - FORNECIMENTO E INSTALAÇÃO. AF_12/2014</v>
          </cell>
          <cell r="C3305" t="str">
            <v>UN</v>
          </cell>
          <cell r="D3305">
            <v>4.99</v>
          </cell>
        </row>
        <row r="3306">
          <cell r="A3306">
            <v>89374</v>
          </cell>
          <cell r="B3306" t="str">
            <v>LUVA COM BUCHA DE LATÃO, PVC, SOLDÁVEL, DN 20MM X 1/2, INSTALADO EM RAMAL OU SUB-RAMAL DE ÁGUA - FORNECIMENTO E INSTALAÇÃO. AF_12/2014</v>
          </cell>
          <cell r="C3306" t="str">
            <v>UN</v>
          </cell>
          <cell r="D3306">
            <v>7.91</v>
          </cell>
        </row>
        <row r="3307">
          <cell r="A3307">
            <v>89375</v>
          </cell>
          <cell r="B3307" t="str">
            <v>UNIÃO, PVC, SOLDÁVEL, DN 20MM, INSTALADO EM RAMAL OU SUB-RAMAL DE ÁGUA - FORNECIMENTO E INSTALAÇÃO. AF_12/2014</v>
          </cell>
          <cell r="C3307" t="str">
            <v>UN</v>
          </cell>
          <cell r="D3307">
            <v>9.66</v>
          </cell>
        </row>
        <row r="3308">
          <cell r="A3308">
            <v>89376</v>
          </cell>
          <cell r="B3308" t="str">
            <v>ADAPTADOR CURTO COM BOLSA E ROSCA PARA REGISTRO, PVC, SOLDÁVEL, DN 20MM X 1/2, INSTALADO EM RAMAL OU SUB-RAMAL DE ÁGUA - FORNECIMENTO E INSTALAÇÃO. AF_12/2014</v>
          </cell>
          <cell r="C3308" t="str">
            <v>UN</v>
          </cell>
          <cell r="D3308">
            <v>4.5599999999999996</v>
          </cell>
        </row>
        <row r="3309">
          <cell r="A3309">
            <v>89377</v>
          </cell>
          <cell r="B3309" t="str">
            <v>CURVA DE TRANSPOSIÇÃO, PVC, SOLDÁVEL, DN 20MM, INSTALADO EM RAMAL OU SUB-RAMAL DE ÁGUA - FORNECIMENTO E INSTALAÇÃO. AF_12/2014</v>
          </cell>
          <cell r="C3309" t="str">
            <v>UN</v>
          </cell>
          <cell r="D3309">
            <v>7.16</v>
          </cell>
        </row>
        <row r="3310">
          <cell r="A3310">
            <v>89378</v>
          </cell>
          <cell r="B3310" t="str">
            <v>LUVA, PVC, SOLDÁVEL, DN 25MM, INSTALADO EM RAMAL OU SUB-RAMAL DE ÁGUA - FORNECIMENTO E INSTALAÇÃO. AF_12/2014</v>
          </cell>
          <cell r="C3310" t="str">
            <v>UN</v>
          </cell>
          <cell r="D3310">
            <v>5.34</v>
          </cell>
        </row>
        <row r="3311">
          <cell r="A3311">
            <v>89379</v>
          </cell>
          <cell r="B3311" t="str">
            <v>LUVA DE CORRER, PVC, SOLDÁVEL, DN 25MM, INSTALADO EM RAMAL OU SUB-RAMAL DE ÁGUA - FORNECIMENTO E INSTALAÇÃO. AF_12/2014</v>
          </cell>
          <cell r="C3311" t="str">
            <v>UN</v>
          </cell>
          <cell r="D3311">
            <v>12.5</v>
          </cell>
        </row>
        <row r="3312">
          <cell r="A3312">
            <v>89380</v>
          </cell>
          <cell r="B3312" t="str">
            <v>LUVA DE REDUÇÃO, PVC, SOLDÁVEL, DN 32MM X 25MM, INSTALADO EM RAMAL OU SUB-RAMAL DE ÁGUA - FORNECIMENTO E INSTALAÇÃO. AF_12/2014</v>
          </cell>
          <cell r="C3312" t="str">
            <v>UN</v>
          </cell>
          <cell r="D3312">
            <v>7.54</v>
          </cell>
        </row>
        <row r="3313">
          <cell r="A3313">
            <v>89381</v>
          </cell>
          <cell r="B3313" t="str">
            <v>LUVA COM BUCHA DE LATÃO, PVC, SOLDÁVEL, DN 25MM X 3/4, INSTALADO EM RAMAL OU SUB-RAMAL DE ÁGUA - FORNECIMENTO E INSTALAÇÃO. AF_12/2014</v>
          </cell>
          <cell r="C3313" t="str">
            <v>UN</v>
          </cell>
          <cell r="D3313">
            <v>9.8699999999999992</v>
          </cell>
        </row>
        <row r="3314">
          <cell r="A3314">
            <v>89382</v>
          </cell>
          <cell r="B3314" t="str">
            <v>UNIÃO, PVC, SOLDÁVEL, DN 25MM, INSTALADO EM RAMAL OU SUB-RAMAL DE ÁGUA - FORNECIMENTO E INSTALAÇÃO. AF_12/2014</v>
          </cell>
          <cell r="C3314" t="str">
            <v>UN</v>
          </cell>
          <cell r="D3314">
            <v>11.51</v>
          </cell>
        </row>
        <row r="3315">
          <cell r="A3315">
            <v>89383</v>
          </cell>
          <cell r="B3315" t="str">
            <v>ADAPTADOR CURTO COM BOLSA E ROSCA PARA REGISTRO, PVC, SOLDÁVEL, DN 25MM X 3/4, INSTALADO EM RAMAL OU SUB-RAMAL DE ÁGUA - FORNECIMENTO E INSTALAÇÃO. AF_12/2014</v>
          </cell>
          <cell r="C3315" t="str">
            <v>UN</v>
          </cell>
          <cell r="D3315">
            <v>5.42</v>
          </cell>
        </row>
        <row r="3316">
          <cell r="A3316">
            <v>89384</v>
          </cell>
          <cell r="B3316" t="str">
            <v>CURVA DE TRANSPOSIÇÃO, PVC, SOLDÁVEL, DN 25MM, INSTALADO EM RAMAL OU SUB-RAMAL DE ÁGUA   FORNECIMENTO E INSTALAÇÃO. AF_12/2014</v>
          </cell>
          <cell r="C3316" t="str">
            <v>UN</v>
          </cell>
          <cell r="D3316">
            <v>9.99</v>
          </cell>
        </row>
        <row r="3317">
          <cell r="A3317">
            <v>89385</v>
          </cell>
          <cell r="B3317" t="str">
            <v>LUVA SOLDÁVEL E COM ROSCA, PVC, SOLDÁVEL, DN 25MM X 3/4, INSTALADO EM RAMAL OU SUB-RAMAL DE ÁGUA - FORNECIMENTO E INSTALAÇÃO. AF_12/2014</v>
          </cell>
          <cell r="C3317" t="str">
            <v>UN</v>
          </cell>
          <cell r="D3317">
            <v>5.98</v>
          </cell>
        </row>
        <row r="3318">
          <cell r="A3318">
            <v>89386</v>
          </cell>
          <cell r="B3318" t="str">
            <v>LUVA, PVC, SOLDÁVEL, DN 32MM, INSTALADO EM RAMAL OU SUB-RAMAL DE ÁGUA - FORNECIMENTO E INSTALAÇÃO. AF_12/2014</v>
          </cell>
          <cell r="C3318" t="str">
            <v>UN</v>
          </cell>
          <cell r="D3318">
            <v>7.28</v>
          </cell>
        </row>
        <row r="3319">
          <cell r="A3319">
            <v>89387</v>
          </cell>
          <cell r="B3319" t="str">
            <v>LUVA DE CORRER, PVC, SOLDÁVEL, DN 32MM, INSTALADO EM RAMAL OU SUB-RAMAL DE ÁGUA   FORNECIMENTO E INSTALAÇÃO. AF_12/2014</v>
          </cell>
          <cell r="C3319" t="str">
            <v>UN</v>
          </cell>
          <cell r="D3319">
            <v>24.36</v>
          </cell>
        </row>
        <row r="3320">
          <cell r="A3320">
            <v>89388</v>
          </cell>
          <cell r="B3320" t="str">
            <v>LUVA DE REDUÇÃO, PVC, SOLDÁVEL, DN 40MM X 32MM, INSTALADO EM RAMAL OU SUB-RAMAL DE ÁGUA - FORNECIMENTO E INSTALAÇÃO. AF_12/2014</v>
          </cell>
          <cell r="C3320" t="str">
            <v>UN</v>
          </cell>
          <cell r="D3320">
            <v>9.2100000000000009</v>
          </cell>
        </row>
        <row r="3321">
          <cell r="A3321">
            <v>89389</v>
          </cell>
          <cell r="B3321" t="str">
            <v>LUVA SOLDÁVEL E COM ROSCA, PVC, SOLDÁVEL, DN 32MM X 1, INSTALADO EM RAMAL OU SUB-RAMAL DE ÁGUA - FORNECIMENTO E INSTALAÇÃO. AF_12/2014</v>
          </cell>
          <cell r="C3321" t="str">
            <v>UN</v>
          </cell>
          <cell r="D3321">
            <v>9.8699999999999992</v>
          </cell>
        </row>
        <row r="3322">
          <cell r="A3322">
            <v>89390</v>
          </cell>
          <cell r="B3322" t="str">
            <v>UNIÃO, PVC, SOLDÁVEL, DN 32MM, INSTALADO EM RAMAL OU SUB-RAMAL DE ÁGUA - FORNECIMENTO E INSTALAÇÃO. AF_12/2014</v>
          </cell>
          <cell r="C3322" t="str">
            <v>UN</v>
          </cell>
          <cell r="D3322">
            <v>16.91</v>
          </cell>
        </row>
        <row r="3323">
          <cell r="A3323">
            <v>89391</v>
          </cell>
          <cell r="B3323" t="str">
            <v>ADAPTADOR CURTO COM BOLSA E ROSCA PARA REGISTRO, PVC, SOLDÁVEL, DN 32MM X 1, INSTALADO EM RAMAL OU SUB-RAMAL DE ÁGUA - FORNECIMENTO E INSTALAÇÃO. AF_12/2014</v>
          </cell>
          <cell r="C3323" t="str">
            <v>UN</v>
          </cell>
          <cell r="D3323">
            <v>7.2</v>
          </cell>
        </row>
        <row r="3324">
          <cell r="A3324">
            <v>89392</v>
          </cell>
          <cell r="B3324" t="str">
            <v>CURVA DE TRANSPOSIÇÃO, PVC, SOLDÁVEL, DN 32MM, INSTALADO EM RAMAL OU SUB-RAMAL DE ÁGUA   FORNECIMENTO E INSTALAÇÃO. AF_12/2014</v>
          </cell>
          <cell r="C3324" t="str">
            <v>UN</v>
          </cell>
          <cell r="D3324">
            <v>19.86</v>
          </cell>
        </row>
        <row r="3325">
          <cell r="A3325">
            <v>89393</v>
          </cell>
          <cell r="B3325" t="str">
            <v>TE, PVC, SOLDÁVEL, DN 20MM, INSTALADO EM RAMAL OU SUB-RAMAL DE ÁGUA - FORNECIMENTO E INSTALAÇÃO. AF_12/2014</v>
          </cell>
          <cell r="C3325" t="str">
            <v>UN</v>
          </cell>
          <cell r="D3325">
            <v>8.2799999999999994</v>
          </cell>
        </row>
        <row r="3326">
          <cell r="A3326">
            <v>89394</v>
          </cell>
          <cell r="B3326" t="str">
            <v>TÊ COM BUCHA DE LATÃO NA BOLSA CENTRAL, PVC, SOLDÁVEL, DN 20MM X 1/2, INSTALADO EM RAMAL OU SUB-RAMAL DE ÁGUA - FORNECIMENTO E INSTALAÇÃO. AF_12/2014</v>
          </cell>
          <cell r="C3326" t="str">
            <v>UN</v>
          </cell>
          <cell r="D3326">
            <v>14.98</v>
          </cell>
        </row>
        <row r="3327">
          <cell r="A3327">
            <v>89395</v>
          </cell>
          <cell r="B3327" t="str">
            <v>TE, PVC, SOLDÁVEL, DN 25MM, INSTALADO EM RAMAL OU SUB-RAMAL DE ÁGUA - FORNECIMENTO E INSTALAÇÃO. AF_12/2014</v>
          </cell>
          <cell r="C3327" t="str">
            <v>UN</v>
          </cell>
          <cell r="D3327">
            <v>9.8800000000000008</v>
          </cell>
        </row>
        <row r="3328">
          <cell r="A3328">
            <v>89396</v>
          </cell>
          <cell r="B3328" t="str">
            <v>TÊ COM BUCHA DE LATÃO NA BOLSA CENTRAL, PVC, SOLDÁVEL, DN 25MM X 1/2, INSTALADO EM RAMAL OU SUB-RAMAL DE ÁGUA - FORNECIMENTO E INSTALAÇÃO. AF_12/2014</v>
          </cell>
          <cell r="C3328" t="str">
            <v>UN</v>
          </cell>
          <cell r="D3328">
            <v>15.62</v>
          </cell>
        </row>
        <row r="3329">
          <cell r="A3329">
            <v>89397</v>
          </cell>
          <cell r="B3329" t="str">
            <v>TÊ DE REDUÇÃO, PVC, SOLDÁVEL, DN 25MM X 20MM, INSTALADO EM RAMAL OU SUB-RAMAL DE ÁGUA - FORNECIMENTO E INSTALAÇÃO. AF_12/2014</v>
          </cell>
          <cell r="C3329" t="str">
            <v>UN</v>
          </cell>
          <cell r="D3329">
            <v>11.41</v>
          </cell>
        </row>
        <row r="3330">
          <cell r="A3330">
            <v>89398</v>
          </cell>
          <cell r="B3330" t="str">
            <v>TE, PVC, SOLDÁVEL, DN 32MM, INSTALADO EM RAMAL OU SUB-RAMAL DE ÁGUA - FORNECIMENTO E INSTALAÇÃO. AF_12/2014</v>
          </cell>
          <cell r="C3330" t="str">
            <v>UN</v>
          </cell>
          <cell r="D3330">
            <v>14.06</v>
          </cell>
        </row>
        <row r="3331">
          <cell r="A3331">
            <v>89399</v>
          </cell>
          <cell r="B3331" t="str">
            <v>TÊ COM BUCHA DE LATÃO NA BOLSA CENTRAL, PVC, SOLDÁVEL, DN 32MM X 3/4, INSTALADO EM RAMAL OU SUB-RAMAL DE ÁGUA - FORNECIMENTO E INSTALAÇÃO. AF_12/2014</v>
          </cell>
          <cell r="C3331" t="str">
            <v>UN</v>
          </cell>
          <cell r="D3331">
            <v>23.79</v>
          </cell>
        </row>
        <row r="3332">
          <cell r="A3332">
            <v>89400</v>
          </cell>
          <cell r="B3332" t="str">
            <v>TÊ DE REDUÇÃO, PVC, SOLDÁVEL, DN 32MM X 25MM, INSTALADO EM RAMAL OU SUB-RAMAL DE ÁGUA - FORNECIMENTO E INSTALAÇÃO. AF_12/2014</v>
          </cell>
          <cell r="C3332" t="str">
            <v>UN</v>
          </cell>
          <cell r="D3332">
            <v>15.57</v>
          </cell>
        </row>
        <row r="3333">
          <cell r="A3333">
            <v>89404</v>
          </cell>
          <cell r="B3333" t="str">
            <v>JOELHO 90 GRAUS, PVC, SOLDÁVEL, DN 20MM, INSTALADO EM RAMAL DE DISTRIBUIÇÃO DE ÁGUA - FORNECIMENTO E INSTALAÇÃO. AF_12/2014</v>
          </cell>
          <cell r="C3333" t="str">
            <v>UN</v>
          </cell>
          <cell r="D3333">
            <v>4.07</v>
          </cell>
        </row>
        <row r="3334">
          <cell r="A3334">
            <v>89405</v>
          </cell>
          <cell r="B3334" t="str">
            <v>JOELHO 45 GRAUS, PVC, SOLDÁVEL, DN 20MM, INSTALADO EM RAMAL DE DISTRIBUIÇÃO DE ÁGUA - FORNECIMENTO E INSTALAÇÃO. AF_12/2014</v>
          </cell>
          <cell r="C3334" t="str">
            <v>UN</v>
          </cell>
          <cell r="D3334">
            <v>4.34</v>
          </cell>
        </row>
        <row r="3335">
          <cell r="A3335">
            <v>89406</v>
          </cell>
          <cell r="B3335" t="str">
            <v>CURVA 90 GRAUS, PVC, SOLDÁVEL, DN 20MM, INSTALADO EM RAMAL DE DISTRIBUIÇÃO DE ÁGUA - FORNECIMENTO E INSTALAÇÃO. AF_12/2014</v>
          </cell>
          <cell r="C3335" t="str">
            <v>UN</v>
          </cell>
          <cell r="D3335">
            <v>5.48</v>
          </cell>
        </row>
        <row r="3336">
          <cell r="A3336">
            <v>89407</v>
          </cell>
          <cell r="B3336" t="str">
            <v>CURVA 45 GRAUS, PVC, SOLDÁVEL, DN 20MM, INSTALADO EM RAMAL DE DISTRIBUIÇÃO DE ÁGUA - FORNECIMENTO E INSTALAÇÃO. AF_12/2014</v>
          </cell>
          <cell r="C3336" t="str">
            <v>UN</v>
          </cell>
          <cell r="D3336">
            <v>5.03</v>
          </cell>
        </row>
        <row r="3337">
          <cell r="A3337">
            <v>89408</v>
          </cell>
          <cell r="B3337" t="str">
            <v>JOELHO 90 GRAUS, PVC, SOLDÁVEL, DN 25MM, INSTALADO EM RAMAL DE DISTRIBUIÇÃO DE ÁGUA - FORNECIMENTO E INSTALAÇÃO. AF_12/2014</v>
          </cell>
          <cell r="C3337" t="str">
            <v>UN</v>
          </cell>
          <cell r="D3337">
            <v>4.91</v>
          </cell>
        </row>
        <row r="3338">
          <cell r="A3338">
            <v>89409</v>
          </cell>
          <cell r="B3338" t="str">
            <v>JOELHO 45 GRAUS, PVC, SOLDÁVEL, DN 25MM, INSTALADO EM RAMAL DE DISTRIBUIÇÃO DE ÁGUA - FORNECIMENTO E INSTALAÇÃO. AF_12/2014</v>
          </cell>
          <cell r="C3338" t="str">
            <v>UN</v>
          </cell>
          <cell r="D3338">
            <v>5.49</v>
          </cell>
        </row>
        <row r="3339">
          <cell r="A3339">
            <v>89410</v>
          </cell>
          <cell r="B3339" t="str">
            <v>CURVA 90 GRAUS, PVC, SOLDÁVEL, DN 25MM, INSTALADO EM RAMAL DE DISTRIBUIÇÃO DE ÁGUA - FORNECIMENTO E INSTALAÇÃO. AF_12/2014</v>
          </cell>
          <cell r="C3339" t="str">
            <v>UN</v>
          </cell>
          <cell r="D3339">
            <v>6.69</v>
          </cell>
        </row>
        <row r="3340">
          <cell r="A3340">
            <v>89411</v>
          </cell>
          <cell r="B3340" t="str">
            <v>CURVA 45 GRAUS, PVC, SOLDÁVEL, DN 25MM, INSTALADO EM RAMAL DE DISTRIBUIÇÃO DE ÁGUA - FORNECIMENTO E INSTALAÇÃO. AF_12/2014</v>
          </cell>
          <cell r="C3340" t="str">
            <v>UN</v>
          </cell>
          <cell r="D3340">
            <v>6.16</v>
          </cell>
        </row>
        <row r="3341">
          <cell r="A3341">
            <v>89412</v>
          </cell>
          <cell r="B3341" t="str">
            <v>JOELHO 90 GRAUS, PVC, SOLDÁVEL, DN 25MM, X 3/4 INSTALADO EM RAMAL DE DISTRIBUIÇÃO DE ÁGUA - FORNECIMENTO E INSTALAÇÃO. AF_12/2014</v>
          </cell>
          <cell r="C3341" t="str">
            <v>UN</v>
          </cell>
          <cell r="D3341">
            <v>6.89</v>
          </cell>
        </row>
        <row r="3342">
          <cell r="A3342">
            <v>89413</v>
          </cell>
          <cell r="B3342" t="str">
            <v>JOELHO 90 GRAUS, PVC, SOLDÁVEL, DN 32MM, INSTALADO EM RAMAL DE DISTRIBUIÇÃO DE ÁGUA - FORNECIMENTO E INSTALAÇÃO. AF_12/2014</v>
          </cell>
          <cell r="C3342" t="str">
            <v>UN</v>
          </cell>
          <cell r="D3342">
            <v>7.01</v>
          </cell>
        </row>
        <row r="3343">
          <cell r="A3343">
            <v>89414</v>
          </cell>
          <cell r="B3343" t="str">
            <v>JOELHO 45 GRAUS, PVC, SOLDÁVEL, DN 32MM, INSTALADO EM RAMAL DE DISTRIBUIÇÃO DE ÁGUA - FORNECIMENTO E INSTALAÇÃO. AF_12/2014</v>
          </cell>
          <cell r="C3343" t="str">
            <v>UN</v>
          </cell>
          <cell r="D3343">
            <v>8.64</v>
          </cell>
        </row>
        <row r="3344">
          <cell r="A3344">
            <v>89415</v>
          </cell>
          <cell r="B3344" t="str">
            <v>CURVA 90 GRAUS, PVC, SOLDÁVEL, DN 32MM, INSTALADO EM RAMAL DE DISTRIBUIÇÃO DE ÁGUA - FORNECIMENTO E INSTALAÇÃO. AF_12/2014</v>
          </cell>
          <cell r="C3344" t="str">
            <v>UN</v>
          </cell>
          <cell r="D3344">
            <v>10.65</v>
          </cell>
        </row>
        <row r="3345">
          <cell r="A3345">
            <v>89416</v>
          </cell>
          <cell r="B3345" t="str">
            <v>CURVA 45 GRAUS, PVC, SOLDÁVEL, DN 32MM, INSTALADO EM RAMAL DE DISTRIBUIÇÃO DE ÁGUA - FORNECIMENTO E INSTALAÇÃO. AF_12/2014</v>
          </cell>
          <cell r="C3345" t="str">
            <v>UN</v>
          </cell>
          <cell r="D3345">
            <v>8.2899999999999991</v>
          </cell>
        </row>
        <row r="3346">
          <cell r="A3346">
            <v>89417</v>
          </cell>
          <cell r="B3346" t="str">
            <v>LUVA, PVC, SOLDÁVEL, DN 20MM, INSTALADO EM RAMAL DE DISTRIBUIÇÃO DE ÁGUA - FORNECIMENTO E INSTALAÇÃO. AF_12/2014</v>
          </cell>
          <cell r="C3346" t="str">
            <v>UN</v>
          </cell>
          <cell r="D3346">
            <v>3.27</v>
          </cell>
        </row>
        <row r="3347">
          <cell r="A3347">
            <v>89418</v>
          </cell>
          <cell r="B3347" t="str">
            <v>LUVA DE CORRER, PVC, SOLDÁVEL, DN 20MM, INSTALADO EM RAMAL DE DISTRIBUIÇÃO DE ÁGUA - FORNECIMENTO E INSTALAÇÃO. AF_12/2014</v>
          </cell>
          <cell r="C3347" t="str">
            <v>UN</v>
          </cell>
          <cell r="D3347">
            <v>8.64</v>
          </cell>
        </row>
        <row r="3348">
          <cell r="A3348">
            <v>89419</v>
          </cell>
          <cell r="B3348" t="str">
            <v>LUVA DE REDUÇÃO, PVC, SOLDÁVEL, DN 25MM X 20MM, INSTALADO EM RAMAL DE DISTRIBUIÇÃO DE ÁGUA - FORNECIMENTO E INSTALAÇÃO. AF_12/2014</v>
          </cell>
          <cell r="C3348" t="str">
            <v>UN</v>
          </cell>
          <cell r="D3348">
            <v>3.75</v>
          </cell>
        </row>
        <row r="3349">
          <cell r="A3349">
            <v>89420</v>
          </cell>
          <cell r="B3349" t="str">
            <v>LUVA COM BUCHA DE LATÃO, PVC, SOLDÁVEL, DN 20MM X 1/2, INSTALADO EM RAMAL DE DISTRIBUIÇÃO DE ÁGUA - FORNECIMENTO E INSTALAÇÃO. AF_12/2014</v>
          </cell>
          <cell r="C3349" t="str">
            <v>UN</v>
          </cell>
          <cell r="D3349">
            <v>6.67</v>
          </cell>
        </row>
        <row r="3350">
          <cell r="A3350">
            <v>89421</v>
          </cell>
          <cell r="B3350" t="str">
            <v>UNIÃO, PVC, SOLDÁVEL, DN 20MM, INSTALADO EM RAMAL DE DISTRIBUIÇÃO DE ÁGUA - FORNECIMENTO E INSTALAÇÃO. AF_12/2014</v>
          </cell>
          <cell r="C3350" t="str">
            <v>UN</v>
          </cell>
          <cell r="D3350">
            <v>8.42</v>
          </cell>
        </row>
        <row r="3351">
          <cell r="A3351">
            <v>89422</v>
          </cell>
          <cell r="B3351" t="str">
            <v>ADAPTADOR CURTO COM BOLSA E ROSCA PARA REGISTRO, PVC, SOLDÁVEL, DN 20MM X 1/2, INSTALADO EM RAMAL DE DISTRIBUIÇÃO DE ÁGUA - FORNECIMENTO E INSTALAÇÃO. AF_12/2014</v>
          </cell>
          <cell r="C3351" t="str">
            <v>UN</v>
          </cell>
          <cell r="D3351">
            <v>3.32</v>
          </cell>
        </row>
        <row r="3352">
          <cell r="A3352">
            <v>89423</v>
          </cell>
          <cell r="B3352" t="str">
            <v>CURVA DE TRANSPOSIÇÃO, PVC, SOLDÁVEL, DN 20MM, INSTALADO EM RAMAL DE DISTRIBUIÇÃO DE ÁGUA   FORNECIMENTO E INSTALAÇÃO. AF_12/2014</v>
          </cell>
          <cell r="C3352" t="str">
            <v>UN</v>
          </cell>
          <cell r="D3352">
            <v>6.38</v>
          </cell>
        </row>
        <row r="3353">
          <cell r="A3353">
            <v>89424</v>
          </cell>
          <cell r="B3353" t="str">
            <v>LUVA, PVC, SOLDÁVEL, DN 25MM, INSTALADO EM RAMAL DE DISTRIBUIÇÃO DE ÁGUA - FORNECIMENTO E INSTALAÇÃO. AF_12/2014</v>
          </cell>
          <cell r="C3353" t="str">
            <v>UN</v>
          </cell>
          <cell r="D3353">
            <v>3.89</v>
          </cell>
        </row>
        <row r="3354">
          <cell r="A3354">
            <v>89425</v>
          </cell>
          <cell r="B3354" t="str">
            <v>LUVA DE CORRER, PVC, SOLDÁVEL, DN 25MM, INSTALADO EM RAMAL DE DISTRIBUIÇÃO DE ÁGUA - FORNECIMENTO E INSTALAÇÃO. AF_12/2014</v>
          </cell>
          <cell r="C3354" t="str">
            <v>UN</v>
          </cell>
          <cell r="D3354">
            <v>11.05</v>
          </cell>
        </row>
        <row r="3355">
          <cell r="A3355">
            <v>89426</v>
          </cell>
          <cell r="B3355" t="str">
            <v>LUVA DE REDUÇÃO, PVC, SOLDÁVEL, DN 32MM X 25MM, INSTALADO EM RAMAL DE DISTRIBUIÇÃO DE ÁGUA - FORNECIMENTO E INSTALAÇÃO. AF_12/2014</v>
          </cell>
          <cell r="C3355" t="str">
            <v>UN</v>
          </cell>
          <cell r="D3355">
            <v>6.09</v>
          </cell>
        </row>
        <row r="3356">
          <cell r="A3356">
            <v>89427</v>
          </cell>
          <cell r="B3356" t="str">
            <v>LUVA COM BUCHA DE LATÃO, PVC, SOLDÁVEL, DN 25MM X 3/4, INSTALADO EM RAMAL DE DISTRIBUIÇÃO DE ÁGUA - FORNECIMENTO E INSTALAÇÃO. AF_12/2014</v>
          </cell>
          <cell r="C3356" t="str">
            <v>UN</v>
          </cell>
          <cell r="D3356">
            <v>8.42</v>
          </cell>
        </row>
        <row r="3357">
          <cell r="A3357">
            <v>89428</v>
          </cell>
          <cell r="B3357" t="str">
            <v>UNIÃO, PVC, SOLDÁVEL, DN 25MM, INSTALADO EM RAMAL DE DISTRIBUIÇÃO DE ÁGUA - FORNECIMENTO E INSTALAÇÃO. AF_12/2014</v>
          </cell>
          <cell r="C3357" t="str">
            <v>UN</v>
          </cell>
          <cell r="D3357">
            <v>10.06</v>
          </cell>
        </row>
        <row r="3358">
          <cell r="A3358">
            <v>89429</v>
          </cell>
          <cell r="B3358" t="str">
            <v>ADAPTADOR CURTO COM BOLSA E ROSCA PARA REGISTRO, PVC, SOLDÁVEL, DN 25MM X 3/4, INSTALADO EM RAMAL DE DISTRIBUIÇÃO DE ÁGUA - FORNECIMENTO E INSTALAÇÃO. AF_12/2014</v>
          </cell>
          <cell r="C3358" t="str">
            <v>UN</v>
          </cell>
          <cell r="D3358">
            <v>3.97</v>
          </cell>
        </row>
        <row r="3359">
          <cell r="A3359">
            <v>89430</v>
          </cell>
          <cell r="B3359" t="str">
            <v>CURVA DE TRANSPOSIÇÃO, PVC, SOLDÁVEL, DN 25MM, INSTALADO EM RAMAL DE DISTRIBUIÇÃO DE ÁGUA   FORNECIMENTO E INSTALAÇÃO. AF_12/2014</v>
          </cell>
          <cell r="C3359" t="str">
            <v>UN</v>
          </cell>
          <cell r="D3359">
            <v>8.5399999999999991</v>
          </cell>
        </row>
        <row r="3360">
          <cell r="A3360">
            <v>89431</v>
          </cell>
          <cell r="B3360" t="str">
            <v>LUVA, PVC, SOLDÁVEL, DN 32MM, INSTALADO EM RAMAL DE DISTRIBUIÇÃO DE ÁGUA - FORNECIMENTO E INSTALAÇÃO. AF_12/2014</v>
          </cell>
          <cell r="C3360" t="str">
            <v>UN</v>
          </cell>
          <cell r="D3360">
            <v>5.55</v>
          </cell>
        </row>
        <row r="3361">
          <cell r="A3361">
            <v>89432</v>
          </cell>
          <cell r="B3361" t="str">
            <v>LUVA DE CORRER, PVC, SOLDÁVEL, DN 32MM, INSTALADO EM RAMAL DE DISTRIBUIÇÃO DE ÁGUA   FORNECIMENTO E INSTALAÇÃO. AF_12/2014</v>
          </cell>
          <cell r="C3361" t="str">
            <v>UN</v>
          </cell>
          <cell r="D3361">
            <v>22.63</v>
          </cell>
        </row>
        <row r="3362">
          <cell r="A3362">
            <v>89433</v>
          </cell>
          <cell r="B3362" t="str">
            <v>LUVA DE REDUÇÃO, PVC, SOLDÁVEL, DN 40MM X 32MM, INSTALADO EM RAMAL DE DISTRIBUIÇÃO DE ÁGUA - FORNECIMENTO E INSTALAÇÃO. AF_12/2014</v>
          </cell>
          <cell r="C3362" t="str">
            <v>UN</v>
          </cell>
          <cell r="D3362">
            <v>7.48</v>
          </cell>
        </row>
        <row r="3363">
          <cell r="A3363">
            <v>89434</v>
          </cell>
          <cell r="B3363" t="str">
            <v>LUVA SOLDÁVEL E COM ROSCA, PVC, SOLDÁVEL, DN 32MM X 1, INSTALADO EM RAMAL DE DISTRIBUIÇÃO DE ÁGUA - FORNECIMENTO E INSTALAÇÃO. AF_12/2014</v>
          </cell>
          <cell r="C3363" t="str">
            <v>UN</v>
          </cell>
          <cell r="D3363">
            <v>8.14</v>
          </cell>
        </row>
        <row r="3364">
          <cell r="A3364">
            <v>89435</v>
          </cell>
          <cell r="B3364" t="str">
            <v>UNIÃO, PVC, SOLDÁVEL, DN 32MM, INSTALADO EM RAMAL DE DISTRIBUIÇÃO DE ÁGUA - FORNECIMENTO E INSTALAÇÃO. AF_12/2014</v>
          </cell>
          <cell r="C3364" t="str">
            <v>UN</v>
          </cell>
          <cell r="D3364">
            <v>15.18</v>
          </cell>
        </row>
        <row r="3365">
          <cell r="A3365">
            <v>89436</v>
          </cell>
          <cell r="B3365" t="str">
            <v>ADAPTADOR CURTO COM BOLSA E ROSCA PARA REGISTRO, PVC, SOLDÁVEL, DN 32MM X 1, INSTALADO EM RAMAL DE DISTRIBUIÇÃO DE ÁGUA - FORNECIMENTO E INSTALAÇÃO. AF_12/2014</v>
          </cell>
          <cell r="C3365" t="str">
            <v>UN</v>
          </cell>
          <cell r="D3365">
            <v>5.47</v>
          </cell>
        </row>
        <row r="3366">
          <cell r="A3366">
            <v>89437</v>
          </cell>
          <cell r="B3366" t="str">
            <v>CURVA DE TRANSPOSIÇÃO, PVC, SOLDÁVEL, DN 32MM, INSTALADO EM RAMAL DE DISTRIBUIÇÃO DE ÁGUA   FORNECIMENTO E INSTALAÇÃO. AF_12/2014</v>
          </cell>
          <cell r="C3366" t="str">
            <v>UN</v>
          </cell>
          <cell r="D3366">
            <v>18.13</v>
          </cell>
        </row>
        <row r="3367">
          <cell r="A3367">
            <v>89438</v>
          </cell>
          <cell r="B3367" t="str">
            <v>TE, PVC, SOLDÁVEL, DN 20MM, INSTALADO EM RAMAL DE DISTRIBUIÇÃO DE ÁGUA - FORNECIMENTO E INSTALAÇÃO. AF_12/2014</v>
          </cell>
          <cell r="C3367" t="str">
            <v>UN</v>
          </cell>
          <cell r="D3367">
            <v>5.79</v>
          </cell>
        </row>
        <row r="3368">
          <cell r="A3368">
            <v>89439</v>
          </cell>
          <cell r="B3368" t="str">
            <v>TÊ SOLDÁVEL E COM ROSCA NA BOLSA CENTRAL, PVC, SOLDÁVEL, DN 20MM X 1/2, INSTALADO EM RAMAL DE DISTRIBUIÇÃO DE ÁGUA - FORNECIMENTO E INSTALAÇÃO. AF_12/2014</v>
          </cell>
          <cell r="C3368" t="str">
            <v>UN</v>
          </cell>
          <cell r="D3368">
            <v>7.32</v>
          </cell>
        </row>
        <row r="3369">
          <cell r="A3369">
            <v>89440</v>
          </cell>
          <cell r="B3369" t="str">
            <v>TE, PVC, SOLDÁVEL, DN 25MM, INSTALADO EM RAMAL DE DISTRIBUIÇÃO DE ÁGUA - FORNECIMENTO E INSTALAÇÃO. AF_12/2014</v>
          </cell>
          <cell r="C3369" t="str">
            <v>UN</v>
          </cell>
          <cell r="D3369">
            <v>6.99</v>
          </cell>
        </row>
        <row r="3370">
          <cell r="A3370">
            <v>89441</v>
          </cell>
          <cell r="B3370" t="str">
            <v>TÊ COM BUCHA DE LATÃO NA BOLSA CENTRAL, PVC, SOLDÁVEL, DN 25MM X 1/2, INSTALADO EM RAMAL DE DISTRIBUIÇÃO DE ÁGUA - FORNECIMENTO E INSTALAÇÃO. AF_12/2014</v>
          </cell>
          <cell r="C3370" t="str">
            <v>UN</v>
          </cell>
          <cell r="D3370">
            <v>12.73</v>
          </cell>
        </row>
        <row r="3371">
          <cell r="A3371">
            <v>89442</v>
          </cell>
          <cell r="B3371" t="str">
            <v>TÊ DE REDUÇÃO, PVC, SOLDÁVEL, DN 25MM X 20MM, INSTALADO EM RAMAL DE DISTRIBUIÇÃO DE ÁGUA - FORNECIMENTO E INSTALAÇÃO. AF_12/2014</v>
          </cell>
          <cell r="C3371" t="str">
            <v>UN</v>
          </cell>
          <cell r="D3371">
            <v>8.52</v>
          </cell>
        </row>
        <row r="3372">
          <cell r="A3372">
            <v>89443</v>
          </cell>
          <cell r="B3372" t="str">
            <v>TE, PVC, SOLDÁVEL, DN 32MM, INSTALADO EM RAMAL DE DISTRIBUIÇÃO DE ÁGUA - FORNECIMENTO E INSTALAÇÃO. AF_12/2014</v>
          </cell>
          <cell r="C3372" t="str">
            <v>UN</v>
          </cell>
          <cell r="D3372">
            <v>10.63</v>
          </cell>
        </row>
        <row r="3373">
          <cell r="A3373">
            <v>89444</v>
          </cell>
          <cell r="B3373" t="str">
            <v>TÊ COM BUCHA DE LATÃO NA BOLSA CENTRAL, PVC, SOLDÁVEL, DN 32MM X 3/4, INSTALADO EM RAMAL DE DISTRIBUIÇÃO DE ÁGUA - FORNECIMENTO E INSTALAÇÃO. AF_12/2014</v>
          </cell>
          <cell r="C3373" t="str">
            <v>UN</v>
          </cell>
          <cell r="D3373">
            <v>20.36</v>
          </cell>
        </row>
        <row r="3374">
          <cell r="A3374">
            <v>89445</v>
          </cell>
          <cell r="B3374" t="str">
            <v>TÊ DE REDUÇÃO, PVC, SOLDÁVEL, DN 32MM X 25MM, INSTALADO EM RAMAL DE DISTRIBUIÇÃO DE ÁGUA - FORNECIMENTO E INSTALAÇÃO. AF_12/2014</v>
          </cell>
          <cell r="C3374" t="str">
            <v>UN</v>
          </cell>
          <cell r="D3374">
            <v>12.14</v>
          </cell>
        </row>
        <row r="3375">
          <cell r="A3375">
            <v>89481</v>
          </cell>
          <cell r="B3375" t="str">
            <v>JOELHO 90 GRAUS, PVC, SOLDÁVEL, DN 25MM, INSTALADO EM PRUMADA DE ÁGUA - FORNECIMENTO E INSTALAÇÃO. AF_12/2014</v>
          </cell>
          <cell r="C3375" t="str">
            <v>UN</v>
          </cell>
          <cell r="D3375">
            <v>3.82</v>
          </cell>
        </row>
        <row r="3376">
          <cell r="A3376">
            <v>89485</v>
          </cell>
          <cell r="B3376" t="str">
            <v>JOELHO 45 GRAUS, PVC, SOLDÁVEL, DN 25MM, INSTALADO EM PRUMADA DE ÁGUA - FORNECIMENTO E INSTALAÇÃO. AF_12/2014</v>
          </cell>
          <cell r="C3376" t="str">
            <v>UN</v>
          </cell>
          <cell r="D3376">
            <v>4.4000000000000004</v>
          </cell>
        </row>
        <row r="3377">
          <cell r="A3377">
            <v>89489</v>
          </cell>
          <cell r="B3377" t="str">
            <v>CURVA 90 GRAUS, PVC, SOLDÁVEL, DN 25MM, INSTALADO EM PRUMADA DE ÁGUA - FORNECIMENTO E INSTALAÇÃO. AF_12/2014</v>
          </cell>
          <cell r="C3377" t="str">
            <v>UN</v>
          </cell>
          <cell r="D3377">
            <v>5.6</v>
          </cell>
        </row>
        <row r="3378">
          <cell r="A3378">
            <v>89490</v>
          </cell>
          <cell r="B3378" t="str">
            <v>CURVA 45 GRAUS, PVC, SOLDÁVEL, DN 25MM, INSTALADO EM PRUMADA DE ÁGUA - FORNECIMENTO E INSTALAÇÃO. AF_12/2014</v>
          </cell>
          <cell r="C3378" t="str">
            <v>UN</v>
          </cell>
          <cell r="D3378">
            <v>5.07</v>
          </cell>
        </row>
        <row r="3379">
          <cell r="A3379">
            <v>89492</v>
          </cell>
          <cell r="B3379" t="str">
            <v>JOELHO 90 GRAUS, PVC, SOLDÁVEL, DN 32MM, INSTALADO EM PRUMADA DE ÁGUA - FORNECIMENTO E INSTALAÇÃO. AF_12/2014</v>
          </cell>
          <cell r="C3379" t="str">
            <v>UN</v>
          </cell>
          <cell r="D3379">
            <v>5.78</v>
          </cell>
        </row>
        <row r="3380">
          <cell r="A3380">
            <v>89493</v>
          </cell>
          <cell r="B3380" t="str">
            <v>JOELHO 45 GRAUS, PVC, SOLDÁVEL, DN 32MM, INSTALADO EM PRUMADA DE ÁGUA - FORNECIMENTO E INSTALAÇÃO. AF_12/2014</v>
          </cell>
          <cell r="C3380" t="str">
            <v>UN</v>
          </cell>
          <cell r="D3380">
            <v>7.41</v>
          </cell>
        </row>
        <row r="3381">
          <cell r="A3381">
            <v>89494</v>
          </cell>
          <cell r="B3381" t="str">
            <v>CURVA 90 GRAUS, PVC, SOLDÁVEL, DN 32MM, INSTALADO EM PRUMADA DE ÁGUA - FORNECIMENTO E INSTALAÇÃO. AF_12/2014</v>
          </cell>
          <cell r="C3381" t="str">
            <v>UN</v>
          </cell>
          <cell r="D3381">
            <v>9.42</v>
          </cell>
        </row>
        <row r="3382">
          <cell r="A3382">
            <v>89496</v>
          </cell>
          <cell r="B3382" t="str">
            <v>CURVA 45 GRAUS, PVC, SOLDÁVEL, DN 32MM, INSTALADO EM PRUMADA DE ÁGUA - FORNECIMENTO E INSTALAÇÃO. AF_12/2014</v>
          </cell>
          <cell r="C3382" t="str">
            <v>UN</v>
          </cell>
          <cell r="D3382">
            <v>7.06</v>
          </cell>
        </row>
        <row r="3383">
          <cell r="A3383">
            <v>89497</v>
          </cell>
          <cell r="B3383" t="str">
            <v>JOELHO 90 GRAUS, PVC, SOLDÁVEL, DN 40MM, INSTALADO EM PRUMADA DE ÁGUA - FORNECIMENTO E INSTALAÇÃO. AF_12/2014</v>
          </cell>
          <cell r="C3383" t="str">
            <v>UN</v>
          </cell>
          <cell r="D3383">
            <v>9.08</v>
          </cell>
        </row>
        <row r="3384">
          <cell r="A3384">
            <v>89498</v>
          </cell>
          <cell r="B3384" t="str">
            <v>JOELHO 45 GRAUS, PVC, SOLDÁVEL, DN 40MM, INSTALADO EM PRUMADA DE ÁGUA - FORNECIMENTO E INSTALAÇÃO. AF_12/2014</v>
          </cell>
          <cell r="C3384" t="str">
            <v>UN</v>
          </cell>
          <cell r="D3384">
            <v>9.82</v>
          </cell>
        </row>
        <row r="3385">
          <cell r="A3385">
            <v>89499</v>
          </cell>
          <cell r="B3385" t="str">
            <v>CURVA 90 GRAUS, PVC, SOLDÁVEL, DN 40MM, INSTALADO EM PRUMADA DE ÁGUA - FORNECIMENTO E INSTALAÇÃO. AF_12/2014</v>
          </cell>
          <cell r="C3385" t="str">
            <v>UN</v>
          </cell>
          <cell r="D3385">
            <v>14.56</v>
          </cell>
        </row>
        <row r="3386">
          <cell r="A3386">
            <v>89500</v>
          </cell>
          <cell r="B3386" t="str">
            <v>CURVA 45 GRAUS, PVC, SOLDÁVEL, DN 40MM, INSTALADO EM PRUMADA DE ÁGUA - FORNECIMENTO E INSTALAÇÃO. AF_12/2014</v>
          </cell>
          <cell r="C3386" t="str">
            <v>UN</v>
          </cell>
          <cell r="D3386">
            <v>9.9600000000000009</v>
          </cell>
        </row>
        <row r="3387">
          <cell r="A3387">
            <v>89501</v>
          </cell>
          <cell r="B3387" t="str">
            <v>JOELHO 90 GRAUS, PVC, SOLDÁVEL, DN 50MM, INSTALADO EM PRUMADA DE ÁGUA - FORNECIMENTO E INSTALAÇÃO. AF_12/2014</v>
          </cell>
          <cell r="C3387" t="str">
            <v>UN</v>
          </cell>
          <cell r="D3387">
            <v>11.15</v>
          </cell>
        </row>
        <row r="3388">
          <cell r="A3388">
            <v>89502</v>
          </cell>
          <cell r="B3388" t="str">
            <v>JOELHO 45 GRAUS, PVC, SOLDÁVEL, DN 50MM, INSTALADO EM PRUMADA DE ÁGUA - FORNECIMENTO E INSTALAÇÃO. AF_12/2014</v>
          </cell>
          <cell r="C3388" t="str">
            <v>UN</v>
          </cell>
          <cell r="D3388">
            <v>12.49</v>
          </cell>
        </row>
        <row r="3389">
          <cell r="A3389">
            <v>89503</v>
          </cell>
          <cell r="B3389" t="str">
            <v>CURVA 90 GRAUS, PVC, SOLDÁVEL, DN 50MM, INSTALADO EM PRUMADA DE ÁGUA - FORNECIMENTO E INSTALAÇÃO. AF_12/2014</v>
          </cell>
          <cell r="C3389" t="str">
            <v>UN</v>
          </cell>
          <cell r="D3389">
            <v>18.37</v>
          </cell>
        </row>
        <row r="3390">
          <cell r="A3390">
            <v>89504</v>
          </cell>
          <cell r="B3390" t="str">
            <v>CURVA 45 GRAUS, PVC, SOLDÁVEL, DN 50MM, INSTALADO EM PRUMADA DE ÁGUA - FORNECIMENTO E INSTALAÇÃO. AF_12/2014</v>
          </cell>
          <cell r="C3390" t="str">
            <v>UN</v>
          </cell>
          <cell r="D3390">
            <v>16.239999999999998</v>
          </cell>
        </row>
        <row r="3391">
          <cell r="A3391">
            <v>89505</v>
          </cell>
          <cell r="B3391" t="str">
            <v>JOELHO 90 GRAUS, PVC, SOLDÁVEL, DN 60MM, INSTALADO EM PRUMADA DE ÁGUA - FORNECIMENTO E INSTALAÇÃO. AF_12/2014</v>
          </cell>
          <cell r="C3391" t="str">
            <v>UN</v>
          </cell>
          <cell r="D3391">
            <v>27.15</v>
          </cell>
        </row>
        <row r="3392">
          <cell r="A3392">
            <v>89506</v>
          </cell>
          <cell r="B3392" t="str">
            <v>JOELHO 45 GRAUS, PVC, SOLDÁVEL, DN 60MM, INSTALADO EM PRUMADA DE ÁGUA - FORNECIMENTO E INSTALAÇÃO. AF_12/2014</v>
          </cell>
          <cell r="C3392" t="str">
            <v>UN</v>
          </cell>
          <cell r="D3392">
            <v>30.36</v>
          </cell>
        </row>
        <row r="3393">
          <cell r="A3393">
            <v>89507</v>
          </cell>
          <cell r="B3393" t="str">
            <v>CURVA 90 GRAUS, PVC, SOLDÁVEL, DN 60MM, INSTALADO EM PRUMADA DE ÁGUA - FORNECIMENTO E INSTALAÇÃO. AF_12/2014</v>
          </cell>
          <cell r="C3393" t="str">
            <v>UN</v>
          </cell>
          <cell r="D3393">
            <v>37.049999999999997</v>
          </cell>
        </row>
        <row r="3394">
          <cell r="A3394">
            <v>89510</v>
          </cell>
          <cell r="B3394" t="str">
            <v>CURVA 45 GRAUS, PVC, SOLDÁVEL, DN 60MM, INSTALADO EM PRUMADA DE ÁGUA - FORNECIMENTO E INSTALAÇÃO. AF_12/2014</v>
          </cell>
          <cell r="C3394" t="str">
            <v>UN</v>
          </cell>
          <cell r="D3394">
            <v>24.78</v>
          </cell>
        </row>
        <row r="3395">
          <cell r="A3395">
            <v>89513</v>
          </cell>
          <cell r="B3395" t="str">
            <v>JOELHO 90 GRAUS, PVC, SOLDÁVEL, DN 75MM, INSTALADO EM PRUMADA DE ÁGUA - FORNECIMENTO E INSTALAÇÃO. AF_12/2014</v>
          </cell>
          <cell r="C3395" t="str">
            <v>UN</v>
          </cell>
          <cell r="D3395">
            <v>82.03</v>
          </cell>
        </row>
        <row r="3396">
          <cell r="A3396">
            <v>89514</v>
          </cell>
          <cell r="B3396" t="str">
            <v>JOELHO 90 GRAUS, PVC, SERIE R, ÁGUA PLUVIAL, DN 40 MM, JUNTA SOLDÁVEL, FORNECIDO E INSTALADO EM RAMAL DE ENCAMINHAMENTO. AF_12/2014</v>
          </cell>
          <cell r="C3396" t="str">
            <v>UN</v>
          </cell>
          <cell r="D3396">
            <v>7.9</v>
          </cell>
        </row>
        <row r="3397">
          <cell r="A3397">
            <v>89515</v>
          </cell>
          <cell r="B3397" t="str">
            <v>JOELHO 45 GRAUS, PVC, SOLDÁVEL, DN 75MM, INSTALADO EM PRUMADA DE ÁGUA - FORNECIMENTO E INSTALAÇÃO. AF_12/2014</v>
          </cell>
          <cell r="C3397" t="str">
            <v>UN</v>
          </cell>
          <cell r="D3397">
            <v>62.47</v>
          </cell>
        </row>
        <row r="3398">
          <cell r="A3398">
            <v>89516</v>
          </cell>
          <cell r="B3398" t="str">
            <v>JOELHO 45 GRAUS, PVC, SERIE R, ÁGUA PLUVIAL, DN 40 MM, JUNTA SOLDÁVEL, FORNECIDO E INSTALADO EM RAMAL DE ENCAMINHAMENTO. AF_12/2014</v>
          </cell>
          <cell r="C3398" t="str">
            <v>UN</v>
          </cell>
          <cell r="D3398">
            <v>6.96</v>
          </cell>
        </row>
        <row r="3399">
          <cell r="A3399">
            <v>89517</v>
          </cell>
          <cell r="B3399" t="str">
            <v>CURVA 90 GRAUS, PVC, SOLDÁVEL, DN 75MM, INSTALADO EM PRUMADA DE ÁGUA - FORNECIMENTO E INSTALAÇÃO. AF_12/2014</v>
          </cell>
          <cell r="C3399" t="str">
            <v>UN</v>
          </cell>
          <cell r="D3399">
            <v>52.96</v>
          </cell>
        </row>
        <row r="3400">
          <cell r="A3400">
            <v>89518</v>
          </cell>
          <cell r="B3400" t="str">
            <v>JOELHO 90 GRAUS, PVC, SERIE R, ÁGUA PLUVIAL, DN 50 MM, JUNTA ELÁSTICA, FORNECIDO E INSTALADO EM RAMAL DE ENCAMINHAMENTO. AF_12/2014</v>
          </cell>
          <cell r="C3400" t="str">
            <v>UN</v>
          </cell>
          <cell r="D3400">
            <v>10.87</v>
          </cell>
        </row>
        <row r="3401">
          <cell r="A3401">
            <v>89519</v>
          </cell>
          <cell r="B3401" t="str">
            <v>CURVA 45 GRAUS, PVC, SOLDÁVEL, DN 75MM, INSTALADO EM PRUMADA DE ÁGUA - FORNECIMENTO E INSTALAÇÃO. AF_12/2014</v>
          </cell>
          <cell r="C3401" t="str">
            <v>UN</v>
          </cell>
          <cell r="D3401">
            <v>36.549999999999997</v>
          </cell>
        </row>
        <row r="3402">
          <cell r="A3402">
            <v>89520</v>
          </cell>
          <cell r="B3402" t="str">
            <v>JOELHO 45 GRAUS, PVC, SERIE R, ÁGUA PLUVIAL, DN 50 MM, JUNTA ELÁSTICA, FORNECIDO E INSTALADO EM RAMAL DE ENCAMINHAMENTO. AF_12/2014</v>
          </cell>
          <cell r="C3402" t="str">
            <v>UN</v>
          </cell>
          <cell r="D3402">
            <v>9.6300000000000008</v>
          </cell>
        </row>
        <row r="3403">
          <cell r="A3403">
            <v>89521</v>
          </cell>
          <cell r="B3403" t="str">
            <v>JOELHO 90 GRAUS, PVC, SOLDÁVEL, DN 85MM, INSTALADO EM PRUMADA DE ÁGUA - FORNECIMENTO E INSTALAÇÃO. AF_12/2014</v>
          </cell>
          <cell r="C3403" t="str">
            <v>UN</v>
          </cell>
          <cell r="D3403">
            <v>96.62</v>
          </cell>
        </row>
        <row r="3404">
          <cell r="A3404">
            <v>89522</v>
          </cell>
          <cell r="B3404" t="str">
            <v>JOELHO 90 GRAUS, PVC, SERIE R, ÁGUA PLUVIAL, DN 75 MM, JUNTA ELÁSTICA, FORNECIDO E INSTALADO EM RAMAL DE ENCAMINHAMENTO. AF_12/2014</v>
          </cell>
          <cell r="C3404" t="str">
            <v>UN</v>
          </cell>
          <cell r="D3404">
            <v>21.68</v>
          </cell>
        </row>
        <row r="3405">
          <cell r="A3405">
            <v>89523</v>
          </cell>
          <cell r="B3405" t="str">
            <v>JOELHO 45 GRAUS, PVC, SOLDÁVEL, DN 85MM, INSTALADO EM PRUMADA DE ÁGUA - FORNECIMENTO E INSTALAÇÃO. AF_12/2014</v>
          </cell>
          <cell r="C3405" t="str">
            <v>UN</v>
          </cell>
          <cell r="D3405">
            <v>73.599999999999994</v>
          </cell>
        </row>
        <row r="3406">
          <cell r="A3406">
            <v>89524</v>
          </cell>
          <cell r="B3406" t="str">
            <v>JOELHO 45 GRAUS, PVC, SERIE R, ÁGUA PLUVIAL, DN 75 MM, JUNTA ELÁSTICA, FORNECIDO E INSTALADO EM RAMAL DE ENCAMINHAMENTO. AF_12/2014</v>
          </cell>
          <cell r="C3406" t="str">
            <v>UN</v>
          </cell>
          <cell r="D3406">
            <v>19.309999999999999</v>
          </cell>
        </row>
        <row r="3407">
          <cell r="A3407">
            <v>89525</v>
          </cell>
          <cell r="B3407" t="str">
            <v>CURVA 90 GRAUS, PVC, SOLDÁVEL, DN 85MM, INSTALADO EM PRUMADA DE ÁGUA - FORNECIMENTO E INSTALAÇÃO. AF_12/2014</v>
          </cell>
          <cell r="C3407" t="str">
            <v>UN</v>
          </cell>
          <cell r="D3407">
            <v>72.430000000000007</v>
          </cell>
        </row>
        <row r="3408">
          <cell r="A3408">
            <v>89526</v>
          </cell>
          <cell r="B3408" t="str">
            <v>CURVA 87 GRAUS E 30 MINUTOS, PVC, SERIE R, ÁGUA PLUVIAL, DN 75 MM, JUNTA ELÁSTICA, FORNECIDO E INSTALADO EM RAMAL DE ENCAMINHAMENTO. AF_12/2014</v>
          </cell>
          <cell r="C3408" t="str">
            <v>UN</v>
          </cell>
          <cell r="D3408">
            <v>27.96</v>
          </cell>
        </row>
        <row r="3409">
          <cell r="A3409">
            <v>89527</v>
          </cell>
          <cell r="B3409" t="str">
            <v>CURVA 45 GRAUS, PVC, SOLDÁVEL, DN 85MM, INSTALADO EM PRUMADA DE ÁGUA - FORNECIMENTO E INSTALAÇÃO. AF_12/2014</v>
          </cell>
          <cell r="C3409" t="str">
            <v>UN</v>
          </cell>
          <cell r="D3409">
            <v>56.28</v>
          </cell>
        </row>
        <row r="3410">
          <cell r="A3410">
            <v>89528</v>
          </cell>
          <cell r="B3410" t="str">
            <v>LUVA, PVC, SOLDÁVEL, DN 25MM, INSTALADO EM PRUMADA DE ÁGUA - FORNECIMENTO E INSTALAÇÃO. AF_12/2014</v>
          </cell>
          <cell r="C3410" t="str">
            <v>UN</v>
          </cell>
          <cell r="D3410">
            <v>3.15</v>
          </cell>
        </row>
        <row r="3411">
          <cell r="A3411">
            <v>89529</v>
          </cell>
          <cell r="B3411" t="str">
            <v>JOELHO 90 GRAUS, PVC, SERIE R, ÁGUA PLUVIAL, DN 100 MM, JUNTA ELÁSTICA, FORNECIDO E INSTALADO EM RAMAL DE ENCAMINHAMENTO. AF_12/2014</v>
          </cell>
          <cell r="C3411" t="str">
            <v>UN</v>
          </cell>
          <cell r="D3411">
            <v>31.93</v>
          </cell>
        </row>
        <row r="3412">
          <cell r="A3412">
            <v>89530</v>
          </cell>
          <cell r="B3412" t="str">
            <v>LUVA DE CORRER, PVC, SOLDÁVEL, DN 25MM, INSTALADO EM PRUMADA DE ÁGUA - FORNECIMENTO E INSTALAÇÃO. AF_12/2014</v>
          </cell>
          <cell r="C3412" t="str">
            <v>UN</v>
          </cell>
          <cell r="D3412">
            <v>10.31</v>
          </cell>
        </row>
        <row r="3413">
          <cell r="A3413">
            <v>89531</v>
          </cell>
          <cell r="B3413" t="str">
            <v>JOELHO 45 GRAUS, PVC, SERIE R, ÁGUA PLUVIAL, DN 100 MM, JUNTA ELÁSTICA, FORNECIDO E INSTALADO EM RAMAL DE ENCAMINHAMENTO. AF_12/2014</v>
          </cell>
          <cell r="C3413" t="str">
            <v>UN</v>
          </cell>
          <cell r="D3413">
            <v>26.15</v>
          </cell>
        </row>
        <row r="3414">
          <cell r="A3414">
            <v>89532</v>
          </cell>
          <cell r="B3414" t="str">
            <v>LUVA DE REDUÇÃO, PVC, SOLDÁVEL, DN 32MM X 25MM, INSTALADO EM PRUMADA DE ÁGUA - FORNECIMENTO E INSTALAÇÃO. AF_12/2014</v>
          </cell>
          <cell r="C3414" t="str">
            <v>UN</v>
          </cell>
          <cell r="D3414">
            <v>5.35</v>
          </cell>
        </row>
        <row r="3415">
          <cell r="A3415">
            <v>89533</v>
          </cell>
          <cell r="B3415" t="str">
            <v>JOELHO 45 GRAUS PARA PÉ DE COLUNA, PVC, SERIE R, ÁGUA PLUVIAL, DN 100 MM, JUNTA ELÁSTICA, FORNECIDO E INSTALADO EM RAMAL DE ENCAMINHAMENTO. AF_12/2014</v>
          </cell>
          <cell r="C3415" t="str">
            <v>UN</v>
          </cell>
          <cell r="D3415">
            <v>26.15</v>
          </cell>
        </row>
        <row r="3416">
          <cell r="A3416">
            <v>89534</v>
          </cell>
          <cell r="B3416" t="str">
            <v>LUVA SOLDÁVEL E COM ROSCA, PVC, SOLDÁVEL, DN 25MM X 3/4, INSTALADO EM PRUMADA DE ÁGUA - FORNECIMENTO E INSTALAÇÃO. AF_12/2014</v>
          </cell>
          <cell r="C3416" t="str">
            <v>UN</v>
          </cell>
          <cell r="D3416">
            <v>3.79</v>
          </cell>
        </row>
        <row r="3417">
          <cell r="A3417">
            <v>89535</v>
          </cell>
          <cell r="B3417" t="str">
            <v>CURVA 87 GRAUS E 30 MINUTOS, PVC, SERIE R, ÁGUA PLUVIAL, DN 100 MM, JUNTA ELÁSTICA, FORNECIDO E INSTALADO EM RAMAL DE ENCAMINHAMENTO. AF_12/2014</v>
          </cell>
          <cell r="C3417" t="str">
            <v>UN</v>
          </cell>
          <cell r="D3417">
            <v>40.99</v>
          </cell>
        </row>
        <row r="3418">
          <cell r="A3418">
            <v>89536</v>
          </cell>
          <cell r="B3418" t="str">
            <v>UNIÃO, PVC, SOLDÁVEL, DN 25MM, INSTALADO EM PRUMADA DE ÁGUA - FORNECIMENTO E INSTALAÇÃO. AF_12/2014</v>
          </cell>
          <cell r="C3418" t="str">
            <v>UN</v>
          </cell>
          <cell r="D3418">
            <v>9.32</v>
          </cell>
        </row>
        <row r="3419">
          <cell r="A3419">
            <v>89538</v>
          </cell>
          <cell r="B3419" t="str">
            <v>ADAPTADOR CURTO COM BOLSA E ROSCA PARA REGISTRO, PVC, SOLDÁVEL, DN 25MM X 3/4, INSTALADO EM PRUMADA DE ÁGUA - FORNECIMENTO E INSTALAÇÃO. AF_12/2014</v>
          </cell>
          <cell r="C3419" t="str">
            <v>UN</v>
          </cell>
          <cell r="D3419">
            <v>3.23</v>
          </cell>
        </row>
        <row r="3420">
          <cell r="A3420">
            <v>89540</v>
          </cell>
          <cell r="B3420" t="str">
            <v>CURVA DE TRANSPOSIÇÃO, PVC, SOLDÁVEL, DN 25MM, INSTALADO EM PRUMADA DE ÁGUA  - FORNECIMENTO E INSTALAÇÃO. AF_12/2014</v>
          </cell>
          <cell r="C3420" t="str">
            <v>UN</v>
          </cell>
          <cell r="D3420">
            <v>7.8</v>
          </cell>
        </row>
        <row r="3421">
          <cell r="A3421">
            <v>89541</v>
          </cell>
          <cell r="B3421" t="str">
            <v>LUVA, PVC, SOLDÁVEL, DN 32MM, INSTALADO EM PRUMADA DE ÁGUA - FORNECIMENTO E INSTALAÇÃO. AF_12/2014</v>
          </cell>
          <cell r="C3421" t="str">
            <v>UN</v>
          </cell>
          <cell r="D3421">
            <v>4.7300000000000004</v>
          </cell>
        </row>
        <row r="3422">
          <cell r="A3422">
            <v>89542</v>
          </cell>
          <cell r="B3422" t="str">
            <v>LUVA DE CORRER, PVC, SOLDÁVEL, DN 32MM, INSTALADO EM PRUMADA DE ÁGUA - FORNECIMENTO E INSTALAÇÃO. AF_12/2014</v>
          </cell>
          <cell r="C3422" t="str">
            <v>UN</v>
          </cell>
          <cell r="D3422">
            <v>21.81</v>
          </cell>
        </row>
        <row r="3423">
          <cell r="A3423">
            <v>89544</v>
          </cell>
          <cell r="B3423" t="str">
            <v>LUVA SIMPLES, PVC, SERIE R, ÁGUA PLUVIAL, DN 40 MM, JUNTA SOLDÁVEL, FORNECIDO E INSTALADO EM RAMAL DE ENCAMINHAMENTO. AF_12/2014</v>
          </cell>
          <cell r="C3423" t="str">
            <v>UN</v>
          </cell>
          <cell r="D3423">
            <v>7</v>
          </cell>
        </row>
        <row r="3424">
          <cell r="A3424">
            <v>89545</v>
          </cell>
          <cell r="B3424" t="str">
            <v>LUVA SIMPLES, PVC, SERIE R, ÁGUA PLUVIAL, DN 50 MM, JUNTA ELÁSTICA, FORNECIDO E INSTALADO EM RAMAL DE ENCAMINHAMENTO. AF_12/2014</v>
          </cell>
          <cell r="C3424" t="str">
            <v>UN</v>
          </cell>
          <cell r="D3424">
            <v>9.9</v>
          </cell>
        </row>
        <row r="3425">
          <cell r="A3425">
            <v>89546</v>
          </cell>
          <cell r="B3425" t="str">
            <v>BUCHA DE REDUÇÃO LONGA, PVC, SERIE R, ÁGUA PLUVIAL, DN 50 X 40 MM, JUNTA ELÁSTICA, FORNECIDO E INSTALADO EM RAMAL DE ENCAMINHAMENTO. AF_12/2014</v>
          </cell>
          <cell r="C3425" t="str">
            <v>UN</v>
          </cell>
          <cell r="D3425">
            <v>8.65</v>
          </cell>
        </row>
        <row r="3426">
          <cell r="A3426">
            <v>89547</v>
          </cell>
          <cell r="B3426" t="str">
            <v>LUVA SIMPLES, PVC, SERIE R, ÁGUA PLUVIAL, DN 75 MM, JUNTA ELÁSTICA, FORNECIDO E INSTALADO EM RAMAL DE ENCAMINHAMENTO. AF_12/2014</v>
          </cell>
          <cell r="C3426" t="str">
            <v>UN</v>
          </cell>
          <cell r="D3426">
            <v>14.96</v>
          </cell>
        </row>
        <row r="3427">
          <cell r="A3427">
            <v>89548</v>
          </cell>
          <cell r="B3427" t="str">
            <v>LUVA DE CORRER, PVC, SERIE R, ÁGUA PLUVIAL, DN 75 MM, JUNTA ELÁSTICA, FORNECIDO E INSTALADO EM RAMAL DE ENCAMINHAMENTO. AF_12/2014</v>
          </cell>
          <cell r="C3427" t="str">
            <v>UN</v>
          </cell>
          <cell r="D3427">
            <v>16.14</v>
          </cell>
        </row>
        <row r="3428">
          <cell r="A3428">
            <v>89549</v>
          </cell>
          <cell r="B3428" t="str">
            <v>REDUÇÃO EXCÊNTRICA, PVC, SERIE R, ÁGUA PLUVIAL, DN 75 X 50 MM, JUNTA ELÁSTICA, FORNECIDO E INSTALADO EM RAMAL DE ENCAMINHAMENTO. AF_12/2014</v>
          </cell>
          <cell r="C3428" t="str">
            <v>UN</v>
          </cell>
          <cell r="D3428">
            <v>11.79</v>
          </cell>
        </row>
        <row r="3429">
          <cell r="A3429">
            <v>89550</v>
          </cell>
          <cell r="B3429" t="str">
            <v>TÊ DE INSPEÇÃO, PVC, SERIE R, ÁGUA PLUVIAL, DN 75 MM, JUNTA ELÁSTICA, FORNECIDO E INSTALADO EM RAMAL DE ENCAMINHAMENTO. AF_12/2014</v>
          </cell>
          <cell r="C3429" t="str">
            <v>UN</v>
          </cell>
          <cell r="D3429">
            <v>27.92</v>
          </cell>
        </row>
        <row r="3430">
          <cell r="A3430">
            <v>89551</v>
          </cell>
          <cell r="B3430" t="str">
            <v>LUVA SOLDÁVEL E COM ROSCA, PVC, SOLDÁVEL, DN 32MM X 1, INSTALADO EM PRUMADA DE ÁGUA - FORNECIMENTO E INSTALAÇÃO. AF_12/2014</v>
          </cell>
          <cell r="C3430" t="str">
            <v>UN</v>
          </cell>
          <cell r="D3430">
            <v>7.32</v>
          </cell>
        </row>
        <row r="3431">
          <cell r="A3431">
            <v>89552</v>
          </cell>
          <cell r="B3431" t="str">
            <v>UNIÃO, PVC, SOLDÁVEL, DN 32MM, INSTALADO EM PRUMADA DE ÁGUA - FORNECIMENTO E INSTALAÇÃO. AF_12/2014</v>
          </cell>
          <cell r="C3431" t="str">
            <v>UN</v>
          </cell>
          <cell r="D3431">
            <v>14.36</v>
          </cell>
        </row>
        <row r="3432">
          <cell r="A3432">
            <v>89553</v>
          </cell>
          <cell r="B3432" t="str">
            <v>ADAPTADOR CURTO COM BOLSA E ROSCA PARA REGISTRO, PVC, SOLDÁVEL, DN 32MM X 1, INSTALADO EM PRUMADA DE ÁGUA - FORNECIMENTO E INSTALAÇÃO. AF_12/2014</v>
          </cell>
          <cell r="C3432" t="str">
            <v>UN</v>
          </cell>
          <cell r="D3432">
            <v>4.6500000000000004</v>
          </cell>
        </row>
        <row r="3433">
          <cell r="A3433">
            <v>89554</v>
          </cell>
          <cell r="B3433" t="str">
            <v>LUVA SIMPLES, PVC, SERIE R, ÁGUA PLUVIAL, DN 100 MM, JUNTA ELÁSTICA, FORNECIDO E INSTALADO EM RAMAL DE ENCAMINHAMENTO. AF_12/2014</v>
          </cell>
          <cell r="C3433" t="str">
            <v>UN</v>
          </cell>
          <cell r="D3433">
            <v>18.440000000000001</v>
          </cell>
        </row>
        <row r="3434">
          <cell r="A3434">
            <v>89555</v>
          </cell>
          <cell r="B3434" t="str">
            <v>CURVA DE TRANSPOSIÇÃO, PVC, SOLDÁVEL, DN 32MM, INSTALADO EM PRUMADA DE ÁGUA   FORNECIMENTO E INSTALAÇÃO. AF_12/2014</v>
          </cell>
          <cell r="C3434" t="str">
            <v>UN</v>
          </cell>
          <cell r="D3434">
            <v>17.309999999999999</v>
          </cell>
        </row>
        <row r="3435">
          <cell r="A3435">
            <v>89556</v>
          </cell>
          <cell r="B3435" t="str">
            <v>LUVA DE CORRER, PVC, SERIE R, ÁGUA PLUVIAL, DN 100 MM, JUNTA ELÁSTICA, FORNECIDO E INSTALADO EM RAMAL DE ENCAMINHAMENTO. AF_12/2014</v>
          </cell>
          <cell r="C3435" t="str">
            <v>UN</v>
          </cell>
          <cell r="D3435">
            <v>26.53</v>
          </cell>
        </row>
        <row r="3436">
          <cell r="A3436">
            <v>89557</v>
          </cell>
          <cell r="B3436" t="str">
            <v>REDUÇÃO EXCÊNTRICA, PVC, SERIE R, ÁGUA PLUVIAL, DN 100 X 75 MM, JUNTA ELÁSTICA, FORNECIDO E INSTALADO EM RAMAL DE ENCAMINHAMENTO. AF_12/2014</v>
          </cell>
          <cell r="C3436" t="str">
            <v>UN</v>
          </cell>
          <cell r="D3436">
            <v>21.21</v>
          </cell>
        </row>
        <row r="3437">
          <cell r="A3437">
            <v>89558</v>
          </cell>
          <cell r="B3437" t="str">
            <v>LUVA, PVC, SOLDÁVEL, DN 40MM, INSTALADO EM PRUMADA DE ÁGUA - FORNECIMENTO E INSTALAÇÃO. AF_12/2014</v>
          </cell>
          <cell r="C3437" t="str">
            <v>UN</v>
          </cell>
          <cell r="D3437">
            <v>7.05</v>
          </cell>
        </row>
        <row r="3438">
          <cell r="A3438">
            <v>89559</v>
          </cell>
          <cell r="B3438" t="str">
            <v>TÊ DE INSPEÇÃO, PVC, SERIE R, ÁGUA PLUVIAL, DN 100 MM, JUNTA ELÁSTICA, FORNECIDO E INSTALADO EM RAMAL DE ENCAMINHAMENTO. AF_12/2014</v>
          </cell>
          <cell r="C3438" t="str">
            <v>UN</v>
          </cell>
          <cell r="D3438">
            <v>45.79</v>
          </cell>
        </row>
        <row r="3439">
          <cell r="A3439">
            <v>89561</v>
          </cell>
          <cell r="B3439" t="str">
            <v>JUNÇÃO SIMPLES, PVC, SERIE R, ÁGUA PLUVIAL, DN 40 MM, JUNTA SOLDÁVEL, FORNECIDO E INSTALADO EM RAMAL DE ENCAMINHAMENTO. AF_12/2014</v>
          </cell>
          <cell r="C3439" t="str">
            <v>UN</v>
          </cell>
          <cell r="D3439">
            <v>10.36</v>
          </cell>
        </row>
        <row r="3440">
          <cell r="A3440">
            <v>89562</v>
          </cell>
          <cell r="B3440" t="str">
            <v>LUVA DE REDUÇÃO, PVC, SOLDÁVEL, DN 40MM X 32MM, INSTALADO EM PRUMADA DE ÁGUA - FORNECIMENTO E INSTALAÇÃO. AF_12/2014</v>
          </cell>
          <cell r="C3440" t="str">
            <v>UN</v>
          </cell>
          <cell r="D3440">
            <v>7.47</v>
          </cell>
        </row>
        <row r="3441">
          <cell r="A3441">
            <v>89563</v>
          </cell>
          <cell r="B3441" t="str">
            <v>JUNÇÃO SIMPLES, PVC, SERIE R, ÁGUA PLUVIAL, DN 50 MM, JUNTA ELÁSTICA, FORNECIDO E INSTALADO EM RAMAL DE ENCAMINHAMENTO. AF_12/2014</v>
          </cell>
          <cell r="C3441" t="str">
            <v>UN</v>
          </cell>
          <cell r="D3441">
            <v>16.47</v>
          </cell>
        </row>
        <row r="3442">
          <cell r="A3442">
            <v>89564</v>
          </cell>
          <cell r="B3442" t="str">
            <v>LUVA COM ROSCA, PVC, SOLDÁVEL, DN 40MM X 1.1/4, INSTALADO EM PRUMADA DE ÁGUA - FORNECIMENTO E INSTALAÇÃO. AF_12/2014</v>
          </cell>
          <cell r="C3442" t="str">
            <v>UN</v>
          </cell>
          <cell r="D3442">
            <v>13.05</v>
          </cell>
        </row>
        <row r="3443">
          <cell r="A3443">
            <v>89565</v>
          </cell>
          <cell r="B3443" t="str">
            <v>JUNÇÃO SIMPLES, PVC, SERIE R, ÁGUA PLUVIAL, DN 75 X 75 MM, JUNTA ELÁSTICA, FORNECIDO E INSTALADO EM RAMAL DE ENCAMINHAMENTO. AF_12/2014</v>
          </cell>
          <cell r="C3443" t="str">
            <v>UN</v>
          </cell>
          <cell r="D3443">
            <v>39.46</v>
          </cell>
        </row>
        <row r="3444">
          <cell r="A3444">
            <v>89566</v>
          </cell>
          <cell r="B3444" t="str">
            <v>TÊ, PVC, SERIE R, ÁGUA PLUVIAL, DN 75 MM, JUNTA ELÁSTICA, FORNECIDO E INSTALADO EM RAMAL DE ENCAMINHAMENTO. AF_12/2014</v>
          </cell>
          <cell r="C3444" t="str">
            <v>UN</v>
          </cell>
          <cell r="D3444">
            <v>34.340000000000003</v>
          </cell>
        </row>
        <row r="3445">
          <cell r="A3445">
            <v>89567</v>
          </cell>
          <cell r="B3445" t="str">
            <v>JUNÇÃO SIMPLES, PVC, SERIE R, ÁGUA PLUVIAL, DN 100 X 100 MM, JUNTA ELÁSTICA, FORNECIDO E INSTALADO EM RAMAL DE ENCAMINHAMENTO. AF_12/2014</v>
          </cell>
          <cell r="C3445" t="str">
            <v>UN</v>
          </cell>
          <cell r="D3445">
            <v>57.95</v>
          </cell>
        </row>
        <row r="3446">
          <cell r="A3446">
            <v>89568</v>
          </cell>
          <cell r="B3446" t="str">
            <v>UNIÃO, PVC, SOLDÁVEL, DN 40MM, INSTALADO EM PRUMADA DE ÁGUA - FORNECIMENTO E INSTALAÇÃO. AF_12/2014</v>
          </cell>
          <cell r="C3446" t="str">
            <v>UN</v>
          </cell>
          <cell r="D3446">
            <v>25.7</v>
          </cell>
        </row>
        <row r="3447">
          <cell r="A3447">
            <v>89569</v>
          </cell>
          <cell r="B3447" t="str">
            <v>JUNÇÃO SIMPLES, PVC, SERIE R, ÁGUA PLUVIAL, DN 100 X 75 MM, JUNTA ELÁSTICA, FORNECIDO E INSTALADO EM RAMAL DE ENCAMINHAMENTO. AF_12/2014</v>
          </cell>
          <cell r="C3447" t="str">
            <v>UN</v>
          </cell>
          <cell r="D3447">
            <v>54.88</v>
          </cell>
        </row>
        <row r="3448">
          <cell r="A3448">
            <v>89570</v>
          </cell>
          <cell r="B3448" t="str">
            <v>ADAPTADOR CURTO COM BOLSA E ROSCA PARA REGISTRO, PVC, SOLDÁVEL, DN 40MM X 1.1/2, INSTALADO EM PRUMADA DE ÁGUA - FORNECIMENTO E INSTALAÇÃO. AF_12/2014</v>
          </cell>
          <cell r="C3448" t="str">
            <v>UN</v>
          </cell>
          <cell r="D3448">
            <v>9.42</v>
          </cell>
        </row>
        <row r="3449">
          <cell r="A3449">
            <v>89571</v>
          </cell>
          <cell r="B3449" t="str">
            <v>TÊ, PVC, SERIE R, ÁGUA PLUVIAL, DN 100 X 100 MM, JUNTA ELÁSTICA, FORNECIDO E INSTALADO EM RAMAL DE ENCAMINHAMENTO. AF_12/2014</v>
          </cell>
          <cell r="C3449" t="str">
            <v>UN</v>
          </cell>
          <cell r="D3449">
            <v>53.46</v>
          </cell>
        </row>
        <row r="3450">
          <cell r="A3450">
            <v>89572</v>
          </cell>
          <cell r="B3450" t="str">
            <v>ADAPTADOR CURTO COM BOLSA E ROSCA PARA REGISTRO, PVC, SOLDÁVEL, DN 40MM X 1.1/4, INSTALADO EM PRUMADA DE ÁGUA - FORNECIMENTO E INSTALAÇÃO. AF_12/2014</v>
          </cell>
          <cell r="C3450" t="str">
            <v>UN</v>
          </cell>
          <cell r="D3450">
            <v>6.71</v>
          </cell>
        </row>
        <row r="3451">
          <cell r="A3451">
            <v>89573</v>
          </cell>
          <cell r="B3451" t="str">
            <v>TÊ, PVC, SERIE R, ÁGUA PLUVIAL, DN 100 X 75 MM, JUNTA ELÁSTICA, FORNECIDO E INSTALADO EM RAMAL DE ENCAMINHAMENTO. AF_12/2014</v>
          </cell>
          <cell r="C3451" t="str">
            <v>UN</v>
          </cell>
          <cell r="D3451">
            <v>48.8</v>
          </cell>
        </row>
        <row r="3452">
          <cell r="A3452">
            <v>89574</v>
          </cell>
          <cell r="B3452" t="str">
            <v>JUNÇÃO DUPLA, PVC, SERIE R, ÁGUA PLUVIAL, DN 100 X 100 X 100 MM, JUNTA ELÁSTICA, FORNECIDO E INSTALADO EM RAMAL DE ENCAMINHAMENTO. AF_12/2014</v>
          </cell>
          <cell r="C3452" t="str">
            <v>UN</v>
          </cell>
          <cell r="D3452">
            <v>94.01</v>
          </cell>
        </row>
        <row r="3453">
          <cell r="A3453">
            <v>89575</v>
          </cell>
          <cell r="B3453" t="str">
            <v>LUVA, PVC, SOLDÁVEL, DN 50MM, INSTALADO EM PRUMADA DE ÁGUA - FORNECIMENTO E INSTALAÇÃO. AF_12/2014</v>
          </cell>
          <cell r="C3453" t="str">
            <v>UN</v>
          </cell>
          <cell r="D3453">
            <v>9.11</v>
          </cell>
        </row>
        <row r="3454">
          <cell r="A3454">
            <v>89577</v>
          </cell>
          <cell r="B3454" t="str">
            <v>LUVA DE CORRER, PVC, SOLDÁVEL, DN 50MM, INSTALADO EM PRUMADA DE ÁGUA - FORNECIMENTO E INSTALAÇÃO. AF_12/2014</v>
          </cell>
          <cell r="C3454" t="str">
            <v>UN</v>
          </cell>
          <cell r="D3454">
            <v>26.67</v>
          </cell>
        </row>
        <row r="3455">
          <cell r="A3455">
            <v>89579</v>
          </cell>
          <cell r="B3455" t="str">
            <v>LUVA DE REDUÇÃO, PVC, SOLDÁVEL, DN 50MM X 25MM, INSTALADO EM PRUMADA DE ÁGUA   FORNECIMENTO E INSTALAÇÃO. AF_12/2014</v>
          </cell>
          <cell r="C3455" t="str">
            <v>UN</v>
          </cell>
          <cell r="D3455">
            <v>9.31</v>
          </cell>
        </row>
        <row r="3456">
          <cell r="A3456">
            <v>89581</v>
          </cell>
          <cell r="B3456" t="str">
            <v>JOELHO 90 GRAUS, PVC, SERIE R, ÁGUA PLUVIAL, DN 75 MM, JUNTA ELÁSTICA, FORNECIDO E INSTALADO EM CONDUTORES VERTICAIS DE ÁGUAS PLUVIAIS. AF_12/2014</v>
          </cell>
          <cell r="C3456" t="str">
            <v>UN</v>
          </cell>
          <cell r="D3456">
            <v>20.27</v>
          </cell>
        </row>
        <row r="3457">
          <cell r="A3457">
            <v>89582</v>
          </cell>
          <cell r="B3457" t="str">
            <v>JOELHO 45 GRAUS, PVC, SERIE R, ÁGUA PLUVIAL, DN 75 MM, JUNTA ELÁSTICA, FORNECIDO E INSTALADO EM CONDUTORES VERTICAIS DE ÁGUAS PLUVIAIS. AF_12/2014</v>
          </cell>
          <cell r="C3457" t="str">
            <v>UN</v>
          </cell>
          <cell r="D3457">
            <v>17.899999999999999</v>
          </cell>
        </row>
        <row r="3458">
          <cell r="A3458">
            <v>89583</v>
          </cell>
          <cell r="B3458" t="str">
            <v>CURVA 87 GRAUS E 30 MINUTOS, PVC, SERIE R, ÁGUA PLUVIAL, DN 75 MM, JUNTA ELÁSTICA, FORNECIDO E INSTALADO EM CONDUTORES VERTICAIS DE ÁGUAS PLUVIAIS. AF_12/2014</v>
          </cell>
          <cell r="C3458" t="str">
            <v>UN</v>
          </cell>
          <cell r="D3458">
            <v>26.55</v>
          </cell>
        </row>
        <row r="3459">
          <cell r="A3459">
            <v>89584</v>
          </cell>
          <cell r="B3459" t="str">
            <v>JOELHO 90 GRAUS, PVC, SERIE R, ÁGUA PLUVIAL, DN 100 MM, JUNTA ELÁSTICA, FORNECIDO E INSTALADO EM CONDUTORES VERTICAIS DE ÁGUAS PLUVIAIS. AF_12/2014</v>
          </cell>
          <cell r="C3459" t="str">
            <v>UN</v>
          </cell>
          <cell r="D3459">
            <v>30.52</v>
          </cell>
        </row>
        <row r="3460">
          <cell r="A3460">
            <v>89585</v>
          </cell>
          <cell r="B3460" t="str">
            <v>JOELHO 45 GRAUS, PVC, SERIE R, ÁGUA PLUVIAL, DN 100 MM, JUNTA ELÁSTICA, FORNECIDO E INSTALADO EM CONDUTORES VERTICAIS DE ÁGUAS PLUVIAIS. AF_12/2014</v>
          </cell>
          <cell r="C3460" t="str">
            <v>UN</v>
          </cell>
          <cell r="D3460">
            <v>24.74</v>
          </cell>
        </row>
        <row r="3461">
          <cell r="A3461">
            <v>89586</v>
          </cell>
          <cell r="B3461" t="str">
            <v>JOELHO 45 GRAUS PARA PÉ DE COLUNA, PVC, SERIE R, ÁGUA PLUVIAL, DN 100 MM, JUNTA ELÁSTICA, FORNECIDO E INSTALADO EM CONDUTORES VERTICAIS DE ÁGUAS PLUVIAIS. AF_12/2014</v>
          </cell>
          <cell r="C3461" t="str">
            <v>UN</v>
          </cell>
          <cell r="D3461">
            <v>24.74</v>
          </cell>
        </row>
        <row r="3462">
          <cell r="A3462">
            <v>89587</v>
          </cell>
          <cell r="B3462" t="str">
            <v>CURVA 87 GRAUS E 30 MINUTOS, PVC, SERIE R, ÁGUA PLUVIAL, DN 100 MM, JUNTA ELÁSTICA, FORNECIDO E INSTALADO EM CONDUTORES VERTICAIS DE ÁGUAS PLUVIAIS. AF_12/2014</v>
          </cell>
          <cell r="C3462" t="str">
            <v>UN</v>
          </cell>
          <cell r="D3462">
            <v>39.58</v>
          </cell>
        </row>
        <row r="3463">
          <cell r="A3463">
            <v>89590</v>
          </cell>
          <cell r="B3463" t="str">
            <v>JOELHO 90 GRAUS, PVC, SERIE R, ÁGUA PLUVIAL, DN 150 MM, JUNTA ELÁSTICA, FORNECIDO E INSTALADO EM CONDUTORES VERTICAIS DE ÁGUAS PLUVIAIS. AF_12/2014</v>
          </cell>
          <cell r="C3463" t="str">
            <v>UN</v>
          </cell>
          <cell r="D3463">
            <v>96.13</v>
          </cell>
        </row>
        <row r="3464">
          <cell r="A3464">
            <v>89591</v>
          </cell>
          <cell r="B3464" t="str">
            <v>JOELHO 45 GRAUS, PVC, SERIE R, ÁGUA PLUVIAL, DN 150 MM, JUNTA ELÁSTICA, FORNECIDO E INSTALADO EM CONDUTORES VERTICAIS DE ÁGUAS PLUVIAIS. AF_12/2014</v>
          </cell>
          <cell r="C3464" t="str">
            <v>UN</v>
          </cell>
          <cell r="D3464">
            <v>79.53</v>
          </cell>
        </row>
        <row r="3465">
          <cell r="A3465">
            <v>89592</v>
          </cell>
          <cell r="B3465" t="str">
            <v>CURVA 87 GRAUS E 30 MINUTOS, PVC, SERIE R, ÁGUA PLUVIAL, DN 150 MM, JUNTA ELÁSTICA, FORNECIDO E INSTALADO EM CONDUTORES VERTICAIS DE ÁGUAS PLUVIAIS. AF_12/2014</v>
          </cell>
          <cell r="C3465" t="str">
            <v>UN</v>
          </cell>
          <cell r="D3465">
            <v>127.78</v>
          </cell>
        </row>
        <row r="3466">
          <cell r="A3466">
            <v>89593</v>
          </cell>
          <cell r="B3466" t="str">
            <v>LUVA COM ROSCA, PVC, SOLDÁVEL, DN 50MM X 1.1/2, INSTALADO EM PRUMADA DE ÁGUA - FORNECIMENTO E INSTALAÇÃO. AF_12/2014</v>
          </cell>
          <cell r="C3466" t="str">
            <v>UN</v>
          </cell>
          <cell r="D3466">
            <v>24.24</v>
          </cell>
        </row>
        <row r="3467">
          <cell r="A3467">
            <v>89594</v>
          </cell>
          <cell r="B3467" t="str">
            <v>UNIÃO, PVC, SOLDÁVEL, DN 50MM, INSTALADO EM PRUMADA DE ÁGUA - FORNECIMENTO E INSTALAÇÃO. AF_12/2014</v>
          </cell>
          <cell r="C3467" t="str">
            <v>UN</v>
          </cell>
          <cell r="D3467">
            <v>29.03</v>
          </cell>
        </row>
        <row r="3468">
          <cell r="A3468">
            <v>89595</v>
          </cell>
          <cell r="B3468" t="str">
            <v>ADAPTADOR CURTO COM BOLSA E ROSCA PARA REGISTRO, PVC, SOLDÁVEL, DN 50MM X 1.1/4, INSTALADO EM PRUMADA DE ÁGUA - FORNECIMENTO E INSTALAÇÃO. AF_12/2014</v>
          </cell>
          <cell r="C3468" t="str">
            <v>UN</v>
          </cell>
          <cell r="D3468">
            <v>11.78</v>
          </cell>
        </row>
        <row r="3469">
          <cell r="A3469">
            <v>89596</v>
          </cell>
          <cell r="B3469" t="str">
            <v>ADAPTADOR CURTO COM BOLSA E ROSCA PARA REGISTRO, PVC, SOLDÁVEL, DN 50MM X 1.1/2, INSTALADO EM PRUMADA DE ÁGUA - FORNECIMENTO E INSTALAÇÃO. AF_12/2014</v>
          </cell>
          <cell r="C3469" t="str">
            <v>UN</v>
          </cell>
          <cell r="D3469">
            <v>8.9700000000000006</v>
          </cell>
        </row>
        <row r="3470">
          <cell r="A3470">
            <v>89597</v>
          </cell>
          <cell r="B3470" t="str">
            <v>LUVA, PVC, SOLDÁVEL, DN 60MM, INSTALADO EM PRUMADA DE ÁGUA - FORNECIMENTO E INSTALAÇÃO. AF_12/2014</v>
          </cell>
          <cell r="C3470" t="str">
            <v>UN</v>
          </cell>
          <cell r="D3470">
            <v>16.239999999999998</v>
          </cell>
        </row>
        <row r="3471">
          <cell r="A3471">
            <v>89598</v>
          </cell>
          <cell r="B3471" t="str">
            <v>LUVA DE CORRER, PVC, SOLDÁVEL, DN 60MM, INSTALADO EM PRUMADA DE ÁGUA   FORNECIMENTO E INSTALAÇÃO. AF_12/2014</v>
          </cell>
          <cell r="C3471" t="str">
            <v>UN</v>
          </cell>
          <cell r="D3471">
            <v>40.03</v>
          </cell>
        </row>
        <row r="3472">
          <cell r="A3472">
            <v>89599</v>
          </cell>
          <cell r="B3472" t="str">
            <v>LUVA SIMPLES, PVC, SERIE R, ÁGUA PLUVIAL, DN 75 MM, JUNTA ELÁSTICA, FORNECIDO E INSTALADO EM CONDUTORES VERTICAIS DE ÁGUAS PLUVIAIS. AF_12/2014</v>
          </cell>
          <cell r="C3472" t="str">
            <v>UN</v>
          </cell>
          <cell r="D3472">
            <v>13.9</v>
          </cell>
        </row>
        <row r="3473">
          <cell r="A3473">
            <v>89600</v>
          </cell>
          <cell r="B3473" t="str">
            <v>LUVA DE CORRER, PVC, SERIE R, ÁGUA PLUVIAL, DN 75 MM, JUNTA ELÁSTICA, FORNECIDO E INSTALADO EM CONDUTORES VERTICAIS DE ÁGUAS PLUVIAIS. AF_12/2014</v>
          </cell>
          <cell r="C3473" t="str">
            <v>UN</v>
          </cell>
          <cell r="D3473">
            <v>15.08</v>
          </cell>
        </row>
        <row r="3474">
          <cell r="A3474">
            <v>89605</v>
          </cell>
          <cell r="B3474" t="str">
            <v>LUVA DE REDUÇÃO, PVC, SOLDÁVEL, DN 60MM X 50MM, INSTALADO EM PRUMADA DE ÁGUA - FORNECIMENTO E INSTALAÇÃO. AF_12/2014</v>
          </cell>
          <cell r="C3474" t="str">
            <v>UN</v>
          </cell>
          <cell r="D3474">
            <v>15.89</v>
          </cell>
        </row>
        <row r="3475">
          <cell r="A3475">
            <v>89609</v>
          </cell>
          <cell r="B3475" t="str">
            <v>UNIÃO, PVC, SOLDÁVEL, DN 60MM, INSTALADO EM PRUMADA DE ÁGUA - FORNECIMENTO E INSTALAÇÃO. AF_12/2014</v>
          </cell>
          <cell r="C3475" t="str">
            <v>UN</v>
          </cell>
          <cell r="D3475">
            <v>66.069999999999993</v>
          </cell>
        </row>
        <row r="3476">
          <cell r="A3476">
            <v>89610</v>
          </cell>
          <cell r="B3476" t="str">
            <v>ADAPTADOR CURTO COM BOLSA E ROSCA PARA REGISTRO, PVC, SOLDÁVEL, DN 60MM X 2, INSTALADO EM PRUMADA DE ÁGUA - FORNECIMENTO E INSTALAÇÃO. AF_12/2014</v>
          </cell>
          <cell r="C3476" t="str">
            <v>UN</v>
          </cell>
          <cell r="D3476">
            <v>16.25</v>
          </cell>
        </row>
        <row r="3477">
          <cell r="A3477">
            <v>89611</v>
          </cell>
          <cell r="B3477" t="str">
            <v>LUVA, PVC, SOLDÁVEL, DN 75MM, INSTALADO EM PRUMADA DE ÁGUA - FORNECIMENTO E INSTALAÇÃO. AF_12/2014</v>
          </cell>
          <cell r="C3477" t="str">
            <v>UN</v>
          </cell>
          <cell r="D3477">
            <v>26.54</v>
          </cell>
        </row>
        <row r="3478">
          <cell r="A3478">
            <v>89612</v>
          </cell>
          <cell r="B3478" t="str">
            <v>UNIÃO, PVC, SOLDÁVEL, DN 75MM, INSTALADO EM PRUMADA DE ÁGUA - FORNECIMENTO E INSTALAÇÃO. AF_12/2014</v>
          </cell>
          <cell r="C3478" t="str">
            <v>UN</v>
          </cell>
          <cell r="D3478">
            <v>129.61000000000001</v>
          </cell>
        </row>
        <row r="3479">
          <cell r="A3479">
            <v>89613</v>
          </cell>
          <cell r="B3479" t="str">
            <v>ADAPTADOR CURTO COM BOLSA E ROSCA PARA REGISTRO, PVC, SOLDÁVEL, DN 75MM X 2.1/2, INSTALADO EM PRUMADA DE ÁGUA - FORNECIMENTO E INSTALAÇÃO. AF_12/2014</v>
          </cell>
          <cell r="C3479" t="str">
            <v>UN</v>
          </cell>
          <cell r="D3479">
            <v>23.96</v>
          </cell>
        </row>
        <row r="3480">
          <cell r="A3480">
            <v>89614</v>
          </cell>
          <cell r="B3480" t="str">
            <v>LUVA, PVC, SOLDÁVEL, DN 85MM, INSTALADO EM PRUMADA DE ÁGUA - FORNECIMENTO E INSTALAÇÃO. AF_12/2014</v>
          </cell>
          <cell r="C3480" t="str">
            <v>UN</v>
          </cell>
          <cell r="D3480">
            <v>48.55</v>
          </cell>
        </row>
        <row r="3481">
          <cell r="A3481">
            <v>89615</v>
          </cell>
          <cell r="B3481" t="str">
            <v>UNIÃO, PVC, SOLDÁVEL, DN 85MM, INSTALADO EM PRUMADA DE ÁGUA - FORNECIMENTO E INSTALAÇÃO. AF_12/2014</v>
          </cell>
          <cell r="C3481" t="str">
            <v>UN</v>
          </cell>
          <cell r="D3481">
            <v>195.15</v>
          </cell>
        </row>
        <row r="3482">
          <cell r="A3482">
            <v>89616</v>
          </cell>
          <cell r="B3482" t="str">
            <v>ADAPTADOR CURTO COM BOLSA E ROSCA PARA REGISTRO, PVC, SOLDÁVEL, DN 85MM X 3, INSTALADO EM PRUMADA DE ÁGUA - FORNECIMENTO E INSTALAÇÃO. AF_12/2014</v>
          </cell>
          <cell r="C3482" t="str">
            <v>UN</v>
          </cell>
          <cell r="D3482">
            <v>34.08</v>
          </cell>
        </row>
        <row r="3483">
          <cell r="A3483">
            <v>89617</v>
          </cell>
          <cell r="B3483" t="str">
            <v>TE, PVC, SOLDÁVEL, DN 25MM, INSTALADO EM PRUMADA DE ÁGUA - FORNECIMENTO E INSTALAÇÃO. AF_12/2014</v>
          </cell>
          <cell r="C3483" t="str">
            <v>UN</v>
          </cell>
          <cell r="D3483">
            <v>5.54</v>
          </cell>
        </row>
        <row r="3484">
          <cell r="A3484">
            <v>89618</v>
          </cell>
          <cell r="B3484" t="str">
            <v>TÊ COM BUCHA DE LATÃO NA BOLSA CENTRAL, PVC, SOLDÁVEL, DN 25MM X 1/2, INSTALADO EM PRUMADA DE ÁGUA - FORNECIMENTO E INSTALAÇÃO. AF_12/2014</v>
          </cell>
          <cell r="C3484" t="str">
            <v>UN</v>
          </cell>
          <cell r="D3484">
            <v>11.28</v>
          </cell>
        </row>
        <row r="3485">
          <cell r="A3485">
            <v>89619</v>
          </cell>
          <cell r="B3485" t="str">
            <v>TÊ DE REDUÇÃO, PVC, SOLDÁVEL, DN 25MM X 20MM, INSTALADO EM PRUMADA DE ÁGUA - FORNECIMENTO E INSTALAÇÃO. AF_12/2014</v>
          </cell>
          <cell r="C3485" t="str">
            <v>UN</v>
          </cell>
          <cell r="D3485">
            <v>7.07</v>
          </cell>
        </row>
        <row r="3486">
          <cell r="A3486">
            <v>89620</v>
          </cell>
          <cell r="B3486" t="str">
            <v>TE, PVC, SOLDÁVEL, DN 32MM, INSTALADO EM PRUMADA DE ÁGUA - FORNECIMENTO E INSTALAÇÃO. AF_12/2014</v>
          </cell>
          <cell r="C3486" t="str">
            <v>UN</v>
          </cell>
          <cell r="D3486">
            <v>8.99</v>
          </cell>
        </row>
        <row r="3487">
          <cell r="A3487">
            <v>89621</v>
          </cell>
          <cell r="B3487" t="str">
            <v>TÊ COM BUCHA DE LATÃO NA BOLSA CENTRAL, PVC, SOLDÁVEL, DN 32MM X 3/4, INSTALADO EM PRUMADA DE ÁGUA - FORNECIMENTO E INSTALAÇÃO. AF_12/2014</v>
          </cell>
          <cell r="C3487" t="str">
            <v>UN</v>
          </cell>
          <cell r="D3487">
            <v>18.72</v>
          </cell>
        </row>
        <row r="3488">
          <cell r="A3488">
            <v>89622</v>
          </cell>
          <cell r="B3488" t="str">
            <v>TÊ DE REDUÇÃO, PVC, SOLDÁVEL, DN 32MM X 25MM, INSTALADO EM PRUMADA DE ÁGUA - FORNECIMENTO E INSTALAÇÃO. AF_12/2014</v>
          </cell>
          <cell r="C3488" t="str">
            <v>UN</v>
          </cell>
          <cell r="D3488">
            <v>10.5</v>
          </cell>
        </row>
        <row r="3489">
          <cell r="A3489">
            <v>89623</v>
          </cell>
          <cell r="B3489" t="str">
            <v>TE, PVC, SOLDÁVEL, DN 40MM, INSTALADO EM PRUMADA DE ÁGUA - FORNECIMENTO E INSTALAÇÃO. AF_12/2014</v>
          </cell>
          <cell r="C3489" t="str">
            <v>UN</v>
          </cell>
          <cell r="D3489">
            <v>14.08</v>
          </cell>
        </row>
        <row r="3490">
          <cell r="A3490">
            <v>89624</v>
          </cell>
          <cell r="B3490" t="str">
            <v>TÊ DE REDUÇÃO, PVC, SOLDÁVEL, DN 40MM X 32MM, INSTALADO EM PRUMADA DE ÁGUA - FORNECIMENTO E INSTALAÇÃO. AF_12/2014</v>
          </cell>
          <cell r="C3490" t="str">
            <v>UN</v>
          </cell>
          <cell r="D3490">
            <v>14.85</v>
          </cell>
        </row>
        <row r="3491">
          <cell r="A3491">
            <v>89625</v>
          </cell>
          <cell r="B3491" t="str">
            <v>TE, PVC, SOLDÁVEL, DN 50MM, INSTALADO EM PRUMADA DE ÁGUA - FORNECIMENTO E INSTALAÇÃO. AF_12/2014</v>
          </cell>
          <cell r="C3491" t="str">
            <v>UN</v>
          </cell>
          <cell r="D3491">
            <v>17.309999999999999</v>
          </cell>
        </row>
        <row r="3492">
          <cell r="A3492">
            <v>89626</v>
          </cell>
          <cell r="B3492" t="str">
            <v>TÊ DE REDUÇÃO, PVC, SOLDÁVEL, DN 50MM X 40MM, INSTALADO EM PRUMADA DE ÁGUA - FORNECIMENTO E INSTALAÇÃO. AF_12/2014</v>
          </cell>
          <cell r="C3492" t="str">
            <v>UN</v>
          </cell>
          <cell r="D3492">
            <v>23.22</v>
          </cell>
        </row>
        <row r="3493">
          <cell r="A3493">
            <v>89627</v>
          </cell>
          <cell r="B3493" t="str">
            <v>TÊ DE REDUÇÃO, PVC, SOLDÁVEL, DN 50MM X 25MM, INSTALADO EM PRUMADA DE ÁGUA - FORNECIMENTO E INSTALAÇÃO. AF_12/2014</v>
          </cell>
          <cell r="C3493" t="str">
            <v>UN</v>
          </cell>
          <cell r="D3493">
            <v>16.420000000000002</v>
          </cell>
        </row>
        <row r="3494">
          <cell r="A3494">
            <v>89628</v>
          </cell>
          <cell r="B3494" t="str">
            <v>TE, PVC, SOLDÁVEL, DN 60MM, INSTALADO EM PRUMADA DE ÁGUA - FORNECIMENTO E INSTALAÇÃO. AF_12/2014</v>
          </cell>
          <cell r="C3494" t="str">
            <v>UN</v>
          </cell>
          <cell r="D3494">
            <v>35.03</v>
          </cell>
        </row>
        <row r="3495">
          <cell r="A3495">
            <v>89629</v>
          </cell>
          <cell r="B3495" t="str">
            <v>TE, PVC, SOLDÁVEL, DN 75MM, INSTALADO EM PRUMADA DE ÁGUA - FORNECIMENTO E INSTALAÇÃO. AF_12/2014</v>
          </cell>
          <cell r="C3495" t="str">
            <v>UN</v>
          </cell>
          <cell r="D3495">
            <v>63.72</v>
          </cell>
        </row>
        <row r="3496">
          <cell r="A3496">
            <v>89630</v>
          </cell>
          <cell r="B3496" t="str">
            <v>TE DE REDUÇÃO, PVC, SOLDÁVEL, DN 75MM X 50MM, INSTALADO EM PRUMADA DE ÁGUA - FORNECIMENTO E INSTALAÇÃO. AF_12/2014</v>
          </cell>
          <cell r="C3496" t="str">
            <v>UN</v>
          </cell>
          <cell r="D3496">
            <v>55.68</v>
          </cell>
        </row>
        <row r="3497">
          <cell r="A3497">
            <v>89631</v>
          </cell>
          <cell r="B3497" t="str">
            <v>TE, PVC, SOLDÁVEL, DN 85MM, INSTALADO EM PRUMADA DE ÁGUA - FORNECIMENTO E INSTALAÇÃO. AF_12/2014</v>
          </cell>
          <cell r="C3497" t="str">
            <v>UN</v>
          </cell>
          <cell r="D3497">
            <v>95.69</v>
          </cell>
        </row>
        <row r="3498">
          <cell r="A3498">
            <v>89632</v>
          </cell>
          <cell r="B3498" t="str">
            <v>TE DE REDUÇÃO, PVC, SOLDÁVEL, DN 85MM X 60MM, INSTALADO EM PRUMADA DE ÁGUA - FORNECIMENTO E INSTALAÇÃO. AF_12/2014</v>
          </cell>
          <cell r="C3498" t="str">
            <v>UN</v>
          </cell>
          <cell r="D3498">
            <v>79.23</v>
          </cell>
        </row>
        <row r="3499">
          <cell r="A3499">
            <v>89637</v>
          </cell>
          <cell r="B3499" t="str">
            <v>JOELHO 90 GRAUS, CPVC, SOLDÁVEL, DN 15MM, INSTALADO EM RAMAL OU SUB-RAMAL DE ÁGUA - FORNECIMENTO E INSTALAÇÃO. AF_12/2014</v>
          </cell>
          <cell r="C3499" t="str">
            <v>UN</v>
          </cell>
          <cell r="D3499">
            <v>8.25</v>
          </cell>
        </row>
        <row r="3500">
          <cell r="A3500">
            <v>89638</v>
          </cell>
          <cell r="B3500" t="str">
            <v>JOELHO 45 GRAUS, CPVC, SOLDÁVEL, DN 15MM, INSTALADO EM RAMAL OU SUB-RAMAL DE ÁGUA - FORNECIMENTO E INSTALAÇÃO. AF_12/2014</v>
          </cell>
          <cell r="C3500" t="str">
            <v>UN</v>
          </cell>
          <cell r="D3500">
            <v>9.2799999999999994</v>
          </cell>
        </row>
        <row r="3501">
          <cell r="A3501">
            <v>89639</v>
          </cell>
          <cell r="B3501" t="str">
            <v>CURVA 90 GRAUS, CPVC, SOLDÁVEL, DN 15MM, INSTALADO EM RAMAL OU SUB-RAMAL DE ÁGUA - FORNECIMENTO E INSTALAÇÃO. AF_12/2014</v>
          </cell>
          <cell r="C3501" t="str">
            <v>UN</v>
          </cell>
          <cell r="D3501">
            <v>9.69</v>
          </cell>
        </row>
        <row r="3502">
          <cell r="A3502">
            <v>89640</v>
          </cell>
          <cell r="B3502" t="str">
            <v>JOELHO DE TRANSIÇÃO, 90 GRAUS, CPVC, SOLDÁVEL, DN 15MM X 1/2", INSTALADO EM RAMAL OU SUB-RAMAL DE ÁGUA - FORNECIMENTO E INSTALAÇÃO. AF_12/2014</v>
          </cell>
          <cell r="C3502" t="str">
            <v>UN</v>
          </cell>
          <cell r="D3502">
            <v>15.86</v>
          </cell>
        </row>
        <row r="3503">
          <cell r="A3503">
            <v>89641</v>
          </cell>
          <cell r="B3503" t="str">
            <v>JOELHO 90 GRAUS, CPVC, SOLDÁVEL, DN 22MM, INSTALADO EM RAMAL OU SUB-RAMAL DE ÁGUA - FORNECIMENTO E INSTALAÇÃO. AF_12/2014</v>
          </cell>
          <cell r="C3503" t="str">
            <v>UN</v>
          </cell>
          <cell r="D3503">
            <v>11.78</v>
          </cell>
        </row>
        <row r="3504">
          <cell r="A3504">
            <v>89642</v>
          </cell>
          <cell r="B3504" t="str">
            <v>JOELHO 45 GRAUS, CPVC, SOLDÁVEL, DN 22MM, INSTALADO EM RAMAL OU SUB-RAMAL DE ÁGUA - FORNECIMENTO E INSTALAÇÃO. AF_12/2014</v>
          </cell>
          <cell r="C3504" t="str">
            <v>UN</v>
          </cell>
          <cell r="D3504">
            <v>13.77</v>
          </cell>
        </row>
        <row r="3505">
          <cell r="A3505">
            <v>89643</v>
          </cell>
          <cell r="B3505" t="str">
            <v>CURVA 90 GRAUS, CPVC, SOLDÁVEL, DN 22MM, INSTALADO EM RAMAL OU SUB-RAMAL DE ÁGUA - FORNECIMENTO E INSTALAÇÃO. AF_12/2014</v>
          </cell>
          <cell r="C3505" t="str">
            <v>UN</v>
          </cell>
          <cell r="D3505">
            <v>14.43</v>
          </cell>
        </row>
        <row r="3506">
          <cell r="A3506">
            <v>89644</v>
          </cell>
          <cell r="B3506" t="str">
            <v>JOELHO DE TRANSIÇÃO, 90 GRAUS, CPVC, SOLDÁVEL, DN 22MM X 1/2", INSTALADO EM RAMAL OU SUB-RAMAL DE ÁGUA - FORNECIMENTO E INSTALAÇÃO. AF_12/2014</v>
          </cell>
          <cell r="C3506" t="str">
            <v>UN</v>
          </cell>
          <cell r="D3506">
            <v>23.83</v>
          </cell>
        </row>
        <row r="3507">
          <cell r="A3507">
            <v>89645</v>
          </cell>
          <cell r="B3507" t="str">
            <v>JOELHO DE TRANSIÇÃO, 90 GRAUS, CPVC, SOLDÁVEL, DN 22MM X 3/4", INSTALADO EM RAMAL OU SUB-RAMAL DE ÁGUA - FORNECIMENTO E INSTALAÇÃO. AF_12/2014</v>
          </cell>
          <cell r="C3507" t="str">
            <v>UN</v>
          </cell>
          <cell r="D3507">
            <v>26.93</v>
          </cell>
        </row>
        <row r="3508">
          <cell r="A3508">
            <v>89646</v>
          </cell>
          <cell r="B3508" t="str">
            <v>JOELHO 90 GRAUS, CPVC, SOLDÁVEL, DN 28MM, INSTALADO EM RAMAL OU SUB-RAMAL DE ÁGUA - FORNECIMENTO E INSTALAÇÃO. AF_12/2014</v>
          </cell>
          <cell r="C3508" t="str">
            <v>UN</v>
          </cell>
          <cell r="D3508">
            <v>18.87</v>
          </cell>
        </row>
        <row r="3509">
          <cell r="A3509">
            <v>89647</v>
          </cell>
          <cell r="B3509" t="str">
            <v>JOELHO 45 GRAUS, CPVC, SOLDÁVEL, DN 28MM, INSTALADO EM RAMAL OU SUB-RAMAL DE ÁGUA  FORNECIMENTO E INSTALAÇÃO. AF_12/2014</v>
          </cell>
          <cell r="C3509" t="str">
            <v>UN</v>
          </cell>
          <cell r="D3509">
            <v>18.41</v>
          </cell>
        </row>
        <row r="3510">
          <cell r="A3510">
            <v>89648</v>
          </cell>
          <cell r="B3510" t="str">
            <v>CURVA 90 GRAUS, CPVC, SOLDÁVEL, DN 28MM, INSTALADO EM RAMAL OU SUB-RAMAL DE ÁGUA  FORNECIMENTO E INSTALAÇÃO. AF_12/2014</v>
          </cell>
          <cell r="C3510" t="str">
            <v>UN</v>
          </cell>
          <cell r="D3510">
            <v>20.54</v>
          </cell>
        </row>
        <row r="3511">
          <cell r="A3511">
            <v>89649</v>
          </cell>
          <cell r="B3511" t="str">
            <v>JOELHO 90 GRAUS, CPVC, SOLDÁVEL, DN 35MM, INSTALADO EM RAMAL OU SUB-RAMAL DE ÁGUA  FORNECIMENTO E INSTALAÇÃO. AF_12/2014</v>
          </cell>
          <cell r="C3511" t="str">
            <v>UN</v>
          </cell>
          <cell r="D3511">
            <v>28.33</v>
          </cell>
        </row>
        <row r="3512">
          <cell r="A3512">
            <v>89650</v>
          </cell>
          <cell r="B3512" t="str">
            <v>JOELHO 45 GRAUS, CPVC, SOLDÁVEL, DN 35MM, INSTALADO EM RAMAL OU SUB-RAMAL DE ÁGUA  FORNECIMENTO E INSTALAÇÃO. AF_12/2014</v>
          </cell>
          <cell r="C3512" t="str">
            <v>UN</v>
          </cell>
          <cell r="D3512">
            <v>28.33</v>
          </cell>
        </row>
        <row r="3513">
          <cell r="A3513">
            <v>89651</v>
          </cell>
          <cell r="B3513" t="str">
            <v>LUVA, CPVC, SOLDÁVEL, DN 15MM, INSTALADO EM RAMAL OU SUB-RAMAL DE ÁGUA - FORNECIMENTO E INSTALAÇÃO. AF_12/2014</v>
          </cell>
          <cell r="C3513" t="str">
            <v>UN</v>
          </cell>
          <cell r="D3513">
            <v>5.69</v>
          </cell>
        </row>
        <row r="3514">
          <cell r="A3514">
            <v>89652</v>
          </cell>
          <cell r="B3514" t="str">
            <v>LUVA DE CORRER, CPVC, SOLDÁVEL, DN 15MM, INSTALADO EM RAMAL OU SUB-RAMAL DE ÁGUA  FORNECIMENTO E INSTALAÇÃO. AF_12/2014</v>
          </cell>
          <cell r="C3514" t="str">
            <v>UN</v>
          </cell>
          <cell r="D3514">
            <v>10.24</v>
          </cell>
        </row>
        <row r="3515">
          <cell r="A3515">
            <v>89653</v>
          </cell>
          <cell r="B3515" t="str">
            <v>LUVA DE TRANSIÇÃO, CPVC, SOLDÁVEL, DN15MM X 1/2", INSTALADO EM RAMAL OU SUB-RAMAL DE ÁGUA - FORNECIMENTO E INSTALAÇÃO. AF_12/2014</v>
          </cell>
          <cell r="C3515" t="str">
            <v>UN</v>
          </cell>
          <cell r="D3515">
            <v>17.25</v>
          </cell>
        </row>
        <row r="3516">
          <cell r="A3516">
            <v>89654</v>
          </cell>
          <cell r="B3516" t="str">
            <v>UNIÃO, CPVC, SOLDÁVEL, DN15MM, INSTALADO EM RAMAL OU SUB-RAMAL DE ÁGUA  FORNECIMENTO E INSTALAÇÃO. AF_12/2014</v>
          </cell>
          <cell r="C3516" t="str">
            <v>UN</v>
          </cell>
          <cell r="D3516">
            <v>16.79</v>
          </cell>
        </row>
        <row r="3517">
          <cell r="A3517">
            <v>89655</v>
          </cell>
          <cell r="B3517" t="str">
            <v>CONECTOR, CPVC, SOLDÁVEL, DN 15MM X 1/2, INSTALADO EM RAMAL OU SUB-RAMAL DE ÁGUA  FORNECIMENTO E INSTALAÇÃO. AF_12/2014</v>
          </cell>
          <cell r="C3517" t="str">
            <v>UN</v>
          </cell>
          <cell r="D3517">
            <v>25.35</v>
          </cell>
        </row>
        <row r="3518">
          <cell r="A3518">
            <v>89656</v>
          </cell>
          <cell r="B3518" t="str">
            <v>ADAPTADOR, CPVC, SOLDÁVEL, DN15MM, INSTALADO EM RAMAL OU SUB-RAMAL DE ÁGUA  FORNECIMENTO E INSTALAÇÃO. AF_12/2014</v>
          </cell>
          <cell r="C3518" t="str">
            <v>UN</v>
          </cell>
          <cell r="D3518">
            <v>10.96</v>
          </cell>
        </row>
        <row r="3519">
          <cell r="A3519">
            <v>89657</v>
          </cell>
          <cell r="B3519" t="str">
            <v>CURVA DE TRANSPOSIÇÃO, CPVC, SOLDÁVEL, DN15MM, INSTALADO EM RAMAL OU SUB-RAMAL DE ÁGUA  FORNECIMENTO E INSTALAÇÃO. AF_12/2014</v>
          </cell>
          <cell r="C3519" t="str">
            <v>UN</v>
          </cell>
          <cell r="D3519">
            <v>11.19</v>
          </cell>
        </row>
        <row r="3520">
          <cell r="A3520">
            <v>89658</v>
          </cell>
          <cell r="B3520" t="str">
            <v>LUVA, CPVC, SOLDÁVEL, DN 22MM, INSTALADO EM RAMAL OU SUB-RAMAL DE ÁGUA  FORNECIMENTO E INSTALAÇÃO. AF_12/2014</v>
          </cell>
          <cell r="C3520" t="str">
            <v>UN</v>
          </cell>
          <cell r="D3520">
            <v>7.91</v>
          </cell>
        </row>
        <row r="3521">
          <cell r="A3521">
            <v>89659</v>
          </cell>
          <cell r="B3521" t="str">
            <v>LUVA DE CORRER, CPVC, SOLDÁVEL, DN 22MM, INSTALADO EM RAMAL OU SUB-RAMAL DE ÁGUA  FORNECIMENTO E INSTALAÇÃO. AF_12/2014</v>
          </cell>
          <cell r="C3521" t="str">
            <v>UN</v>
          </cell>
          <cell r="D3521">
            <v>14.89</v>
          </cell>
        </row>
        <row r="3522">
          <cell r="A3522">
            <v>89660</v>
          </cell>
          <cell r="B3522" t="str">
            <v>LUVA DE TRANSIÇÃO, CPVC, SOLDÁVEL, DN22MM X 25MM, INSTALADO EM RAMAL OU SUB-RAMAL DE ÁGUA - FORNECIMENTO E INSTALAÇÃO. AF_12/2014</v>
          </cell>
          <cell r="C3522" t="str">
            <v>UN</v>
          </cell>
          <cell r="D3522">
            <v>7.3</v>
          </cell>
        </row>
        <row r="3523">
          <cell r="A3523">
            <v>89661</v>
          </cell>
          <cell r="B3523" t="str">
            <v>UNIÃO, CPVC, SOLDÁVEL, DN22MM, INSTALADO EM RAMAL OU SUB-RAMAL DE ÁGUA  FORNECIMENTO E INSTALAÇÃO. AF_12/2014</v>
          </cell>
          <cell r="C3523" t="str">
            <v>UN</v>
          </cell>
          <cell r="D3523">
            <v>20.190000000000001</v>
          </cell>
        </row>
        <row r="3524">
          <cell r="A3524">
            <v>89662</v>
          </cell>
          <cell r="B3524" t="str">
            <v>CONECTOR, CPVC, SOLDÁVEL, DN 22MM X 1/2, INSTALADO EM RAMAL OU SUB-RAMAL DE ÁGUA  FORNECIMENTO E INSTALAÇÃO. AF_12/2014</v>
          </cell>
          <cell r="C3524" t="str">
            <v>UN</v>
          </cell>
          <cell r="D3524">
            <v>31.55</v>
          </cell>
        </row>
        <row r="3525">
          <cell r="A3525">
            <v>89663</v>
          </cell>
          <cell r="B3525" t="str">
            <v>ADAPTADOR, CPVC, SOLDÁVEL, DN22MM, INSTALADO EM RAMAL OU SUB-RAMAL DE ÁGUA  FORNECIMENTO E INSTALAÇÃO. AF_12/2014</v>
          </cell>
          <cell r="C3525" t="str">
            <v>UN</v>
          </cell>
          <cell r="D3525">
            <v>12.52</v>
          </cell>
        </row>
        <row r="3526">
          <cell r="A3526">
            <v>89664</v>
          </cell>
          <cell r="B3526" t="str">
            <v>CURVA DE TRANSPOSIÇÃO, CPVC, SOLDÁVEL, DN22MM, INSTALADO EM RAMAL OU SUB-RAMAL DE ÁGUA  FORNECIMENTO E INSTALAÇÃO. AF_12/2014</v>
          </cell>
          <cell r="C3526" t="str">
            <v>UN</v>
          </cell>
          <cell r="D3526">
            <v>14.89</v>
          </cell>
        </row>
        <row r="3527">
          <cell r="A3527">
            <v>89665</v>
          </cell>
          <cell r="B3527" t="str">
            <v>REDUÇÃO EXCÊNTRICA, PVC, SERIE R, ÁGUA PLUVIAL, DN 75 X 50 MM, JUNTA ELÁSTICA, FORNECIDO E INSTALADO EM CONDUTORES VERTICAIS DE ÁGUAS PLUVIAIS. AF_12/2014</v>
          </cell>
          <cell r="C3527" t="str">
            <v>UN</v>
          </cell>
          <cell r="D3527">
            <v>10.73</v>
          </cell>
        </row>
        <row r="3528">
          <cell r="A3528">
            <v>89666</v>
          </cell>
          <cell r="B3528" t="str">
            <v>BUCHA DE REDUÇÃO, CPVC, SOLDÁVEL, DN22MM X 15MM, INSTALADO EM RAMAL OU SUB-RAMAL DE ÁGUA  FORNECIMENTO E INSTALAÇÃO. AF_12/2014</v>
          </cell>
          <cell r="C3528" t="str">
            <v>UN</v>
          </cell>
          <cell r="D3528">
            <v>6.27</v>
          </cell>
        </row>
        <row r="3529">
          <cell r="A3529">
            <v>89667</v>
          </cell>
          <cell r="B3529" t="str">
            <v>TÊ DE INSPEÇÃO, PVC, SERIE R, ÁGUA PLUVIAL, DN 75 MM, JUNTA ELÁSTICA, FORNECIDO E INSTALADO EM CONDUTORES VERTICAIS DE ÁGUAS PLUVIAIS. AF_12/2014</v>
          </cell>
          <cell r="C3529" t="str">
            <v>UN</v>
          </cell>
          <cell r="D3529">
            <v>26.86</v>
          </cell>
        </row>
        <row r="3530">
          <cell r="A3530">
            <v>89668</v>
          </cell>
          <cell r="B3530" t="str">
            <v>CONECTOR, CPVC, SOLDÁVEL, DN22MM X 3/4", INSTALADO EM RAMAL OU SUB-RAMAL DE ÁGUA - FORNECIMENTO E INSTALAÇÃO. AF_12/2014</v>
          </cell>
          <cell r="C3530" t="str">
            <v>UN</v>
          </cell>
          <cell r="D3530">
            <v>29.88</v>
          </cell>
        </row>
        <row r="3531">
          <cell r="A3531">
            <v>89669</v>
          </cell>
          <cell r="B3531" t="str">
            <v>LUVA SIMPLES, PVC, SERIE R, ÁGUA PLUVIAL, DN 100 MM, JUNTA ELÁSTICA, FORNECIDO E INSTALADO EM CONDUTORES VERTICAIS DE ÁGUAS PLUVIAIS. AF_12/2014</v>
          </cell>
          <cell r="C3531" t="str">
            <v>UN</v>
          </cell>
          <cell r="D3531">
            <v>17.55</v>
          </cell>
        </row>
        <row r="3532">
          <cell r="A3532">
            <v>89670</v>
          </cell>
          <cell r="B3532" t="str">
            <v>LUVA, CPVC, SOLDÁVEL, DN 28MM, INSTALADO EM RAMAL OU SUB-RAMAL DE ÁGUA  FORNECIMENTO E INSTALAÇÃO. AF_12/2014</v>
          </cell>
          <cell r="C3532" t="str">
            <v>UN</v>
          </cell>
          <cell r="D3532">
            <v>12</v>
          </cell>
        </row>
        <row r="3533">
          <cell r="A3533">
            <v>89671</v>
          </cell>
          <cell r="B3533" t="str">
            <v>LUVA DE CORRER, PVC, SERIE R, ÁGUA PLUVIAL, DN 100 MM, JUNTA ELÁSTICA, FORNECIDO E INSTALADO EM CONDUTORES VERTICAIS DE ÁGUAS PLUVIAIS. AF_12/2014</v>
          </cell>
          <cell r="C3533" t="str">
            <v>UN</v>
          </cell>
          <cell r="D3533">
            <v>25.64</v>
          </cell>
        </row>
        <row r="3534">
          <cell r="A3534">
            <v>89672</v>
          </cell>
          <cell r="B3534" t="str">
            <v>LUVA DE CORRER, CPVC, SOLDÁVEL, DN 28MM, INSTALADO EM RAMAL OU SUB-RAMAL DE ÁGUA  FORNECIMENTO E INSTALAÇÃO. AF_12/2014</v>
          </cell>
          <cell r="C3534" t="str">
            <v>UN</v>
          </cell>
          <cell r="D3534">
            <v>19.989999999999998</v>
          </cell>
        </row>
        <row r="3535">
          <cell r="A3535">
            <v>89673</v>
          </cell>
          <cell r="B3535" t="str">
            <v>REDUÇÃO EXCÊNTRICA, PVC, SERIE R, ÁGUA PLUVIAL, DN 100 X 75 MM, JUNTA ELÁSTICA, FORNECIDO E INSTALADO EM CONDUTORES VERTICAIS DE ÁGUAS PLUVIAIS. AF_12/2014</v>
          </cell>
          <cell r="C3535" t="str">
            <v>UN</v>
          </cell>
          <cell r="D3535">
            <v>20.32</v>
          </cell>
        </row>
        <row r="3536">
          <cell r="A3536">
            <v>89674</v>
          </cell>
          <cell r="B3536" t="str">
            <v>UNIÃO, CPVC, SOLDÁVEL, DN28MM, INSTALADO EM RAMAL OU SUB-RAMAL DE ÁGUA  FORNECIMENTO E INSTALAÇÃO. AF_12/2014</v>
          </cell>
          <cell r="C3536" t="str">
            <v>UN</v>
          </cell>
          <cell r="D3536">
            <v>30.16</v>
          </cell>
        </row>
        <row r="3537">
          <cell r="A3537">
            <v>89675</v>
          </cell>
          <cell r="B3537" t="str">
            <v>TÊ DE INSPEÇÃO, PVC, SERIE R, ÁGUA PLUVIAL, DN 100 MM, JUNTA ELÁSTICA, FORNECIDO E INSTALADO EM CONDUTORES VERTICAIS DE ÁGUAS PLUVIAIS. AF_12/2014</v>
          </cell>
          <cell r="C3537" t="str">
            <v>UN</v>
          </cell>
          <cell r="D3537">
            <v>44.9</v>
          </cell>
        </row>
        <row r="3538">
          <cell r="A3538">
            <v>89676</v>
          </cell>
          <cell r="B3538" t="str">
            <v>CONECTOR, CPVC, SOLDÁVEL, DN 28MM X 1, INSTALADO EM RAMAL OU SUB-RAMAL DE ÁGUA  FORNECIMENTO E INSTALAÇÃO. AF_12/2014</v>
          </cell>
          <cell r="C3538" t="str">
            <v>UN</v>
          </cell>
          <cell r="D3538">
            <v>46.77</v>
          </cell>
        </row>
        <row r="3539">
          <cell r="A3539">
            <v>89677</v>
          </cell>
          <cell r="B3539" t="str">
            <v>LUVA SIMPLES, PVC, SERIE R, ÁGUA PLUVIAL, DN 150 MM, JUNTA ELÁSTICA, FORNECIDO E INSTALADO EM CONDUTORES VERTICAIS DE ÁGUAS PLUVIAIS. AF_12/2014</v>
          </cell>
          <cell r="C3539" t="str">
            <v>UN</v>
          </cell>
          <cell r="D3539">
            <v>50.77</v>
          </cell>
        </row>
        <row r="3540">
          <cell r="A3540">
            <v>89678</v>
          </cell>
          <cell r="B3540" t="str">
            <v>BUCHA DE REDUÇÃO, CPVC, SOLDÁVEL, DN28MM X 22MM, INSTALADO EM RAMAL OU SUB-RAMAL DE ÁGUA  FORNECIMENTO E INSTALAÇÃO. AF_12/2014</v>
          </cell>
          <cell r="C3540" t="str">
            <v>UN</v>
          </cell>
          <cell r="D3540">
            <v>8.4600000000000009</v>
          </cell>
        </row>
        <row r="3541">
          <cell r="A3541">
            <v>89679</v>
          </cell>
          <cell r="B3541" t="str">
            <v>LUVA DE CORRER, PVC, SERIE R, ÁGUA PLUVIAL, DN 150 MM, JUNTA ELÁSTICA, FORNECIDO E INSTALADO EM CONDUTORES VERTICAIS DE ÁGUAS PLUVIAIS. AF_12/2014</v>
          </cell>
          <cell r="C3541" t="str">
            <v>UN</v>
          </cell>
          <cell r="D3541">
            <v>79.61</v>
          </cell>
        </row>
        <row r="3542">
          <cell r="A3542">
            <v>89680</v>
          </cell>
          <cell r="B3542" t="str">
            <v>LUVA, CPVC, SOLDÁVEL, DN 35MM, INSTALADO EM RAMAL OU SUB-RAMAL DE ÁGUA  FORNECIMENTO E INSTALAÇÃO. AF_12/2014</v>
          </cell>
          <cell r="C3542" t="str">
            <v>UN</v>
          </cell>
          <cell r="D3542">
            <v>19.3</v>
          </cell>
        </row>
        <row r="3543">
          <cell r="A3543">
            <v>89681</v>
          </cell>
          <cell r="B3543" t="str">
            <v>REDUÇÃO EXCÊNTRICA, PVC, SERIE R, ÁGUA PLUVIAL, DN 150 X 100 MM, JUNTA ELÁSTICA, FORNECIDO E INSTALADO EM CONDUTORES VERTICAIS DE ÁGUAS PLUVIAIS. AF_12/2014</v>
          </cell>
          <cell r="C3543" t="str">
            <v>UN</v>
          </cell>
          <cell r="D3543">
            <v>55.87</v>
          </cell>
        </row>
        <row r="3544">
          <cell r="A3544">
            <v>89682</v>
          </cell>
          <cell r="B3544" t="str">
            <v>LUVA DE CORRER, CPVC, SOLDÁVEL, DN 35MM, INSTALADO EM RAMAL OU SUB-RAMAL DE ÁGUA  FORNECIMENTO E INSTALAÇÃO. AF_12/2014</v>
          </cell>
          <cell r="C3544" t="str">
            <v>UN</v>
          </cell>
          <cell r="D3544">
            <v>31.23</v>
          </cell>
        </row>
        <row r="3545">
          <cell r="A3545">
            <v>89684</v>
          </cell>
          <cell r="B3545" t="str">
            <v>UNIÃO, CPVC, SOLDÁVEL, DN35MM, INSTALADO EM RAMAL OU SUB-RAMAL DE ÁGUA  FORNECIMENTO E INSTALAÇÃO. AF_12/2014</v>
          </cell>
          <cell r="C3545" t="str">
            <v>UN</v>
          </cell>
          <cell r="D3545">
            <v>44.03</v>
          </cell>
        </row>
        <row r="3546">
          <cell r="A3546">
            <v>89685</v>
          </cell>
          <cell r="B3546" t="str">
            <v>JUNÇÃO SIMPLES, PVC, SERIE R, ÁGUA PLUVIAL, DN 75 X 75 MM, JUNTA ELÁSTICA, FORNECIDO E INSTALADO EM CONDUTORES VERTICAIS DE ÁGUAS PLUVIAIS. AF_12/2014</v>
          </cell>
          <cell r="C3546" t="str">
            <v>UN</v>
          </cell>
          <cell r="D3546">
            <v>37.53</v>
          </cell>
        </row>
        <row r="3547">
          <cell r="A3547">
            <v>89686</v>
          </cell>
          <cell r="B3547" t="str">
            <v>CONECTOR, CPVC, SOLDÁVEL, DN 35MM X 1 1/4, INSTALADO EM RAMAL OU SUB-RAMAL DE ÁGUA  FORNECIMENTO E INSTALAÇÃO. AF_12/2014</v>
          </cell>
          <cell r="C3547" t="str">
            <v>UN</v>
          </cell>
          <cell r="D3547">
            <v>170.65</v>
          </cell>
        </row>
        <row r="3548">
          <cell r="A3548">
            <v>89687</v>
          </cell>
          <cell r="B3548" t="str">
            <v>TÊ, PVC, SERIE R, ÁGUA PLUVIAL, DN 75 X 75 MM, JUNTA ELÁSTICA, FORNECIDO E INSTALADO EM CONDUTORES VERTICAIS DE ÁGUAS PLUVIAIS. AF_12/2014</v>
          </cell>
          <cell r="C3548" t="str">
            <v>UN</v>
          </cell>
          <cell r="D3548">
            <v>32.409999999999997</v>
          </cell>
        </row>
        <row r="3549">
          <cell r="A3549">
            <v>89689</v>
          </cell>
          <cell r="B3549" t="str">
            <v>BUCHA DE REDUÇÃO, CPVC, SOLDÁVEL, DN35MM X 28MM, INSTALADO EM RAMAL OU SUB-RAMAL DE ÁGUA  FORNECIMENTO E INSTALAÇÃO. AF_12/2014</v>
          </cell>
          <cell r="C3549" t="str">
            <v>UN</v>
          </cell>
          <cell r="D3549">
            <v>33.799999999999997</v>
          </cell>
        </row>
        <row r="3550">
          <cell r="A3550">
            <v>89690</v>
          </cell>
          <cell r="B3550" t="str">
            <v>JUNÇÃO SIMPLES, PVC, SERIE R, ÁGUA PLUVIAL, DN 100 X 100 MM, JUNTA ELÁSTICA, FORNECIDO E INSTALADO EM CONDUTORES VERTICAIS DE ÁGUAS PLUVIAIS. AF_12/2014</v>
          </cell>
          <cell r="C3550" t="str">
            <v>UN</v>
          </cell>
          <cell r="D3550">
            <v>56</v>
          </cell>
        </row>
        <row r="3551">
          <cell r="A3551">
            <v>89691</v>
          </cell>
          <cell r="B3551" t="str">
            <v>TE, CPVC, SOLDÁVEL, DN 15MM, INSTALADO EM RAMAL OU SUB-RAMAL DE ÁGUA - FORNECIMENTO E INSTALAÇÃO. AF_12/2014</v>
          </cell>
          <cell r="C3551" t="str">
            <v>UN</v>
          </cell>
          <cell r="D3551">
            <v>10.59</v>
          </cell>
        </row>
        <row r="3552">
          <cell r="A3552">
            <v>89692</v>
          </cell>
          <cell r="B3552" t="str">
            <v>JUNÇÃO SIMPLES, PVC, SERIE R, ÁGUA PLUVIAL, DN 100 X 75 MM, JUNTA ELÁSTICA, FORNECIDO E INSTALADO EM CONDUTORES VERTICAIS DE ÁGUAS PLUVIAIS. AF_12/2014</v>
          </cell>
          <cell r="C3552" t="str">
            <v>UN</v>
          </cell>
          <cell r="D3552">
            <v>52.93</v>
          </cell>
        </row>
        <row r="3553">
          <cell r="A3553">
            <v>89693</v>
          </cell>
          <cell r="B3553" t="str">
            <v>TÊ, PVC, SERIE R, ÁGUA PLUVIAL, DN 100 X 100 MM, JUNTA ELÁSTICA, FORNECIDO E INSTALADO EM CONDUTORES VERTICAIS DE ÁGUAS PLUVIAIS. AF_12/2014</v>
          </cell>
          <cell r="C3553" t="str">
            <v>UN</v>
          </cell>
          <cell r="D3553">
            <v>51.51</v>
          </cell>
        </row>
        <row r="3554">
          <cell r="A3554">
            <v>89694</v>
          </cell>
          <cell r="B3554" t="str">
            <v>TE DE TRANSIÇÃO, CPVC, SOLDÁVEL, DN 15MM X 1/2, INSTALADO EM RAMAL OU SUB-RAMAL DE ÁGUA  FORNECIMENTO E INSTALAÇÃO. AF_12/2014</v>
          </cell>
          <cell r="C3554" t="str">
            <v>UN</v>
          </cell>
          <cell r="D3554">
            <v>18.399999999999999</v>
          </cell>
        </row>
        <row r="3555">
          <cell r="A3555">
            <v>89695</v>
          </cell>
          <cell r="B3555" t="str">
            <v>TÊ MISTURADOR, CPVC, SOLDÁVEL, DN15MM, INSTALADO EM RAMAL OU SUB-RAMAL DE ÁGUA  FORNECIMENTO E INSTALAÇÃO. AF_12/2014</v>
          </cell>
          <cell r="C3555" t="str">
            <v>UN</v>
          </cell>
          <cell r="D3555">
            <v>16.93</v>
          </cell>
        </row>
        <row r="3556">
          <cell r="A3556">
            <v>89696</v>
          </cell>
          <cell r="B3556" t="str">
            <v>TÊ, PVC, SERIE R, ÁGUA PLUVIAL, DN 100 X 75 MM, JUNTA ELÁSTICA, FORNECIDO E INSTALADO EM CONDUTORES VERTICAIS DE ÁGUAS PLUVIAIS. AF_12/2014</v>
          </cell>
          <cell r="C3556" t="str">
            <v>UN</v>
          </cell>
          <cell r="D3556">
            <v>46.85</v>
          </cell>
        </row>
        <row r="3557">
          <cell r="A3557">
            <v>89697</v>
          </cell>
          <cell r="B3557" t="str">
            <v>TE, CPVC, SOLDÁVEL, DN 22MM, INSTALADO EM RAMAL OU SUB-RAMAL DE ÁGUA - FORNECIMENTO E INSTALAÇÃO. AF_12/2014</v>
          </cell>
          <cell r="C3557" t="str">
            <v>UN</v>
          </cell>
          <cell r="D3557">
            <v>12.65</v>
          </cell>
        </row>
        <row r="3558">
          <cell r="A3558">
            <v>89698</v>
          </cell>
          <cell r="B3558" t="str">
            <v>JUNÇÃO SIMPLES, PVC, SERIE R, ÁGUA PLUVIAL, DN 150 X 150 MM, JUNTA ELÁSTICA, FORNECIDO E INSTALADO EM CONDUTORES VERTICAIS DE ÁGUAS PLUVIAIS. AF_12/2014</v>
          </cell>
          <cell r="C3558" t="str">
            <v>UN</v>
          </cell>
          <cell r="D3558">
            <v>165.76</v>
          </cell>
        </row>
        <row r="3559">
          <cell r="A3559">
            <v>89699</v>
          </cell>
          <cell r="B3559" t="str">
            <v>JUNÇÃO SIMPLES, PVC, SERIE R, ÁGUA PLUVIAL, DN 150 X 100 MM, JUNTA ELÁSTICA, FORNECIDO E INSTALADO EM CONDUTORES VERTICAIS DE ÁGUAS PLUVIAIS. AF_12/2014</v>
          </cell>
          <cell r="C3559" t="str">
            <v>UN</v>
          </cell>
          <cell r="D3559">
            <v>140.97</v>
          </cell>
        </row>
        <row r="3560">
          <cell r="A3560">
            <v>89700</v>
          </cell>
          <cell r="B3560" t="str">
            <v>TE DE TRANSIÇÃO, CPVC, SOLDÁVEL, DN 22MM X 1/2, INSTALADO EM RAMAL OU SUB-RAMAL DE ÁGUA  FORNECIMENTO E INSTALAÇÃO. AF_12/2014</v>
          </cell>
          <cell r="C3560" t="str">
            <v>UN</v>
          </cell>
          <cell r="D3560">
            <v>19.34</v>
          </cell>
        </row>
        <row r="3561">
          <cell r="A3561">
            <v>89701</v>
          </cell>
          <cell r="B3561" t="str">
            <v>TÊ, PVC, SERIE R, ÁGUA PLUVIAL, DN 150 X 150 MM, JUNTA ELÁSTICA, FORNECIDO E INSTALADO EM CONDUTORES VERTICAIS DE ÁGUAS PLUVIAIS. AF_12/2014</v>
          </cell>
          <cell r="C3561" t="str">
            <v>UN</v>
          </cell>
          <cell r="D3561">
            <v>130.55000000000001</v>
          </cell>
        </row>
        <row r="3562">
          <cell r="A3562">
            <v>89702</v>
          </cell>
          <cell r="B3562" t="str">
            <v>TÊ MISTURADOR, CPVC, SOLDÁVEL, DN22MM, INSTALADO EM RAMAL OU SUB-RAMAL DE ÁGUA  FORNECIMENTO E INSTALAÇÃO. AF_12/2014</v>
          </cell>
          <cell r="C3562" t="str">
            <v>UN</v>
          </cell>
          <cell r="D3562">
            <v>19.34</v>
          </cell>
        </row>
        <row r="3563">
          <cell r="A3563">
            <v>89703</v>
          </cell>
          <cell r="B3563" t="str">
            <v>TE MISTURADOR DE TRANSIÇÃO, CPVC, SOLDÁVEL, DN 22MM X 3/4", INSTALADO EM RAMAL OU SUB-RAMAL DE ÁGUA - FORNECIMENTO E INSTALAÇÃO. AF_12/2014</v>
          </cell>
          <cell r="C3563" t="str">
            <v>UN</v>
          </cell>
          <cell r="D3563">
            <v>46.5</v>
          </cell>
        </row>
        <row r="3564">
          <cell r="A3564">
            <v>89704</v>
          </cell>
          <cell r="B3564" t="str">
            <v>TÊ, PVC, SERIE R, ÁGUA PLUVIAL, DN 150 X 100 MM, JUNTA ELÁSTICA, FORNECIDO E INSTALADO EM CONDUTORES VERTICAIS DE ÁGUAS PLUVIAIS. AF_12/2014</v>
          </cell>
          <cell r="C3564" t="str">
            <v>UN</v>
          </cell>
          <cell r="D3564">
            <v>90.49</v>
          </cell>
        </row>
        <row r="3565">
          <cell r="A3565">
            <v>89705</v>
          </cell>
          <cell r="B3565" t="str">
            <v>TÊ, CPVC, SOLDÁVEL, DN28MM, INSTALADO EM RAMAL OU SUB-RAMAL DE ÁGUA   FORNECIMENTO E INSTALAÇÃO. AF_12/2014</v>
          </cell>
          <cell r="C3565" t="str">
            <v>UN</v>
          </cell>
          <cell r="D3565">
            <v>22.26</v>
          </cell>
        </row>
        <row r="3566">
          <cell r="A3566">
            <v>89706</v>
          </cell>
          <cell r="B3566" t="str">
            <v>TÊ, CPVC, SOLDÁVEL, DN35MM, INSTALADO EM RAMAL OU SUB-RAMAL DE ÁGUA  FORNECIMENTO E INSTALAÇÃO. AF_12/2014</v>
          </cell>
          <cell r="C3566" t="str">
            <v>UN</v>
          </cell>
          <cell r="D3566">
            <v>51.02</v>
          </cell>
        </row>
        <row r="3567">
          <cell r="A3567">
            <v>89718</v>
          </cell>
          <cell r="B3567" t="str">
            <v>TUBO, CPVC, SOLDÁVEL, DN 35MM, INSTALADO EM RAMAL DE DISTRIBUIÇÃO DE ÁGUA   FORNECIMENTO E INSTALAÇÃO. AF_12/2014</v>
          </cell>
          <cell r="C3567" t="str">
            <v>M</v>
          </cell>
          <cell r="D3567">
            <v>42.45</v>
          </cell>
        </row>
        <row r="3568">
          <cell r="A3568">
            <v>89719</v>
          </cell>
          <cell r="B3568" t="str">
            <v>JOELHO 90 GRAUS, CPVC, SOLDÁVEL, DN 22MM, INSTALADO EM RAMAL DE DISTRIBUIÇÃO DE ÁGUA   FORNECIMENTO E INSTALAÇÃO. AF_12/2014</v>
          </cell>
          <cell r="C3568" t="str">
            <v>UN</v>
          </cell>
          <cell r="D3568">
            <v>9.81</v>
          </cell>
        </row>
        <row r="3569">
          <cell r="A3569">
            <v>89720</v>
          </cell>
          <cell r="B3569" t="str">
            <v>JOELHO 45 GRAUS, CPVC, SOLDÁVEL, DN 22MM, INSTALADO EM RAMAL DE DISTRIBUIÇÃO DE ÁGUA   FORNECIMENTO E INSTALAÇÃO. AF_12/2014</v>
          </cell>
          <cell r="C3569" t="str">
            <v>UN</v>
          </cell>
          <cell r="D3569">
            <v>11.8</v>
          </cell>
        </row>
        <row r="3570">
          <cell r="A3570">
            <v>89721</v>
          </cell>
          <cell r="B3570" t="str">
            <v>CURVA 90 GRAUS, CPVC, SOLDÁVEL, DN 22MM, INSTALADO EM RAMAL DE DISTRIBUIÇÃO DE ÁGUA - FORNECIMENTO E INSTALAÇÃO. AF_12/2014</v>
          </cell>
          <cell r="C3570" t="str">
            <v>UN</v>
          </cell>
          <cell r="D3570">
            <v>12.46</v>
          </cell>
        </row>
        <row r="3571">
          <cell r="A3571">
            <v>89722</v>
          </cell>
          <cell r="B3571" t="str">
            <v>JOELHO DE TRANSIÇÃO, 90 GRAUS, CPVC, SOLDÁVEL, DN 22MM X 1/2", INSTALADO EM RAMAL DE ALIMENTAÇAÕ DE ÁGUA - FORNECIMENTO E INSTALAÇÃO. AF_12/2014</v>
          </cell>
          <cell r="C3571" t="str">
            <v>UN</v>
          </cell>
          <cell r="D3571">
            <v>21.86</v>
          </cell>
        </row>
        <row r="3572">
          <cell r="A3572">
            <v>89723</v>
          </cell>
          <cell r="B3572" t="str">
            <v>JOELHO 90 GRAUS, CPVC, SOLDÁVEL, DN 28MM, INSTALADO EM RAMAL DE DISTRIBUIÇÃO DE ÁGUA   FORNECIMENTO E INSTALAÇÃO. AF_12/2014</v>
          </cell>
          <cell r="C3572" t="str">
            <v>UN</v>
          </cell>
          <cell r="D3572">
            <v>16.579999999999998</v>
          </cell>
        </row>
        <row r="3573">
          <cell r="A3573">
            <v>89724</v>
          </cell>
          <cell r="B3573" t="str">
            <v>JOELHO 90 GRAUS, PVC, SERIE NORMAL, ESGOTO PREDIAL, DN 40 MM, JUNTA SOLDÁVEL, FORNECIDO E INSTALADO EM RAMAL DE DESCARGA OU RAMAL DE ESGOTO SANITÁRIO. AF_12/2014</v>
          </cell>
          <cell r="C3573" t="str">
            <v>UN</v>
          </cell>
          <cell r="D3573">
            <v>8.06</v>
          </cell>
        </row>
        <row r="3574">
          <cell r="A3574">
            <v>89725</v>
          </cell>
          <cell r="B3574" t="str">
            <v>JOELHO 45 GRAUS, CPVC, SOLDÁVEL, DN 28MM, INSTALADO EM RAMAL DE DISTRIBUIÇÃO DE ÁGUA   FORNECIMENTO E INSTALAÇÃO. AF_12/2014</v>
          </cell>
          <cell r="C3574" t="str">
            <v>UN</v>
          </cell>
          <cell r="D3574">
            <v>16.12</v>
          </cell>
        </row>
        <row r="3575">
          <cell r="A3575">
            <v>89726</v>
          </cell>
          <cell r="B3575" t="str">
            <v>JOELHO 45 GRAUS, PVC, SERIE NORMAL, ESGOTO PREDIAL, DN 40 MM, JUNTA SOLDÁVEL, FORNECIDO E INSTALADO EM RAMAL DE DESCARGA OU RAMAL DE ESGOTO SANITÁRIO. AF_12/2014</v>
          </cell>
          <cell r="C3575" t="str">
            <v>UN</v>
          </cell>
          <cell r="D3575">
            <v>6.19</v>
          </cell>
        </row>
        <row r="3576">
          <cell r="A3576">
            <v>89727</v>
          </cell>
          <cell r="B3576" t="str">
            <v>CURVA 90 GRAUS, CPVC, SOLDÁVEL, DN 28MM, INSTALADO EM RAMAL DE DISTRIBUIÇÃO DE ÁGUA   FORNECIMENTO E INSTALAÇÃO. AF_12/2014</v>
          </cell>
          <cell r="C3576" t="str">
            <v>UN</v>
          </cell>
          <cell r="D3576">
            <v>18.25</v>
          </cell>
        </row>
        <row r="3577">
          <cell r="A3577">
            <v>89728</v>
          </cell>
          <cell r="B3577" t="str">
            <v>CURVA CURTA 90 GRAUS, PVC, SERIE NORMAL, ESGOTO PREDIAL, DN 40 MM, JUNTA SOLDÁVEL, FORNECIDO E INSTALADO EM RAMAL DE DESCARGA OU RAMAL DE ESGOTO SANITÁRIO. AF_12/2014</v>
          </cell>
          <cell r="C3577" t="str">
            <v>UN</v>
          </cell>
          <cell r="D3577">
            <v>8.52</v>
          </cell>
        </row>
        <row r="3578">
          <cell r="A3578">
            <v>89729</v>
          </cell>
          <cell r="B3578" t="str">
            <v>JOELHO 90 GRAUS, CPVC, SOLDÁVEL, DN 35MM, INSTALADO EM RAMAL DE DISTRIBUIÇÃO DE ÁGUA   FORNECIMENTO E INSTALAÇÃO. AF_12/2014</v>
          </cell>
          <cell r="C3578" t="str">
            <v>UN</v>
          </cell>
          <cell r="D3578">
            <v>25.61</v>
          </cell>
        </row>
        <row r="3579">
          <cell r="A3579">
            <v>89730</v>
          </cell>
          <cell r="B3579" t="str">
            <v>CURVA LONGA 90 GRAUS, PVC, SERIE NORMAL, ESGOTO PREDIAL, DN 40 MM, JUNTA SOLDÁVEL, FORNECIDO E INSTALADO EM RAMAL DE DESCARGA OU RAMAL DE ESGOTO SANITÁRIO. AF_12/2014</v>
          </cell>
          <cell r="C3579" t="str">
            <v>UN</v>
          </cell>
          <cell r="D3579">
            <v>9.1300000000000008</v>
          </cell>
        </row>
        <row r="3580">
          <cell r="A3580">
            <v>89731</v>
          </cell>
          <cell r="B3580" t="str">
            <v>JOELHO 90 GRAUS, PVC, SERIE NORMAL, ESGOTO PREDIAL, DN 50 MM, JUNTA ELÁSTICA, FORNECIDO E INSTALADO EM RAMAL DE DESCARGA OU RAMAL DE ESGOTO SANITÁRIO. AF_12/2014</v>
          </cell>
          <cell r="C3580" t="str">
            <v>UN</v>
          </cell>
          <cell r="D3580">
            <v>8.83</v>
          </cell>
        </row>
        <row r="3581">
          <cell r="A3581">
            <v>89732</v>
          </cell>
          <cell r="B3581" t="str">
            <v>JOELHO 45 GRAUS, PVC, SERIE NORMAL, ESGOTO PREDIAL, DN 50 MM, JUNTA ELÁSTICA, FORNECIDO E INSTALADO EM RAMAL DE DESCARGA OU RAMAL DE ESGOTO SANITÁRIO. AF_12/2014</v>
          </cell>
          <cell r="C3581" t="str">
            <v>UN</v>
          </cell>
          <cell r="D3581">
            <v>9.2799999999999994</v>
          </cell>
        </row>
        <row r="3582">
          <cell r="A3582">
            <v>89733</v>
          </cell>
          <cell r="B3582" t="str">
            <v>CURVA CURTA 90 GRAUS, PVC, SERIE NORMAL, ESGOTO PREDIAL, DN 50 MM, JUNTA ELÁSTICA, FORNECIDO E INSTALADO EM RAMAL DE DESCARGA OU RAMAL DE ESGOTO SANITÁRIO. AF_12/2014</v>
          </cell>
          <cell r="C3582" t="str">
            <v>UN</v>
          </cell>
          <cell r="D3582">
            <v>14.04</v>
          </cell>
        </row>
        <row r="3583">
          <cell r="A3583">
            <v>89734</v>
          </cell>
          <cell r="B3583" t="str">
            <v>JOELHO 45 GRAUS, CPVC, SOLDÁVEL, DN 35MM, INSTALADO EM RAMAL DE DISTRIBUIÇÃO DE ÁGUA   FORNECIMENTO E INSTALAÇÃO. AF_12/2014</v>
          </cell>
          <cell r="C3583" t="str">
            <v>UN</v>
          </cell>
          <cell r="D3583">
            <v>25.61</v>
          </cell>
        </row>
        <row r="3584">
          <cell r="A3584">
            <v>89735</v>
          </cell>
          <cell r="B3584" t="str">
            <v>CURVA LONGA 90 GRAUS, PVC, SERIE NORMAL, ESGOTO PREDIAL, DN 50 MM, JUNTA ELÁSTICA, FORNECIDO E INSTALADO EM RAMAL DE DESCARGA OU RAMAL DE ESGOTO SANITÁRIO. AF_12/2014</v>
          </cell>
          <cell r="C3584" t="str">
            <v>UN</v>
          </cell>
          <cell r="D3584">
            <v>14.77</v>
          </cell>
        </row>
        <row r="3585">
          <cell r="A3585">
            <v>89736</v>
          </cell>
          <cell r="B3585" t="str">
            <v>LUVA, CPVC, SOLDÁVEL, DN 22MM, INSTALADO EM RAMAL DE DISTRIBUIÇÃO DE ÁGUA   FORNECIMENTO E INSTALAÇÃO. AF_12/2014</v>
          </cell>
          <cell r="C3585" t="str">
            <v>UN</v>
          </cell>
          <cell r="D3585">
            <v>6.6</v>
          </cell>
        </row>
        <row r="3586">
          <cell r="A3586">
            <v>89737</v>
          </cell>
          <cell r="B3586" t="str">
            <v>JOELHO 90 GRAUS, PVC, SERIE NORMAL, ESGOTO PREDIAL, DN 75 MM, JUNTA ELÁSTICA, FORNECIDO E INSTALADO EM RAMAL DE DESCARGA OU RAMAL DE ESGOTO SANITÁRIO. AF_12/2014</v>
          </cell>
          <cell r="C3586" t="str">
            <v>UN</v>
          </cell>
          <cell r="D3586">
            <v>14.92</v>
          </cell>
        </row>
        <row r="3587">
          <cell r="A3587">
            <v>89738</v>
          </cell>
          <cell r="B3587" t="str">
            <v>LUVA DE CORRER, CPVC, SOLDÁVEL, DN 22MM, INSTALADO EM RAMAL DE DISTRIBUIÇÃO DE ÁGUA   FORNECIMENTO E INSTALAÇÃO. AF_12/2014</v>
          </cell>
          <cell r="C3587" t="str">
            <v>UN</v>
          </cell>
          <cell r="D3587">
            <v>13.58</v>
          </cell>
        </row>
        <row r="3588">
          <cell r="A3588">
            <v>89739</v>
          </cell>
          <cell r="B3588" t="str">
            <v>JOELHO 45 GRAUS, PVC, SERIE NORMAL, ESGOTO PREDIAL, DN 75 MM, JUNTA ELÁSTICA, FORNECIDO E INSTALADO EM RAMAL DE DESCARGA OU RAMAL DE ESGOTO SANITÁRIO. AF_12/2014</v>
          </cell>
          <cell r="C3588" t="str">
            <v>UN</v>
          </cell>
          <cell r="D3588">
            <v>15.55</v>
          </cell>
        </row>
        <row r="3589">
          <cell r="A3589">
            <v>89740</v>
          </cell>
          <cell r="B3589" t="str">
            <v>LUVA DE TRANSIÇÃO, CPVC, SOLDÁVEL, DN 22MM X 25MM, INSTALADO EM RAMAL DE DISTRIBUIÇÃO DE ÁGUA   FORNECIMENTO E INSTALAÇÃO. AF_12/2014</v>
          </cell>
          <cell r="C3589" t="str">
            <v>UN</v>
          </cell>
          <cell r="D3589">
            <v>5.99</v>
          </cell>
        </row>
        <row r="3590">
          <cell r="A3590">
            <v>89741</v>
          </cell>
          <cell r="B3590" t="str">
            <v>UNIÃO, CPVC, SOLDÁVEL, DN 22MM, INSTALADO EM RAMAL DE DISTRIBUIÇÃO DE ÁGUA   FORNECIMENTO E INSTALAÇÃO. AF_12/2014</v>
          </cell>
          <cell r="C3590" t="str">
            <v>UN</v>
          </cell>
          <cell r="D3590">
            <v>18.88</v>
          </cell>
        </row>
        <row r="3591">
          <cell r="A3591">
            <v>89742</v>
          </cell>
          <cell r="B3591" t="str">
            <v>CURVA CURTA 90 GRAUS, PVC, SERIE NORMAL, ESGOTO PREDIAL, DN 75 MM, JUNTA ELÁSTICA, FORNECIDO E INSTALADO EM RAMAL DE DESCARGA OU RAMAL DE ESGOTO SANITÁRIO. AF_12/2014</v>
          </cell>
          <cell r="C3591" t="str">
            <v>UN</v>
          </cell>
          <cell r="D3591">
            <v>23.95</v>
          </cell>
        </row>
        <row r="3592">
          <cell r="A3592">
            <v>89743</v>
          </cell>
          <cell r="B3592" t="str">
            <v>CURVA LONGA 90 GRAUS, PVC, SERIE NORMAL, ESGOTO PREDIAL, DN 75 MM, JUNTA ELÁSTICA, FORNECIDO E INSTALADO EM RAMAL DE DESCARGA OU RAMAL DE ESGOTO SANITÁRIO. AF_12/2014</v>
          </cell>
          <cell r="C3592" t="str">
            <v>UN</v>
          </cell>
          <cell r="D3592">
            <v>33.01</v>
          </cell>
        </row>
        <row r="3593">
          <cell r="A3593">
            <v>89744</v>
          </cell>
          <cell r="B3593" t="str">
            <v>JOELHO 90 GRAUS, PVC, SERIE NORMAL, ESGOTO PREDIAL, DN 100 MM, JUNTA ELÁSTICA, FORNECIDO E INSTALADO EM RAMAL DE DESCARGA OU RAMAL DE ESGOTO SANITÁRIO. AF_12/2014</v>
          </cell>
          <cell r="C3593" t="str">
            <v>UN</v>
          </cell>
          <cell r="D3593">
            <v>19.45</v>
          </cell>
        </row>
        <row r="3594">
          <cell r="A3594">
            <v>89745</v>
          </cell>
          <cell r="B3594" t="str">
            <v>CONECTOR, CPVC, SOLDÁVEL, DN 22MM X 1/2 , INSTALADO EM RAMAL DE DISTRIBUIÇÃO DE ÁGUA   FORNECIMENTO E INSTALAÇÃO. AF_12/2014</v>
          </cell>
          <cell r="C3594" t="str">
            <v>UN</v>
          </cell>
          <cell r="D3594">
            <v>30.24</v>
          </cell>
        </row>
        <row r="3595">
          <cell r="A3595">
            <v>89746</v>
          </cell>
          <cell r="B3595" t="str">
            <v>JOELHO 45 GRAUS, PVC, SERIE NORMAL, ESGOTO PREDIAL, DN 100 MM, JUNTA ELÁSTICA, FORNECIDO E INSTALADO EM RAMAL DE DESCARGA OU RAMAL DE ESGOTO SANITÁRIO. AF_12/2014</v>
          </cell>
          <cell r="C3595" t="str">
            <v>UN</v>
          </cell>
          <cell r="D3595">
            <v>19.41</v>
          </cell>
        </row>
        <row r="3596">
          <cell r="A3596">
            <v>89747</v>
          </cell>
          <cell r="B3596" t="str">
            <v>ADAPTADOR, CPVC, SOLDÁVEL, DN 22MM, INSTALADO EM RAMAL DE DISTRIBUIÇÃO DE ÁGUA   FORNECIMENTO E INSTALAÇÃO. AF_12/2014</v>
          </cell>
          <cell r="C3596" t="str">
            <v>UN</v>
          </cell>
          <cell r="D3596">
            <v>11.21</v>
          </cell>
        </row>
        <row r="3597">
          <cell r="A3597">
            <v>89748</v>
          </cell>
          <cell r="B3597" t="str">
            <v>CURVA CURTA 90 GRAUS, PVC, SERIE NORMAL, ESGOTO PREDIAL, DN 100 MM, JUNTA ELÁSTICA, FORNECIDO E INSTALADO EM RAMAL DE DESCARGA OU RAMAL DE ESGOTO SANITÁRIO. AF_12/2014</v>
          </cell>
          <cell r="C3597" t="str">
            <v>UN</v>
          </cell>
          <cell r="D3597">
            <v>29.28</v>
          </cell>
        </row>
        <row r="3598">
          <cell r="A3598">
            <v>89749</v>
          </cell>
          <cell r="B3598" t="str">
            <v>CURVA DE TRANSPOSIÇÃO, CPVC, SOLDÁVEL, DN 22MM, INSTALADO EM RAMAL DE DISTRIBUIÇÃO DE ÁGUA   FORNECIMENTO E INSTALAÇÃO. AF_12/2014</v>
          </cell>
          <cell r="C3598" t="str">
            <v>UN</v>
          </cell>
          <cell r="D3598">
            <v>13.58</v>
          </cell>
        </row>
        <row r="3599">
          <cell r="A3599">
            <v>89750</v>
          </cell>
          <cell r="B3599" t="str">
            <v>CURVA LONGA 90 GRAUS, PVC, SERIE NORMAL, ESGOTO PREDIAL, DN 100 MM, JUNTA ELÁSTICA, FORNECIDO E INSTALADO EM RAMAL DE DESCARGA OU RAMAL DE ESGOTO SANITÁRIO. AF_12/2014</v>
          </cell>
          <cell r="C3599" t="str">
            <v>UN</v>
          </cell>
          <cell r="D3599">
            <v>46.71</v>
          </cell>
        </row>
        <row r="3600">
          <cell r="A3600">
            <v>89751</v>
          </cell>
          <cell r="B3600" t="str">
            <v>BUCHA DE REDUÇÃO, CPVC, SOLDÁVEL, DN 22MM X 15MM, INSTALADO EM RAMAL DE DISTRIBUIÇÃO DE ÁGUA   FORNECIMENTO E INSTALAÇÃO. AF_12/2014</v>
          </cell>
          <cell r="C3600" t="str">
            <v>UN</v>
          </cell>
          <cell r="D3600">
            <v>4.96</v>
          </cell>
        </row>
        <row r="3601">
          <cell r="A3601">
            <v>89752</v>
          </cell>
          <cell r="B3601" t="str">
            <v>LUVA SIMPLES, PVC, SERIE NORMAL, ESGOTO PREDIAL, DN 40 MM, JUNTA SOLDÁVEL, FORNECIDO E INSTALADO EM RAMAL DE DESCARGA OU RAMAL DE ESGOTO SANITÁRIO. AF_12/2014</v>
          </cell>
          <cell r="C3601" t="str">
            <v>UN</v>
          </cell>
          <cell r="D3601">
            <v>5.29</v>
          </cell>
        </row>
        <row r="3602">
          <cell r="A3602">
            <v>89753</v>
          </cell>
          <cell r="B3602" t="str">
            <v>LUVA SIMPLES, PVC, SERIE NORMAL, ESGOTO PREDIAL, DN 50 MM, JUNTA ELÁSTICA, FORNECIDO E INSTALADO EM RAMAL DE DESCARGA OU RAMAL DE ESGOTO SANITÁRIO. AF_12/2014</v>
          </cell>
          <cell r="C3602" t="str">
            <v>UN</v>
          </cell>
          <cell r="D3602">
            <v>7.35</v>
          </cell>
        </row>
        <row r="3603">
          <cell r="A3603">
            <v>89754</v>
          </cell>
          <cell r="B3603" t="str">
            <v>LUVA DE CORRER, PVC, SERIE NORMAL, ESGOTO PREDIAL, DN 50 MM, JUNTA ELÁSTICA, FORNECIDO E INSTALADO EM RAMAL DE DESCARGA OU RAMAL DE ESGOTO SANITÁRIO. AF_12/2014</v>
          </cell>
          <cell r="C3603" t="str">
            <v>UN</v>
          </cell>
          <cell r="D3603">
            <v>12.64</v>
          </cell>
        </row>
        <row r="3604">
          <cell r="A3604">
            <v>89755</v>
          </cell>
          <cell r="B3604" t="str">
            <v>LUVA, CPVC, SOLDÁVEL, DN 28MM, INSTALADO EM RAMAL DE DISTRIBUIÇÃO DE ÁGUA   FORNECIMENTO E INSTALAÇÃO. AF_12/2014</v>
          </cell>
          <cell r="C3604" t="str">
            <v>UN</v>
          </cell>
          <cell r="D3604">
            <v>10.48</v>
          </cell>
        </row>
        <row r="3605">
          <cell r="A3605">
            <v>89756</v>
          </cell>
          <cell r="B3605" t="str">
            <v>LUVA DE CORRER, CPVC, SOLDÁVEL, DN 28MM, INSTALADO EM RAMAL DE DISTRIBUIÇÃO DE ÁGUA   FORNECIMENTO E INSTALAÇÃO. AF_12/2014</v>
          </cell>
          <cell r="C3605" t="str">
            <v>UN</v>
          </cell>
          <cell r="D3605">
            <v>18.47</v>
          </cell>
        </row>
        <row r="3606">
          <cell r="A3606">
            <v>89757</v>
          </cell>
          <cell r="B3606" t="str">
            <v>UNIÃO, CPVC, SOLDÁVEL, DN 28MM, INSTALADO EM RAMAL DE DISTRIBUIÇÃO DE ÁGUA   FORNECIMENTO E INSTALAÇÃO. AF_12/2014</v>
          </cell>
          <cell r="C3606" t="str">
            <v>UN</v>
          </cell>
          <cell r="D3606">
            <v>28.64</v>
          </cell>
        </row>
        <row r="3607">
          <cell r="A3607">
            <v>89758</v>
          </cell>
          <cell r="B3607" t="str">
            <v>CONECTOR, CPVC, SOLDÁVEL, DN 28MM X 1 , INSTALADO EM RAMAL DE DISTRIBUIÇÃO DE ÁGUA   FORNECIMENTO E INSTALAÇÃO. AF_12/2014</v>
          </cell>
          <cell r="C3607" t="str">
            <v>UN</v>
          </cell>
          <cell r="D3607">
            <v>45.25</v>
          </cell>
        </row>
        <row r="3608">
          <cell r="A3608">
            <v>89759</v>
          </cell>
          <cell r="B3608" t="str">
            <v>BUCHA DE REDUÇÃO, CPVC, SOLDÁVEL, DN 28MM X 22MM, INSTALADO EM RAMAL DE DISTRIBUIÇÃO DE ÁGUA - FORNECIMENTO E INSTALAÇÃO. AF_12/2014</v>
          </cell>
          <cell r="C3608" t="str">
            <v>UN</v>
          </cell>
          <cell r="D3608">
            <v>6.94</v>
          </cell>
        </row>
        <row r="3609">
          <cell r="A3609">
            <v>89760</v>
          </cell>
          <cell r="B3609" t="str">
            <v>LUVA, CPVC, SOLDÁVEL, DN 35MM, INSTALADO EM RAMAL DE DISTRIBUIÇÃO DE ÁGUA - FORNECIMENTO E INSTALAÇÃO. AF_12/2014</v>
          </cell>
          <cell r="C3609" t="str">
            <v>UN</v>
          </cell>
          <cell r="D3609">
            <v>17.5</v>
          </cell>
        </row>
        <row r="3610">
          <cell r="A3610">
            <v>89761</v>
          </cell>
          <cell r="B3610" t="str">
            <v>LUVA DE CORRER, CPVC, SOLDÁVEL, DN 35MM, INSTALADO EM RAMAL DE DISTRIBUIÇÃO DE ÁGUA - FORNECIMENTO E INSTALAÇÃO. AF_12/2014</v>
          </cell>
          <cell r="C3610" t="str">
            <v>UN</v>
          </cell>
          <cell r="D3610">
            <v>29.43</v>
          </cell>
        </row>
        <row r="3611">
          <cell r="A3611">
            <v>89762</v>
          </cell>
          <cell r="B3611" t="str">
            <v>UNIÃO, CPVC, SOLDÁVEL, DN35MM, INSTALADO EM RAMAL DE DISTRIBUIÇÃO DE ÁGUA - FORNECIMENTO E INSTALAÇÃO. AF_12/2014</v>
          </cell>
          <cell r="C3611" t="str">
            <v>UN</v>
          </cell>
          <cell r="D3611">
            <v>42.23</v>
          </cell>
        </row>
        <row r="3612">
          <cell r="A3612">
            <v>89763</v>
          </cell>
          <cell r="B3612" t="str">
            <v>CONECTOR, CPVC, SOLDÁVEL, DN 35MM X 1 1/4 , INSTALADO EM RAMAL DE DISTRIBUIÇÃO DE ÁGUA - FORNECIMENTO E INSTALAÇÃO. AF_12/2014</v>
          </cell>
          <cell r="C3612" t="str">
            <v>UN</v>
          </cell>
          <cell r="D3612">
            <v>168.85</v>
          </cell>
        </row>
        <row r="3613">
          <cell r="A3613">
            <v>89764</v>
          </cell>
          <cell r="B3613" t="str">
            <v>BUCHA DE REDUÇÃO, CPVC, SOLDÁVEL, DN35MM X 28MM, INSTALADO EM RAMAL DE DISTRIBUIÇÃO DE ÁGUA - FORNECIMENTO E INSTALAÇÃO. AF_12/2014</v>
          </cell>
          <cell r="C3613" t="str">
            <v>UN</v>
          </cell>
          <cell r="D3613">
            <v>32</v>
          </cell>
        </row>
        <row r="3614">
          <cell r="A3614">
            <v>89765</v>
          </cell>
          <cell r="B3614" t="str">
            <v>TE, CPVC, SOLDÁVEL, DN 22MM, INSTALADO EM RAMAL DE DISTRIBUIÇÃO DE ÁGUA - FORNECIMENTO E INSTALAÇÃO. AF_12/2014</v>
          </cell>
          <cell r="C3614" t="str">
            <v>UN</v>
          </cell>
          <cell r="D3614">
            <v>12.57</v>
          </cell>
        </row>
        <row r="3615">
          <cell r="A3615">
            <v>89766</v>
          </cell>
          <cell r="B3615" t="str">
            <v>TE DE TRANSIÇÃO, CPVC, SOLDÁVEL, DN 22MM X 1/2 , INSTALADO EM RAMAL DE DISTRIBUIÇÃO DE ÁGUA   FORNECIMENTO E INSTALAÇÃO. AF_12/2014</v>
          </cell>
          <cell r="C3615" t="str">
            <v>UN</v>
          </cell>
          <cell r="D3615">
            <v>19.260000000000002</v>
          </cell>
        </row>
        <row r="3616">
          <cell r="A3616">
            <v>89767</v>
          </cell>
          <cell r="B3616" t="str">
            <v>TÊ MISTURADOR, CPVC, SOLDÁVEL, DN 22MM, INSTALADO EM RAMAL DE DISTRIBUIÇÃO DE ÁGUA - FORNECIMENTO E INSTALAÇÃO. AF_12/2014</v>
          </cell>
          <cell r="C3616" t="str">
            <v>UN</v>
          </cell>
          <cell r="D3616">
            <v>19.260000000000002</v>
          </cell>
        </row>
        <row r="3617">
          <cell r="A3617">
            <v>89768</v>
          </cell>
          <cell r="B3617" t="str">
            <v>TÊ, CPVC, SOLDÁVEL, DN 28MM, INSTALADO EM RAMAL DE DISTRIBUIÇÃO DE ÁGUA - FORNECIMENTO E INSTALAÇÃO. AF_12/2014</v>
          </cell>
          <cell r="C3617" t="str">
            <v>UN</v>
          </cell>
          <cell r="D3617">
            <v>19.190000000000001</v>
          </cell>
        </row>
        <row r="3618">
          <cell r="A3618">
            <v>89769</v>
          </cell>
          <cell r="B3618" t="str">
            <v>TÊ, CPVC, SOLDÁVEL, DN35MM, INSTALADO EM RAMAL DE DISTRIBUIÇÃO DE ÁGUA - FORNECIMENTO E INSTALAÇÃO. AF_12/2014</v>
          </cell>
          <cell r="C3618" t="str">
            <v>UN</v>
          </cell>
          <cell r="D3618">
            <v>47.38</v>
          </cell>
        </row>
        <row r="3619">
          <cell r="A3619">
            <v>89772</v>
          </cell>
          <cell r="B3619" t="str">
            <v>TUBO, CPVC, SOLDÁVEL, DN 54MM, INSTALADO EM PRUMADA DE ÁGUA  FORNECIMENTO E INSTALAÇÃO. AF_12/2014</v>
          </cell>
          <cell r="C3619" t="str">
            <v>M</v>
          </cell>
          <cell r="D3619">
            <v>79.180000000000007</v>
          </cell>
        </row>
        <row r="3620">
          <cell r="A3620">
            <v>89774</v>
          </cell>
          <cell r="B3620" t="str">
            <v>LUVA SIMPLES, PVC, SERIE NORMAL, ESGOTO PREDIAL, DN 75 MM, JUNTA ELÁSTICA, FORNECIDO E INSTALADO EM RAMAL DE DESCARGA OU RAMAL DE ESGOTO SANITÁRIO. AF_12/2014</v>
          </cell>
          <cell r="C3620" t="str">
            <v>UN</v>
          </cell>
          <cell r="D3620">
            <v>12.02</v>
          </cell>
        </row>
        <row r="3621">
          <cell r="A3621">
            <v>89776</v>
          </cell>
          <cell r="B3621" t="str">
            <v>LUVA DE CORRER, PVC, SERIE NORMAL, ESGOTO PREDIAL, DN 75 MM, JUNTA ELÁSTICA, FORNECIDO E INSTALADO EM RAMAL DE DESCARGA OU RAMAL DE ESGOTO SANITÁRIO. AF_12/2014</v>
          </cell>
          <cell r="C3621" t="str">
            <v>UN</v>
          </cell>
          <cell r="D3621">
            <v>16.11</v>
          </cell>
        </row>
        <row r="3622">
          <cell r="A3622">
            <v>89777</v>
          </cell>
          <cell r="B3622" t="str">
            <v>JOELHO 90 GRAUS, CPVC, SOLDÁVEL, DN 35MM, INSTALADO EM PRUMADA DE ÁGUA  FORNECIMENTO E INSTALAÇÃO. AF_12/2014</v>
          </cell>
          <cell r="C3622" t="str">
            <v>UN</v>
          </cell>
          <cell r="D3622">
            <v>24.38</v>
          </cell>
        </row>
        <row r="3623">
          <cell r="A3623">
            <v>89778</v>
          </cell>
          <cell r="B3623" t="str">
            <v>LUVA SIMPLES, PVC, SERIE NORMAL, ESGOTO PREDIAL, DN 100 MM, JUNTA ELÁSTICA, FORNECIDO E INSTALADO EM RAMAL DE DESCARGA OU RAMAL DE ESGOTO SANITÁRIO. AF_12/2014</v>
          </cell>
          <cell r="C3623" t="str">
            <v>UN</v>
          </cell>
          <cell r="D3623">
            <v>15.21</v>
          </cell>
        </row>
        <row r="3624">
          <cell r="A3624">
            <v>89779</v>
          </cell>
          <cell r="B3624" t="str">
            <v>LUVA DE CORRER, PVC, SERIE NORMAL, ESGOTO PREDIAL, DN 100 MM, JUNTA ELÁSTICA, FORNECIDO E INSTALADO EM RAMAL DE DESCARGA OU RAMAL DE ESGOTO SANITÁRIO. AF_12/2014</v>
          </cell>
          <cell r="C3624" t="str">
            <v>UN</v>
          </cell>
          <cell r="D3624">
            <v>22.79</v>
          </cell>
        </row>
        <row r="3625">
          <cell r="A3625">
            <v>89780</v>
          </cell>
          <cell r="B3625" t="str">
            <v>JOELHO 45 GRAUS, CPVC, SOLDÁVEL, DN 35MM, INSTALADO EM PRUMADA DE ÁGUA - FORNECIMENTO E INSTALAÇÃO. AF_12/2014</v>
          </cell>
          <cell r="C3625" t="str">
            <v>UN</v>
          </cell>
          <cell r="D3625">
            <v>24.38</v>
          </cell>
        </row>
        <row r="3626">
          <cell r="A3626">
            <v>89781</v>
          </cell>
          <cell r="B3626" t="str">
            <v>JOELHO 90 GRAUS, CPVC, SOLDÁVEL, DN 42MM, INSTALADO EM PRUMADA DE ÁGUA  FORNECIMENTO E INSTALAÇÃO. AF_12/2014</v>
          </cell>
          <cell r="C3626" t="str">
            <v>UN</v>
          </cell>
          <cell r="D3626">
            <v>36.700000000000003</v>
          </cell>
        </row>
        <row r="3627">
          <cell r="A3627">
            <v>89782</v>
          </cell>
          <cell r="B3627" t="str">
            <v>TE, PVC, SERIE NORMAL, ESGOTO PREDIAL, DN 40 X 40 MM, JUNTA SOLDÁVEL, FORNECIDO E INSTALADO EM RAMAL DE DESCARGA OU RAMAL DE ESGOTO SANITÁRIO. AF_12/2014</v>
          </cell>
          <cell r="C3627" t="str">
            <v>UN</v>
          </cell>
          <cell r="D3627">
            <v>9.75</v>
          </cell>
        </row>
        <row r="3628">
          <cell r="A3628">
            <v>89783</v>
          </cell>
          <cell r="B3628" t="str">
            <v>JUNÇÃO SIMPLES, PVC, SERIE NORMAL, ESGOTO PREDIAL, DN 40 MM, JUNTA SOLDÁVEL, FORNECIDO E INSTALADO EM RAMAL DE DESCARGA OU RAMAL DE ESGOTO SANITÁRIO. AF_12/2014</v>
          </cell>
          <cell r="C3628" t="str">
            <v>UN</v>
          </cell>
          <cell r="D3628">
            <v>9.9499999999999993</v>
          </cell>
        </row>
        <row r="3629">
          <cell r="A3629">
            <v>89784</v>
          </cell>
          <cell r="B3629" t="str">
            <v>TE, PVC, SERIE NORMAL, ESGOTO PREDIAL, DN 50 X 50 MM, JUNTA ELÁSTICA, FORNECIDO E INSTALADO EM RAMAL DE DESCARGA OU RAMAL DE ESGOTO SANITÁRIO. AF_12/2014</v>
          </cell>
          <cell r="C3629" t="str">
            <v>UN</v>
          </cell>
          <cell r="D3629">
            <v>16</v>
          </cell>
        </row>
        <row r="3630">
          <cell r="A3630">
            <v>89785</v>
          </cell>
          <cell r="B3630" t="str">
            <v>JUNÇÃO SIMPLES, PVC, SERIE NORMAL, ESGOTO PREDIAL, DN 50 X 50 MM, JUNTA ELÁSTICA, FORNECIDO E INSTALADO EM RAMAL DE DESCARGA OU RAMAL DE ESGOTO SANITÁRIO. AF_12/2014</v>
          </cell>
          <cell r="C3630" t="str">
            <v>UN</v>
          </cell>
          <cell r="D3630">
            <v>17.260000000000002</v>
          </cell>
        </row>
        <row r="3631">
          <cell r="A3631">
            <v>89786</v>
          </cell>
          <cell r="B3631" t="str">
            <v>TE, PVC, SERIE NORMAL, ESGOTO PREDIAL, DN 75 X 75 MM, JUNTA ELÁSTICA, FORNECIDO E INSTALADO EM RAMAL DE DESCARGA OU RAMAL DE ESGOTO SANITÁRIO. AF_12/2014</v>
          </cell>
          <cell r="C3631" t="str">
            <v>UN</v>
          </cell>
          <cell r="D3631">
            <v>26.04</v>
          </cell>
        </row>
        <row r="3632">
          <cell r="A3632">
            <v>89787</v>
          </cell>
          <cell r="B3632" t="str">
            <v>JOELHO 45 GRAUS, CPVC, SOLDÁVEL, DN 42MM, INSTALADO EM PRUMADA DE ÁGUA  FORNECIMENTO E INSTALAÇÃO. AF_12/2014</v>
          </cell>
          <cell r="C3632" t="str">
            <v>UN</v>
          </cell>
          <cell r="D3632">
            <v>36.700000000000003</v>
          </cell>
        </row>
        <row r="3633">
          <cell r="A3633">
            <v>89788</v>
          </cell>
          <cell r="B3633" t="str">
            <v>JOELHO 90 GRAUS, CPVC, SOLDÁVEL, DN 54MM, INSTALADO EM PRUMADA DE ÁGUA  FORNECIMENTO E INSTALAÇÃO. AF_12/2014</v>
          </cell>
          <cell r="C3633" t="str">
            <v>UN</v>
          </cell>
          <cell r="D3633">
            <v>72.7</v>
          </cell>
        </row>
        <row r="3634">
          <cell r="A3634">
            <v>89789</v>
          </cell>
          <cell r="B3634" t="str">
            <v>JOELHO 45 GRAUS, CPVC, SOLDÁVEL, DN 54MM, INSTALADO EM PRUMADA DE ÁGUA  FORNECIMENTO E INSTALAÇÃO. AF_12/2014</v>
          </cell>
          <cell r="C3634" t="str">
            <v>UN</v>
          </cell>
          <cell r="D3634">
            <v>73.88</v>
          </cell>
        </row>
        <row r="3635">
          <cell r="A3635">
            <v>89790</v>
          </cell>
          <cell r="B3635" t="str">
            <v>JOELHO 90 GRAUS, CPVC, SOLDÁVEL, DN 73MM, INSTALADO EM PRUMADA DE ÁGUA  FORNECIMENTO E INSTALAÇÃO. AF_12/2014</v>
          </cell>
          <cell r="C3635" t="str">
            <v>UN</v>
          </cell>
          <cell r="D3635">
            <v>181.97</v>
          </cell>
        </row>
        <row r="3636">
          <cell r="A3636">
            <v>89791</v>
          </cell>
          <cell r="B3636" t="str">
            <v>JOELHO 45 GRAUS, CPVC, SOLDÁVEL, DN 73MM, INSTALADO EM PRUMADA DE ÁGUA  FORNECIMENTO E INSTALAÇÃO. AF_12/2014</v>
          </cell>
          <cell r="C3636" t="str">
            <v>UN</v>
          </cell>
          <cell r="D3636">
            <v>186.29</v>
          </cell>
        </row>
        <row r="3637">
          <cell r="A3637">
            <v>89792</v>
          </cell>
          <cell r="B3637" t="str">
            <v>JOELHO 90 GRAUS, CPVC, SOLDÁVEL, DN 89MM, INSTALADO EM PRUMADA DE ÁGUA  FORNECIMENTO E INSTALAÇÃO. AF_12/2014</v>
          </cell>
          <cell r="C3637" t="str">
            <v>UN</v>
          </cell>
          <cell r="D3637">
            <v>213.66</v>
          </cell>
        </row>
        <row r="3638">
          <cell r="A3638">
            <v>89793</v>
          </cell>
          <cell r="B3638" t="str">
            <v>JOELHO 45 GRAUS, CPVC, SOLDÁVEL, DN 89MM, INSTALADO EM PRUMADA DE ÁGUA  FORNECIMENTO E INSTALAÇÃO. AF_12/2014</v>
          </cell>
          <cell r="C3638" t="str">
            <v>UN</v>
          </cell>
          <cell r="D3638">
            <v>219.48</v>
          </cell>
        </row>
        <row r="3639">
          <cell r="A3639">
            <v>89794</v>
          </cell>
          <cell r="B3639" t="str">
            <v>LUVA, CPVC, SOLDÁVEL, DN 35MM, INSTALADO EM PRUMADA DE ÁGUA  FORNECIMENTO E INSTALAÇÃO. AF_12/2014</v>
          </cell>
          <cell r="C3639" t="str">
            <v>UN</v>
          </cell>
          <cell r="D3639">
            <v>16.690000000000001</v>
          </cell>
        </row>
        <row r="3640">
          <cell r="A3640">
            <v>89795</v>
          </cell>
          <cell r="B3640" t="str">
            <v>JUNÇÃO SIMPLES, PVC, SERIE NORMAL, ESGOTO PREDIAL, DN 75 X 75 MM, JUNTA ELÁSTICA, FORNECIDO E INSTALADO EM RAMAL DE DESCARGA OU RAMAL DE ESGOTO SANITÁRIO. AF_12/2014</v>
          </cell>
          <cell r="C3640" t="str">
            <v>UN</v>
          </cell>
          <cell r="D3640">
            <v>27.77</v>
          </cell>
        </row>
        <row r="3641">
          <cell r="A3641">
            <v>89796</v>
          </cell>
          <cell r="B3641" t="str">
            <v>TE, PVC, SERIE NORMAL, ESGOTO PREDIAL, DN 100 X 100 MM, JUNTA ELÁSTICA, FORNECIDO E INSTALADO EM RAMAL DE DESCARGA OU RAMAL DE ESGOTO SANITÁRIO. AF_12/2014</v>
          </cell>
          <cell r="C3641" t="str">
            <v>UN</v>
          </cell>
          <cell r="D3641">
            <v>32.450000000000003</v>
          </cell>
        </row>
        <row r="3642">
          <cell r="A3642">
            <v>89797</v>
          </cell>
          <cell r="B3642" t="str">
            <v>JUNÇÃO SIMPLES, PVC, SERIE NORMAL, ESGOTO PREDIAL, DN 100 X 100 MM, JUNTA ELÁSTICA, FORNECIDO E INSTALADO EM RAMAL DE DESCARGA OU RAMAL DE ESGOTO SANITÁRIO. AF_12/2014</v>
          </cell>
          <cell r="C3642" t="str">
            <v>UN</v>
          </cell>
          <cell r="D3642">
            <v>36.51</v>
          </cell>
        </row>
        <row r="3643">
          <cell r="A3643">
            <v>89801</v>
          </cell>
          <cell r="B3643" t="str">
            <v>JOELHO 90 GRAUS, PVC, SERIE NORMAL, ESGOTO PREDIAL, DN 50 MM, JUNTA ELÁSTICA, FORNECIDO E INSTALADO EM PRUMADA DE ESGOTO SANITÁRIO OU VENTILAÇÃO. AF_12/2014</v>
          </cell>
          <cell r="C3643" t="str">
            <v>UN</v>
          </cell>
          <cell r="D3643">
            <v>5.66</v>
          </cell>
        </row>
        <row r="3644">
          <cell r="A3644">
            <v>89802</v>
          </cell>
          <cell r="B3644" t="str">
            <v>JOELHO 45 GRAUS, PVC, SERIE NORMAL, ESGOTO PREDIAL, DN 50 MM, JUNTA ELÁSTICA, FORNECIDO E INSTALADO EM PRUMADA DE ESGOTO SANITÁRIO OU VENTILAÇÃO. AF_12/2014</v>
          </cell>
          <cell r="C3644" t="str">
            <v>UN</v>
          </cell>
          <cell r="D3644">
            <v>6.11</v>
          </cell>
        </row>
        <row r="3645">
          <cell r="A3645">
            <v>89803</v>
          </cell>
          <cell r="B3645" t="str">
            <v>CURVA CURTA 90 GRAUS, PVC, SERIE NORMAL, ESGOTO PREDIAL, DN 50 MM, JUNTA ELÁSTICA, FORNECIDO E INSTALADO EM PRUMADA DE ESGOTO SANITÁRIO OU VENTILAÇÃO. AF_12/2014</v>
          </cell>
          <cell r="C3645" t="str">
            <v>UN</v>
          </cell>
          <cell r="D3645">
            <v>10.87</v>
          </cell>
        </row>
        <row r="3646">
          <cell r="A3646">
            <v>89804</v>
          </cell>
          <cell r="B3646" t="str">
            <v>CURVA LONGA 90 GRAUS, PVC, SERIE NORMAL, ESGOTO PREDIAL, DN 50 MM, JUNTA ELÁSTICA, FORNECIDO E INSTALADO EM PRUMADA DE ESGOTO SANITÁRIO OU VENTILAÇÃO. AF_12/2014</v>
          </cell>
          <cell r="C3646" t="str">
            <v>UN</v>
          </cell>
          <cell r="D3646">
            <v>11.6</v>
          </cell>
        </row>
        <row r="3647">
          <cell r="A3647">
            <v>89805</v>
          </cell>
          <cell r="B3647" t="str">
            <v>JOELHO 90 GRAUS, PVC, SERIE NORMAL, ESGOTO PREDIAL, DN 75 MM, JUNTA ELÁSTICA, FORNECIDO E INSTALADO EM PRUMADA DE ESGOTO SANITÁRIO OU VENTILAÇÃO. AF_12/2014</v>
          </cell>
          <cell r="C3647" t="str">
            <v>UN</v>
          </cell>
          <cell r="D3647">
            <v>11.04</v>
          </cell>
        </row>
        <row r="3648">
          <cell r="A3648">
            <v>89806</v>
          </cell>
          <cell r="B3648" t="str">
            <v>JOELHO 45 GRAUS, PVC, SERIE NORMAL, ESGOTO PREDIAL, DN 75 MM, JUNTA ELÁSTICA, FORNECIDO E INSTALADO EM PRUMADA DE ESGOTO SANITÁRIO OU VENTILAÇÃO. AF_12/2014</v>
          </cell>
          <cell r="C3648" t="str">
            <v>UN</v>
          </cell>
          <cell r="D3648">
            <v>11.67</v>
          </cell>
        </row>
        <row r="3649">
          <cell r="A3649">
            <v>89807</v>
          </cell>
          <cell r="B3649" t="str">
            <v>CURVA CURTA 90 GRAUS, PVC, SERIE NORMAL, ESGOTO PREDIAL, DN 75 MM, JUNTA ELÁSTICA, FORNECIDO E INSTALADO EM PRUMADA DE ESGOTO SANITÁRIO OU VENTILAÇÃO. AF_12/2014</v>
          </cell>
          <cell r="C3649" t="str">
            <v>UN</v>
          </cell>
          <cell r="D3649">
            <v>20.07</v>
          </cell>
        </row>
        <row r="3650">
          <cell r="A3650">
            <v>89808</v>
          </cell>
          <cell r="B3650" t="str">
            <v>CURVA LONGA 90 GRAUS, PVC, SERIE NORMAL, ESGOTO PREDIAL, DN 75 MM, JUNTA ELÁSTICA, FORNECIDO E INSTALADO EM PRUMADA DE ESGOTO SANITÁRIO OU VENTILAÇÃO. AF_12/2014</v>
          </cell>
          <cell r="C3650" t="str">
            <v>UN</v>
          </cell>
          <cell r="D3650">
            <v>29.13</v>
          </cell>
        </row>
        <row r="3651">
          <cell r="A3651">
            <v>89809</v>
          </cell>
          <cell r="B3651" t="str">
            <v>JOELHO 90 GRAUS, PVC, SERIE NORMAL, ESGOTO PREDIAL, DN 100 MM, JUNTA ELÁSTICA, FORNECIDO E INSTALADO EM PRUMADA DE ESGOTO SANITÁRIO OU VENTILAÇÃO. AF_12/2014</v>
          </cell>
          <cell r="C3651" t="str">
            <v>UN</v>
          </cell>
          <cell r="D3651">
            <v>14.86</v>
          </cell>
        </row>
        <row r="3652">
          <cell r="A3652">
            <v>89810</v>
          </cell>
          <cell r="B3652" t="str">
            <v>JOELHO 45 GRAUS, PVC, SERIE NORMAL, ESGOTO PREDIAL, DN 100 MM, JUNTA ELÁSTICA, FORNECIDO E INSTALADO EM PRUMADA DE ESGOTO SANITÁRIO OU VENTILAÇÃO. AF_12/2014</v>
          </cell>
          <cell r="C3652" t="str">
            <v>UN</v>
          </cell>
          <cell r="D3652">
            <v>14.82</v>
          </cell>
        </row>
        <row r="3653">
          <cell r="A3653">
            <v>89811</v>
          </cell>
          <cell r="B3653" t="str">
            <v>CURVA CURTA 90 GRAUS, PVC, SERIE NORMAL, ESGOTO PREDIAL, DN 100 MM, JUNTA ELÁSTICA, FORNECIDO E INSTALADO EM PRUMADA DE ESGOTO SANITÁRIO OU VENTILAÇÃO. AF_12/2014</v>
          </cell>
          <cell r="C3653" t="str">
            <v>UN</v>
          </cell>
          <cell r="D3653">
            <v>24.69</v>
          </cell>
        </row>
        <row r="3654">
          <cell r="A3654">
            <v>89812</v>
          </cell>
          <cell r="B3654" t="str">
            <v>CURVA LONGA 90 GRAUS, PVC, SERIE NORMAL, ESGOTO PREDIAL, DN 100 MM, JUNTA ELÁSTICA, FORNECIDO E INSTALADO EM PRUMADA DE ESGOTO SANITÁRIO OU VENTILAÇÃO. AF_12/2014</v>
          </cell>
          <cell r="C3654" t="str">
            <v>UN</v>
          </cell>
          <cell r="D3654">
            <v>42.12</v>
          </cell>
        </row>
        <row r="3655">
          <cell r="A3655">
            <v>89813</v>
          </cell>
          <cell r="B3655" t="str">
            <v>LUVA SIMPLES, PVC, SERIE NORMAL, ESGOTO PREDIAL, DN 50 MM, JUNTA ELÁSTICA, FORNECIDO E INSTALADO EM PRUMADA DE ESGOTO SANITÁRIO OU VENTILAÇÃO. AF_12/2014</v>
          </cell>
          <cell r="C3655" t="str">
            <v>UN</v>
          </cell>
          <cell r="D3655">
            <v>5.58</v>
          </cell>
        </row>
        <row r="3656">
          <cell r="A3656">
            <v>89814</v>
          </cell>
          <cell r="B3656" t="str">
            <v>LUVA DE CORRER, PVC, SERIE NORMAL, ESGOTO PREDIAL, DN 50 MM, JUNTA ELÁSTICA, FORNECIDO E INSTALADO EM PRUMADA DE ESGOTO SANITÁRIO OU VENTILAÇÃO. AF_12/2014</v>
          </cell>
          <cell r="C3656" t="str">
            <v>UN</v>
          </cell>
          <cell r="D3656">
            <v>10.87</v>
          </cell>
        </row>
        <row r="3657">
          <cell r="A3657">
            <v>89815</v>
          </cell>
          <cell r="B3657" t="str">
            <v>LUVA DE CORRER, CPVC, SOLDÁVEL, DN 35MM, INSTALADO EM PRUMADA DE ÁGUA  FORNECIMENTO E INSTALAÇÃO. AF_12/2014</v>
          </cell>
          <cell r="C3657" t="str">
            <v>UN</v>
          </cell>
          <cell r="D3657">
            <v>28.62</v>
          </cell>
        </row>
        <row r="3658">
          <cell r="A3658">
            <v>89816</v>
          </cell>
          <cell r="B3658" t="str">
            <v>UNIÃO, CPVC, SOLDÁVEL, DN35MM, INSTALADO EM PRUMADA DE ÁGUA  FORNECIMENTO E INSTALAÇÃO. AF_12/2014</v>
          </cell>
          <cell r="C3658" t="str">
            <v>UN</v>
          </cell>
          <cell r="D3658">
            <v>41.42</v>
          </cell>
        </row>
        <row r="3659">
          <cell r="A3659">
            <v>89817</v>
          </cell>
          <cell r="B3659" t="str">
            <v>LUVA SIMPLES, PVC, SERIE NORMAL, ESGOTO PREDIAL, DN 75 MM, JUNTA ELÁSTICA, FORNECIDO E INSTALADO EM PRUMADA DE ESGOTO SANITÁRIO OU VENTILAÇÃO. AF_12/2014</v>
          </cell>
          <cell r="C3659" t="str">
            <v>UN</v>
          </cell>
          <cell r="D3659">
            <v>9.56</v>
          </cell>
        </row>
        <row r="3660">
          <cell r="A3660">
            <v>89818</v>
          </cell>
          <cell r="B3660" t="str">
            <v>CONECTOR, CPVC, SOLDÁVEL, DN 35MM X 1 1/4, INSTALADO EM PRUMADA DE ÁGUA  FORNECIMENTO E INSTALAÇÃO. AF_12/2014</v>
          </cell>
          <cell r="C3660" t="str">
            <v>UN</v>
          </cell>
          <cell r="D3660">
            <v>168.04</v>
          </cell>
        </row>
        <row r="3661">
          <cell r="A3661">
            <v>89819</v>
          </cell>
          <cell r="B3661" t="str">
            <v>LUVA DE CORRER, PVC, SERIE NORMAL, ESGOTO PREDIAL, DN 75 MM, JUNTA ELÁSTICA, FORNECIDO E INSTALADO EM PRUMADA DE ESGOTO SANITÁRIO OU VENTILAÇÃO. AF_12/2014</v>
          </cell>
          <cell r="C3661" t="str">
            <v>UN</v>
          </cell>
          <cell r="D3661">
            <v>13.65</v>
          </cell>
        </row>
        <row r="3662">
          <cell r="A3662">
            <v>89820</v>
          </cell>
          <cell r="B3662" t="str">
            <v>BUCHA DE REDUÇÃO, CPVC, SOLDÁVEL, DN35MM X 28MM, INSTALADO EM PRUMADA DE ÁGUA  FORNECIMENTO E INSTALAÇÃO. AF_12/2014</v>
          </cell>
          <cell r="C3662" t="str">
            <v>UN</v>
          </cell>
          <cell r="D3662">
            <v>31.19</v>
          </cell>
        </row>
        <row r="3663">
          <cell r="A3663">
            <v>89821</v>
          </cell>
          <cell r="B3663" t="str">
            <v>LUVA SIMPLES, PVC, SERIE NORMAL, ESGOTO PREDIAL, DN 100 MM, JUNTA ELÁSTICA, FORNECIDO E INSTALADO EM PRUMADA DE ESGOTO SANITÁRIO OU VENTILAÇÃO. AF_12/2014</v>
          </cell>
          <cell r="C3663" t="str">
            <v>UN</v>
          </cell>
          <cell r="D3663">
            <v>12.04</v>
          </cell>
        </row>
        <row r="3664">
          <cell r="A3664">
            <v>89822</v>
          </cell>
          <cell r="B3664" t="str">
            <v>LUVA, CPVC, SOLDÁVEL, DN 42MM, INSTALADO EM PRUMADA DE ÁGUA  FORNECIMENTO E INSTALAÇÃO. AF_12/2014</v>
          </cell>
          <cell r="C3664" t="str">
            <v>UN</v>
          </cell>
          <cell r="D3664">
            <v>22.05</v>
          </cell>
        </row>
        <row r="3665">
          <cell r="A3665">
            <v>89823</v>
          </cell>
          <cell r="B3665" t="str">
            <v>LUVA DE CORRER, PVC, SERIE NORMAL, ESGOTO PREDIAL, DN 100 MM, JUNTA ELÁSTICA, FORNECIDO E INSTALADO EM PRUMADA DE ESGOTO SANITÁRIO OU VENTILAÇÃO. AF_12/2014</v>
          </cell>
          <cell r="C3665" t="str">
            <v>UN</v>
          </cell>
          <cell r="D3665">
            <v>19.62</v>
          </cell>
        </row>
        <row r="3666">
          <cell r="A3666">
            <v>89824</v>
          </cell>
          <cell r="B3666" t="str">
            <v>LUVA DE CORRER, CPVC, SOLDÁVEL, DN 42MM, INSTALADO EM PRUMADA DE ÁGUA  FORNECIMENTO E INSTALAÇÃO. AF_12/2014</v>
          </cell>
          <cell r="C3666" t="str">
            <v>UN</v>
          </cell>
          <cell r="D3666">
            <v>39.06</v>
          </cell>
        </row>
        <row r="3667">
          <cell r="A3667">
            <v>89825</v>
          </cell>
          <cell r="B3667" t="str">
            <v>TE, PVC, SERIE NORMAL, ESGOTO PREDIAL, DN 50 X 50 MM, JUNTA ELÁSTICA, FORNECIDO E INSTALADO EM PRUMADA DE ESGOTO SANITÁRIO OU VENTILAÇÃO. AF_12/2014</v>
          </cell>
          <cell r="C3667" t="str">
            <v>UN</v>
          </cell>
          <cell r="D3667">
            <v>12.12</v>
          </cell>
        </row>
        <row r="3668">
          <cell r="A3668">
            <v>89826</v>
          </cell>
          <cell r="B3668" t="str">
            <v>LUVA DE TRANSIÇÃO, CPVC, SOLDÁVEL, DN42MM X 1.1/2, INSTALADO EM PRUMADA DE ÁGUA  FORNECIMENTO E INSTALAÇÃO. AF_12/2014</v>
          </cell>
          <cell r="C3668" t="str">
            <v>UN</v>
          </cell>
          <cell r="D3668">
            <v>171.47</v>
          </cell>
        </row>
        <row r="3669">
          <cell r="A3669">
            <v>89827</v>
          </cell>
          <cell r="B3669" t="str">
            <v>JUNÇÃO SIMPLES, PVC, SERIE NORMAL, ESGOTO PREDIAL, DN 50 X 50 MM, JUNTA ELÁSTICA, FORNECIDO E INSTALADO EM PRUMADA DE ESGOTO SANITÁRIO OU VENTILAÇÃO. AF_12/2014</v>
          </cell>
          <cell r="C3669" t="str">
            <v>UN</v>
          </cell>
          <cell r="D3669">
            <v>13.38</v>
          </cell>
        </row>
        <row r="3670">
          <cell r="A3670">
            <v>89828</v>
          </cell>
          <cell r="B3670" t="str">
            <v>UNIÃO, CPVC, SOLDÁVEL, DN42MM, INSTALADO EM PRUMADA DE ÁGUA  FORNECIMENTO E INSTALAÇÃO. AF_12/2014</v>
          </cell>
          <cell r="C3670" t="str">
            <v>UN</v>
          </cell>
          <cell r="D3670">
            <v>60.04</v>
          </cell>
        </row>
        <row r="3671">
          <cell r="A3671">
            <v>89829</v>
          </cell>
          <cell r="B3671" t="str">
            <v>TE, PVC, SERIE NORMAL, ESGOTO PREDIAL, DN 75 X 75 MM, JUNTA ELÁSTICA, FORNECIDO E INSTALADO EM PRUMADA DE ESGOTO SANITÁRIO OU VENTILAÇÃO. AF_12/2014</v>
          </cell>
          <cell r="C3671" t="str">
            <v>UN</v>
          </cell>
          <cell r="D3671">
            <v>21.1</v>
          </cell>
        </row>
        <row r="3672">
          <cell r="A3672">
            <v>89830</v>
          </cell>
          <cell r="B3672" t="str">
            <v>JUNÇÃO SIMPLES, PVC, SERIE NORMAL, ESGOTO PREDIAL, DN 75 X 75 MM, JUNTA ELÁSTICA, FORNECIDO E INSTALADO EM PRUMADA DE ESGOTO SANITÁRIO OU VENTILAÇÃO. AF_12/2014</v>
          </cell>
          <cell r="C3672" t="str">
            <v>UN</v>
          </cell>
          <cell r="D3672">
            <v>22.83</v>
          </cell>
        </row>
        <row r="3673">
          <cell r="A3673">
            <v>89831</v>
          </cell>
          <cell r="B3673" t="str">
            <v>CONECTOR, CPVC, SOLDÁVEL, DN 42MM X 1.1/2, INSTALADO EM PRUMADA DE ÁGUA  FORNECIMENTO E INSTALAÇÃO. AF_12/2014</v>
          </cell>
          <cell r="C3673" t="str">
            <v>UN</v>
          </cell>
          <cell r="D3673">
            <v>205.23</v>
          </cell>
        </row>
        <row r="3674">
          <cell r="A3674">
            <v>89832</v>
          </cell>
          <cell r="B3674" t="str">
            <v>BUCHA DE REDUÇÃO, CPVC, SOLDÁVEL, DN 42MM X 22MM, INSTALADO EM RAMAL DE DISTRIBUIÇÃO DE ÁGUA - FORNECIMENTO E INSTALAÇÃO. AF_12/2014</v>
          </cell>
          <cell r="C3674" t="str">
            <v>UN</v>
          </cell>
          <cell r="D3674">
            <v>40.99</v>
          </cell>
        </row>
        <row r="3675">
          <cell r="A3675">
            <v>89833</v>
          </cell>
          <cell r="B3675" t="str">
            <v>TE, PVC, SERIE NORMAL, ESGOTO PREDIAL, DN 100 X 100 MM, JUNTA ELÁSTICA, FORNECIDO E INSTALADO EM PRUMADA DE ESGOTO SANITÁRIO OU VENTILAÇÃO. AF_12/2014</v>
          </cell>
          <cell r="C3675" t="str">
            <v>UN</v>
          </cell>
          <cell r="D3675">
            <v>26.46</v>
          </cell>
        </row>
        <row r="3676">
          <cell r="A3676">
            <v>89834</v>
          </cell>
          <cell r="B3676" t="str">
            <v>JUNÇÃO SIMPLES, PVC, SERIE NORMAL, ESGOTO PREDIAL, DN 100 X 100 MM, JUNTA ELÁSTICA, FORNECIDO E INSTALADO EM PRUMADA DE ESGOTO SANITÁRIO OU VENTILAÇÃO. AF_12/2014</v>
          </cell>
          <cell r="C3676" t="str">
            <v>UN</v>
          </cell>
          <cell r="D3676">
            <v>30.52</v>
          </cell>
        </row>
        <row r="3677">
          <cell r="A3677">
            <v>89835</v>
          </cell>
          <cell r="B3677" t="str">
            <v>LUVA, CPVC, SOLDÁVEL, DN 54MM, INSTALADO EM PRUMADA DE ÁGUA  FORNECIMENTO E INSTALAÇÃO. AF_12/2014</v>
          </cell>
          <cell r="C3677" t="str">
            <v>UN</v>
          </cell>
          <cell r="D3677">
            <v>40.1</v>
          </cell>
        </row>
        <row r="3678">
          <cell r="A3678">
            <v>89836</v>
          </cell>
          <cell r="B3678" t="str">
            <v>LUVA DE TRANSIÇÃO, CPVC, SOLDÁVEL, DN 54MM X 2, INSTALADO EM PRUMADA DE ÁGUA  FORNECIMENTO E INSTALAÇÃO. AF_12/2014</v>
          </cell>
          <cell r="C3678" t="str">
            <v>UN</v>
          </cell>
          <cell r="D3678">
            <v>277.42</v>
          </cell>
        </row>
        <row r="3679">
          <cell r="A3679">
            <v>89837</v>
          </cell>
          <cell r="B3679" t="str">
            <v>UNIÃO, CPVC, SOLDÁVEL, DN 54MM, INSTALADO EM PRUMADA DE ÁGUA  FORNECIMENTO E INSTALAÇÃO. AF_12/2014</v>
          </cell>
          <cell r="C3679" t="str">
            <v>UN</v>
          </cell>
          <cell r="D3679">
            <v>137.49</v>
          </cell>
        </row>
        <row r="3680">
          <cell r="A3680">
            <v>89838</v>
          </cell>
          <cell r="B3680" t="str">
            <v>LUVA, CPVC, SOLDÁVEL, DN 73MM, INSTALADO EM PRUMADA DE ÁGUA  FORNECIMENTO E INSTALAÇÃO. AF_12/2014</v>
          </cell>
          <cell r="C3680" t="str">
            <v>UN</v>
          </cell>
          <cell r="D3680">
            <v>149.93</v>
          </cell>
        </row>
        <row r="3681">
          <cell r="A3681">
            <v>89839</v>
          </cell>
          <cell r="B3681" t="str">
            <v>UNIÃO, CPVC, SOLDÁVEL, DN 73MM, INSTALADO EM PRUMADA DE ÁGUA  FORNECIMENTO E INSTALAÇÃO. AF_12/2014</v>
          </cell>
          <cell r="C3681" t="str">
            <v>UN</v>
          </cell>
          <cell r="D3681">
            <v>199.27</v>
          </cell>
        </row>
        <row r="3682">
          <cell r="A3682">
            <v>89840</v>
          </cell>
          <cell r="B3682" t="str">
            <v>LUVA, CPVC, SOLDÁVEL, DN 89MM, INSTALADO EM PRUMADA DE ÁGUA  FORNECIMENTO E INSTALAÇÃO. AF_12/2014</v>
          </cell>
          <cell r="C3682" t="str">
            <v>UN</v>
          </cell>
          <cell r="D3682">
            <v>172.45</v>
          </cell>
        </row>
        <row r="3683">
          <cell r="A3683">
            <v>89841</v>
          </cell>
          <cell r="B3683" t="str">
            <v>UNIÃO, CPVC, SOLDÁVEL, DN 89MM, INSTALADO EM PRUMADA DE ÁGUA  FORNECIMENTO E INSTALAÇÃO. AF_12/2014</v>
          </cell>
          <cell r="C3683" t="str">
            <v>UN</v>
          </cell>
          <cell r="D3683">
            <v>292.75</v>
          </cell>
        </row>
        <row r="3684">
          <cell r="A3684">
            <v>89842</v>
          </cell>
          <cell r="B3684" t="str">
            <v>TÊ, CPVC, SOLDÁVEL, DN 35MM, INSTALADO EM PRUMADA DE ÁGUA  FORNECIMENTO E INSTALAÇÃO. AF_12/2014</v>
          </cell>
          <cell r="C3684" t="str">
            <v>UN</v>
          </cell>
          <cell r="D3684">
            <v>45.76</v>
          </cell>
        </row>
        <row r="3685">
          <cell r="A3685">
            <v>89844</v>
          </cell>
          <cell r="B3685" t="str">
            <v>TE, CPVC, SOLDÁVEL, DN  42MM, INSTALADO EM PRUMADA DE ÁGUA  FORNECIMENTO E INSTALAÇÃO. AF_12/2014</v>
          </cell>
          <cell r="C3685" t="str">
            <v>UN</v>
          </cell>
          <cell r="D3685">
            <v>58.48</v>
          </cell>
        </row>
        <row r="3686">
          <cell r="A3686">
            <v>89845</v>
          </cell>
          <cell r="B3686" t="str">
            <v>TÊ, CPVC, SOLDÁVEL, DN 54 MM, INSTALADO EM PRUMADA DE ÁGUA  FORNECIMENTO E INSTALAÇÃO. AF_12/2014</v>
          </cell>
          <cell r="C3686" t="str">
            <v>UN</v>
          </cell>
          <cell r="D3686">
            <v>91.44</v>
          </cell>
        </row>
        <row r="3687">
          <cell r="A3687">
            <v>89846</v>
          </cell>
          <cell r="B3687" t="str">
            <v>TÊ, CPVC, SOLDÁVEL, DN 73MM, INSTALADO EM PRUMADA DE ÁGUA  FORNECIMENTO E INSTALAÇÃO. AF_12/2014</v>
          </cell>
          <cell r="C3687" t="str">
            <v>UN</v>
          </cell>
          <cell r="D3687">
            <v>208.23</v>
          </cell>
        </row>
        <row r="3688">
          <cell r="A3688">
            <v>89847</v>
          </cell>
          <cell r="B3688" t="str">
            <v>TÊ, CPVC, SOLDÁVEL, DN 89MM, INSTALADO EM PRUMADA DE ÁGUA  FORNECIMENTO E INSTALAÇÃO. AF_12/2014</v>
          </cell>
          <cell r="C3688" t="str">
            <v>UN</v>
          </cell>
          <cell r="D3688">
            <v>255.67</v>
          </cell>
        </row>
        <row r="3689">
          <cell r="A3689">
            <v>89850</v>
          </cell>
          <cell r="B3689" t="str">
            <v>JOELHO 90 GRAUS, PVC, SERIE NORMAL, ESGOTO PREDIAL, DN 100 MM, JUNTA ELÁSTICA, FORNECIDO E INSTALADO EM SUBCOLETOR AÉREO DE ESGOTO SANITÁRIO. AF_12/2014</v>
          </cell>
          <cell r="C3689" t="str">
            <v>UN</v>
          </cell>
          <cell r="D3689">
            <v>19.100000000000001</v>
          </cell>
        </row>
        <row r="3690">
          <cell r="A3690">
            <v>89851</v>
          </cell>
          <cell r="B3690" t="str">
            <v>JOELHO 45 GRAUS, PVC, SERIE NORMAL, ESGOTO PREDIAL, DN 100 MM, JUNTA ELÁSTICA, FORNECIDO E INSTALADO EM SUBCOLETOR AÉREO DE ESGOTO SANITÁRIO. AF_12/2014</v>
          </cell>
          <cell r="C3690" t="str">
            <v>UN</v>
          </cell>
          <cell r="D3690">
            <v>19.059999999999999</v>
          </cell>
        </row>
        <row r="3691">
          <cell r="A3691">
            <v>89852</v>
          </cell>
          <cell r="B3691" t="str">
            <v>CURVA CURTA 90 GRAUS, PVC, SERIE NORMAL, ESGOTO PREDIAL, DN 100 MM, JUNTA ELÁSTICA, FORNECIDO E INSTALADO EM SUBCOLETOR AÉREO DE ESGOTO SANITÁRIO. AF_12/2014</v>
          </cell>
          <cell r="C3691" t="str">
            <v>UN</v>
          </cell>
          <cell r="D3691">
            <v>28.93</v>
          </cell>
        </row>
        <row r="3692">
          <cell r="A3692">
            <v>89853</v>
          </cell>
          <cell r="B3692" t="str">
            <v>CURVA LONGA 90 GRAUS, PVC, SERIE NORMAL, ESGOTO PREDIAL, DN 100 MM, JUNTA ELÁSTICA, FORNECIDO E INSTALADO EM SUBCOLETOR AÉREO DE ESGOTO SANITÁRIO. AF_12/2014</v>
          </cell>
          <cell r="C3692" t="str">
            <v>UN</v>
          </cell>
          <cell r="D3692">
            <v>46.36</v>
          </cell>
        </row>
        <row r="3693">
          <cell r="A3693">
            <v>89854</v>
          </cell>
          <cell r="B3693" t="str">
            <v>JOELHO 90 GRAUS, PVC, SERIE NORMAL, ESGOTO PREDIAL, DN 150 MM, JUNTA ELÁSTICA, FORNECIDO E INSTALADO EM SUBCOLETOR AÉREO DE ESGOTO SANITÁRIO. AF_12/2014</v>
          </cell>
          <cell r="C3693" t="str">
            <v>UN</v>
          </cell>
          <cell r="D3693">
            <v>62.21</v>
          </cell>
        </row>
        <row r="3694">
          <cell r="A3694">
            <v>89855</v>
          </cell>
          <cell r="B3694" t="str">
            <v>JOELHO 45 GRAUS, PVC, SERIE NORMAL, ESGOTO PREDIAL, DN 150 MM, JUNTA ELÁSTICA, FORNECIDO E INSTALADO EM SUBCOLETOR AÉREO DE ESGOTO SANITÁRIO. AF_12/2014</v>
          </cell>
          <cell r="C3694" t="str">
            <v>UN</v>
          </cell>
          <cell r="D3694">
            <v>65.72</v>
          </cell>
        </row>
        <row r="3695">
          <cell r="A3695">
            <v>89856</v>
          </cell>
          <cell r="B3695" t="str">
            <v>LUVA SIMPLES, PVC, SERIE NORMAL, ESGOTO PREDIAL, DN 100 MM, JUNTA ELÁSTICA, FORNECIDO E INSTALADO EM SUBCOLETOR AÉREO DE ESGOTO SANITÁRIO. AF_12/2014</v>
          </cell>
          <cell r="C3695" t="str">
            <v>UN</v>
          </cell>
          <cell r="D3695">
            <v>14.86</v>
          </cell>
        </row>
        <row r="3696">
          <cell r="A3696">
            <v>89857</v>
          </cell>
          <cell r="B3696" t="str">
            <v>LUVA DE CORRER, PVC, SERIE NORMAL, ESGOTO PREDIAL, DN 100 MM, JUNTA ELÁSTICA, FORNECIDO E INSTALADO EM SUBCOLETOR AÉREO DE ESGOTO SANITÁRIO. AF_12/2014</v>
          </cell>
          <cell r="C3696" t="str">
            <v>UN</v>
          </cell>
          <cell r="D3696">
            <v>22.44</v>
          </cell>
        </row>
        <row r="3697">
          <cell r="A3697">
            <v>89859</v>
          </cell>
          <cell r="B3697" t="str">
            <v>LUVA DE CORRER, PVC, SERIE NORMAL, ESGOTO PREDIAL, DN 150 MM, JUNTA ELÁSTICA, FORNECIDO E INSTALADO EM SUBCOLETOR AÉREO DE ESGOTO SANITÁRIO. AF_12/2014</v>
          </cell>
          <cell r="C3697" t="str">
            <v>UN</v>
          </cell>
          <cell r="D3697">
            <v>56.52</v>
          </cell>
        </row>
        <row r="3698">
          <cell r="A3698">
            <v>89860</v>
          </cell>
          <cell r="B3698" t="str">
            <v>TE, PVC, SERIE NORMAL, ESGOTO PREDIAL, DN 100 X 100 MM, JUNTA ELÁSTICA, FORNECIDO E INSTALADO EM SUBCOLETOR AÉREO DE ESGOTO SANITÁRIO. AF_12/2014</v>
          </cell>
          <cell r="C3698" t="str">
            <v>UN</v>
          </cell>
          <cell r="D3698">
            <v>32.1</v>
          </cell>
        </row>
        <row r="3699">
          <cell r="A3699">
            <v>89861</v>
          </cell>
          <cell r="B3699" t="str">
            <v>JUNÇÃO SIMPLES, PVC, SERIE NORMAL, ESGOTO PREDIAL, DN 100 X 100 MM, JUNTA ELÁSTICA, FORNECIDO E INSTALADO EM SUBCOLETOR AÉREO DE ESGOTO SANITÁRIO. AF_12/2014</v>
          </cell>
          <cell r="C3699" t="str">
            <v>UN</v>
          </cell>
          <cell r="D3699">
            <v>36.159999999999997</v>
          </cell>
        </row>
        <row r="3700">
          <cell r="A3700">
            <v>89862</v>
          </cell>
          <cell r="B3700" t="str">
            <v>TE, PVC, SERIE NORMAL, ESGOTO PREDIAL, DN 150 X 150 MM, JUNTA ELÁSTICA, FORNECIDO E INSTALADO EM SUBCOLETOR AÉREO DE ESGOTO SANITÁRIO. AF_12/2014</v>
          </cell>
          <cell r="C3700" t="str">
            <v>UN</v>
          </cell>
          <cell r="D3700">
            <v>71.099999999999994</v>
          </cell>
        </row>
        <row r="3701">
          <cell r="A3701">
            <v>89863</v>
          </cell>
          <cell r="B3701" t="str">
            <v>JUNÇÃO SIMPLES, PVC, SERIE NORMAL, ESGOTO PREDIAL, DN 150 X 150 MM, JUNTA ELÁSTICA, FORNECIDO E INSTALADO EM SUBCOLETOR AÉREO DE ESGOTO SANITÁRIO. AF_12/2014</v>
          </cell>
          <cell r="C3701" t="str">
            <v>UN</v>
          </cell>
          <cell r="D3701">
            <v>138.94999999999999</v>
          </cell>
        </row>
        <row r="3702">
          <cell r="A3702">
            <v>89866</v>
          </cell>
          <cell r="B3702" t="str">
            <v>JOELHO 90 GRAUS, PVC, SOLDÁVEL, DN 25MM, INSTALADO EM DRENO DE AR-CONDICIONADO - FORNECIMENTO E INSTALAÇÃO. AF_12/2014</v>
          </cell>
          <cell r="C3702" t="str">
            <v>UN</v>
          </cell>
          <cell r="D3702">
            <v>4.2</v>
          </cell>
        </row>
        <row r="3703">
          <cell r="A3703">
            <v>89867</v>
          </cell>
          <cell r="B3703" t="str">
            <v>JOELHO 45 GRAUS, PVC, SOLDÁVEL, DN 25MM, INSTALADO EM DRENO DE AR-CONDICIONADO - FORNECIMENTO E INSTALAÇÃO. AF_12/2014</v>
          </cell>
          <cell r="C3703" t="str">
            <v>UN</v>
          </cell>
          <cell r="D3703">
            <v>4.78</v>
          </cell>
        </row>
        <row r="3704">
          <cell r="A3704">
            <v>89868</v>
          </cell>
          <cell r="B3704" t="str">
            <v>LUVA, PVC, SOLDÁVEL, DN 25MM, INSTALADO EM DRENO DE AR-CONDICIONADO - FORNECIMENTO E INSTALAÇÃO. AF_12/2014</v>
          </cell>
          <cell r="C3704" t="str">
            <v>UN</v>
          </cell>
          <cell r="D3704">
            <v>3.18</v>
          </cell>
        </row>
        <row r="3705">
          <cell r="A3705">
            <v>89869</v>
          </cell>
          <cell r="B3705" t="str">
            <v>TE, PVC, SOLDÁVEL, DN 25MM, INSTALADO EM DRENO DE AR-CONDICIONADO - FORNECIMENTO E INSTALAÇÃO. AF_12/2014</v>
          </cell>
          <cell r="C3705" t="str">
            <v>UN</v>
          </cell>
          <cell r="D3705">
            <v>7</v>
          </cell>
        </row>
        <row r="3706">
          <cell r="A3706">
            <v>89979</v>
          </cell>
          <cell r="B3706" t="str">
            <v>LUVA COM BUCHA DE LATÃO, PVC, SOLDÁVEL, DN 32MM X 1 , INSTALADO EM RAMAL OU SUB-RAMAL DE ÁGUA   FORNECIMENTO E INSTALAÇÃO. AF_12/2014</v>
          </cell>
          <cell r="C3706" t="str">
            <v>UN</v>
          </cell>
          <cell r="D3706">
            <v>19.760000000000002</v>
          </cell>
        </row>
        <row r="3707">
          <cell r="A3707">
            <v>89980</v>
          </cell>
          <cell r="B3707" t="str">
            <v>LUVA COM BUCHA DE LATÃO, PVC, SOLDÁVEL, DN 25MM X 3/4, INSTALADO EM PRUMADA DE ÁGUA - FORNECIMENTO E INSTALAÇÃO. AF_12/2014</v>
          </cell>
          <cell r="C3707" t="str">
            <v>UN</v>
          </cell>
          <cell r="D3707">
            <v>7.68</v>
          </cell>
        </row>
        <row r="3708">
          <cell r="A3708">
            <v>89981</v>
          </cell>
          <cell r="B3708" t="str">
            <v>LUVA SOLDÁVEL E COM BUCHA DE LATÃO, PVC, SOLDÁVEL, DN 32MM X 1 , INSTALADO EM PRUMADA DE ÁGUA   FORNECIMENTO E INSTALAÇÃO. AF_12/2014</v>
          </cell>
          <cell r="C3708" t="str">
            <v>UN</v>
          </cell>
          <cell r="D3708">
            <v>17.21</v>
          </cell>
        </row>
        <row r="3709">
          <cell r="A3709">
            <v>90373</v>
          </cell>
          <cell r="B3709" t="str">
            <v>JOELHO 90 GRAUS COM BUCHA DE LATÃO, PVC, SOLDÁVEL, DN 25MM, X 1/2 INSTALADO EM RAMAL OU SUB-RAMAL DE ÁGUA - FORNECIMENTO E INSTALAÇÃO. AF_12/2014</v>
          </cell>
          <cell r="C3709" t="str">
            <v>UN</v>
          </cell>
          <cell r="D3709">
            <v>11.15</v>
          </cell>
        </row>
        <row r="3710">
          <cell r="A3710">
            <v>90374</v>
          </cell>
          <cell r="B3710" t="str">
            <v>TÊ COM BUCHA DE LATÃO NA BOLSA CENTRAL, PVC, SOLDÁVEL, DN 25MM X 3/4, INSTALADO EM RAMAL OU SUB-RAMAL DE ÁGUA - FORNECIMENTO E INSTALAÇÃO. AF_03/2015</v>
          </cell>
          <cell r="C3710" t="str">
            <v>UN</v>
          </cell>
          <cell r="D3710">
            <v>17.29</v>
          </cell>
        </row>
        <row r="3711">
          <cell r="A3711">
            <v>90375</v>
          </cell>
          <cell r="B3711" t="str">
            <v>BUCHA DE REDUÇÃO, PVC, SOLDÁVEL, DN 40MM X 32MM, INSTALADO EM RAMAL OU SUB-RAMAL DE ÁGUA - FORNECIMENTO E INSTALAÇÃO. AF_03/2015</v>
          </cell>
          <cell r="C3711" t="str">
            <v>UN</v>
          </cell>
          <cell r="D3711">
            <v>7.31</v>
          </cell>
        </row>
        <row r="3712">
          <cell r="A3712">
            <v>92287</v>
          </cell>
          <cell r="B3712" t="str">
            <v>COTOVELO EM COBRE, DN 22 MM, 90 GRAUS, SEM ANEL DE SOLDA, INSTALADO EM PRUMADA   FORNECIMENTO E INSTALAÇÃO. AF_12/2015</v>
          </cell>
          <cell r="C3712" t="str">
            <v>UN</v>
          </cell>
          <cell r="D3712">
            <v>12.42</v>
          </cell>
        </row>
        <row r="3713">
          <cell r="A3713">
            <v>92288</v>
          </cell>
          <cell r="B3713" t="str">
            <v>COTOVELO EM COBRE, DN 28 MM, 90 GRAUS, SEM ANEL DE SOLDA, INSTALADO EM PRUMADA  FORNECIMENTO E INSTALAÇÃO. AF_12/2015</v>
          </cell>
          <cell r="C3713" t="str">
            <v>UN</v>
          </cell>
          <cell r="D3713">
            <v>19.05</v>
          </cell>
        </row>
        <row r="3714">
          <cell r="A3714">
            <v>92289</v>
          </cell>
          <cell r="B3714" t="str">
            <v>COTOVELO EM COBRE, DN 35 MM, 90 GRAUS, SEM ANEL DE SOLDA, INSTALADO EM PRUMADA  FORNECIMENTO E INSTALAÇÃO. AF_12/2015</v>
          </cell>
          <cell r="C3714" t="str">
            <v>UN</v>
          </cell>
          <cell r="D3714">
            <v>33.200000000000003</v>
          </cell>
        </row>
        <row r="3715">
          <cell r="A3715">
            <v>92290</v>
          </cell>
          <cell r="B3715" t="str">
            <v>COTOVELO EM COBRE, DN 42 MM, 90 GRAUS, SEM ANEL DE SOLDA, INSTALADO EM PRUMADA  FORNECIMENTO E INSTALAÇÃO. AF_12/2015</v>
          </cell>
          <cell r="C3715" t="str">
            <v>UN</v>
          </cell>
          <cell r="D3715">
            <v>50.28</v>
          </cell>
        </row>
        <row r="3716">
          <cell r="A3716">
            <v>92291</v>
          </cell>
          <cell r="B3716" t="str">
            <v>COTOVELO EM COBRE, DN 54 MM, 90 GRAUS, SEM ANEL DE SOLDA, INSTALADO EM PRUMADA  FORNECIMENTO E INSTALAÇÃO. AF_12/2015</v>
          </cell>
          <cell r="C3716" t="str">
            <v>UN</v>
          </cell>
          <cell r="D3716">
            <v>76.88</v>
          </cell>
        </row>
        <row r="3717">
          <cell r="A3717">
            <v>92292</v>
          </cell>
          <cell r="B3717" t="str">
            <v>COTOVELO EM COBRE, DN 66 MM, 90 GRAUS, SEM ANEL DE SOLDA, INSTALADO EM PRUMADA  FORNECIMENTO E INSTALAÇÃO. AF_12/2015</v>
          </cell>
          <cell r="C3717" t="str">
            <v>UN</v>
          </cell>
          <cell r="D3717">
            <v>238.9</v>
          </cell>
        </row>
        <row r="3718">
          <cell r="A3718">
            <v>92293</v>
          </cell>
          <cell r="B3718" t="str">
            <v>LUVA EM COBRE, DN 22 MM, SEM ANEL DE SOLDA, INSTALADO EM PRUMADA  FORNECIMENTO E INSTALAÇÃO. AF_12/2015</v>
          </cell>
          <cell r="C3718" t="str">
            <v>UN</v>
          </cell>
          <cell r="D3718">
            <v>7.18</v>
          </cell>
        </row>
        <row r="3719">
          <cell r="A3719">
            <v>92294</v>
          </cell>
          <cell r="B3719" t="str">
            <v>LUVA EM COBRE, DN 28 MM, SEM ANEL DE SOLDA, INSTALADO EM PRUMADA  FORNECIMENTO E INSTALAÇÃO. AF_12/2015</v>
          </cell>
          <cell r="C3719" t="str">
            <v>UN</v>
          </cell>
          <cell r="D3719">
            <v>11.72</v>
          </cell>
        </row>
        <row r="3720">
          <cell r="A3720">
            <v>92295</v>
          </cell>
          <cell r="B3720" t="str">
            <v>LUVA EM COBRE, DN 35 MM, SEM ANEL DE SOLDA, INSTALADO EM PRUMADA  FORNECIMENTO E INSTALAÇÃO. AF_12/2015</v>
          </cell>
          <cell r="C3720" t="str">
            <v>UN</v>
          </cell>
          <cell r="D3720">
            <v>21.63</v>
          </cell>
        </row>
        <row r="3721">
          <cell r="A3721">
            <v>92296</v>
          </cell>
          <cell r="B3721" t="str">
            <v>LUVA EM COBRE, DN 42 MM, SEM ANEL DE SOLDA, INSTALADO EM PRUMADA  FORNECIMENTO E INSTALAÇÃO. AF_12/2015</v>
          </cell>
          <cell r="C3721" t="str">
            <v>UN</v>
          </cell>
          <cell r="D3721">
            <v>28.75</v>
          </cell>
        </row>
        <row r="3722">
          <cell r="A3722">
            <v>92297</v>
          </cell>
          <cell r="B3722" t="str">
            <v>LUVA EM COBRE, DN 54 MM, SEM ANEL DE SOLDA, INSTALADO EM PRUMADA  FORNECIMENTO E INSTALAÇÃO. AF_12/2015</v>
          </cell>
          <cell r="C3722" t="str">
            <v>UN</v>
          </cell>
          <cell r="D3722">
            <v>44.34</v>
          </cell>
        </row>
        <row r="3723">
          <cell r="A3723">
            <v>92298</v>
          </cell>
          <cell r="B3723" t="str">
            <v>LUVA EM COBRE, DN 66 MM, SEM ANEL DE SOLDA, INSTALADO EM PRUMADA  FORNECIMENTO E INSTALAÇÃO. AF_12/2015</v>
          </cell>
          <cell r="C3723" t="str">
            <v>UN</v>
          </cell>
          <cell r="D3723">
            <v>123.78</v>
          </cell>
        </row>
        <row r="3724">
          <cell r="A3724">
            <v>92299</v>
          </cell>
          <cell r="B3724" t="str">
            <v>TE EM COBRE, DN 22 MM, SEM ANEL DE SOLDA, INSTALADO EM PRUMADA  FORNECIMENTO E INSTALAÇÃO. AF_12/2015</v>
          </cell>
          <cell r="C3724" t="str">
            <v>UN</v>
          </cell>
          <cell r="D3724">
            <v>16.38</v>
          </cell>
        </row>
        <row r="3725">
          <cell r="A3725">
            <v>92300</v>
          </cell>
          <cell r="B3725" t="str">
            <v>TE EM COBRE, DN 28 MM, SEM ANEL DE SOLDA, INSTALADO EM PRUMADA  FORNECIMENTO E INSTALAÇÃO. AF_12/2015</v>
          </cell>
          <cell r="C3725" t="str">
            <v>UN</v>
          </cell>
          <cell r="D3725">
            <v>24.3</v>
          </cell>
        </row>
        <row r="3726">
          <cell r="A3726">
            <v>92301</v>
          </cell>
          <cell r="B3726" t="str">
            <v>TE EM COBRE, DN 35 MM, SEM ANEL DE SOLDA, INSTALADO EM PRUMADA  FORNECIMENTO E INSTALAÇÃO. AF_12/2015</v>
          </cell>
          <cell r="C3726" t="str">
            <v>UN</v>
          </cell>
          <cell r="D3726">
            <v>47.23</v>
          </cell>
        </row>
        <row r="3727">
          <cell r="A3727">
            <v>92302</v>
          </cell>
          <cell r="B3727" t="str">
            <v>TE EM COBRE, DN 42 MM, SEM ANEL DE SOLDA, INSTALADO EM PRUMADA  FORNECIMENTO E INSTALAÇÃO. AF_12/2015</v>
          </cell>
          <cell r="C3727" t="str">
            <v>UN</v>
          </cell>
          <cell r="D3727">
            <v>62.4</v>
          </cell>
        </row>
        <row r="3728">
          <cell r="A3728">
            <v>92303</v>
          </cell>
          <cell r="B3728" t="str">
            <v>TE EM COBRE, DN 54 MM, SEM ANEL DE SOLDA, INSTALADO EM PRUMADA  FORNECIMENTO E INSTALAÇÃO. AF_12/2015</v>
          </cell>
          <cell r="C3728" t="str">
            <v>UN</v>
          </cell>
          <cell r="D3728">
            <v>113.89</v>
          </cell>
        </row>
        <row r="3729">
          <cell r="A3729">
            <v>92304</v>
          </cell>
          <cell r="B3729" t="str">
            <v>TE EM COBRE, DN 66 MM, SEM ANEL DE SOLDA, INSTALADO EM PRUMADA  FORNECIMENTO E INSTALAÇÃO. AF_12/2015</v>
          </cell>
          <cell r="C3729" t="str">
            <v>UN</v>
          </cell>
          <cell r="D3729">
            <v>294.89999999999998</v>
          </cell>
        </row>
        <row r="3730">
          <cell r="A3730">
            <v>92311</v>
          </cell>
          <cell r="B3730" t="str">
            <v>COTOVELO EM COBRE, DN 15 MM, 90 GRAUS, SEM ANEL DE SOLDA, INSTALADO EM RAMAL DE DISTRIBUIÇÃO  FORNECIMENTO E INSTALAÇÃO. AF_12/2015</v>
          </cell>
          <cell r="C3730" t="str">
            <v>UN</v>
          </cell>
          <cell r="D3730">
            <v>9.0399999999999991</v>
          </cell>
        </row>
        <row r="3731">
          <cell r="A3731">
            <v>92312</v>
          </cell>
          <cell r="B3731" t="str">
            <v>COTOVELO EM COBRE, DN 22 MM, 90 GRAUS, SEM ANEL DE SOLDA, INSTALADO EM RAMAL DE DISTRIBUIÇÃO  FORNECIMENTO E INSTALAÇÃO. AF_12/2015</v>
          </cell>
          <cell r="C3731" t="str">
            <v>UN</v>
          </cell>
          <cell r="D3731">
            <v>14.63</v>
          </cell>
        </row>
        <row r="3732">
          <cell r="A3732">
            <v>92313</v>
          </cell>
          <cell r="B3732" t="str">
            <v>COTOVELO EM COBRE, DN 28 MM, 90 GRAUS, SEM ANEL DE SOLDA, INSTALADO EM RAMAL DE DISTRIBUIÇÃO  FORNECIMENTO E INSTALAÇÃO. AF_12/2015</v>
          </cell>
          <cell r="C3732" t="str">
            <v>UN</v>
          </cell>
          <cell r="D3732">
            <v>21.25</v>
          </cell>
        </row>
        <row r="3733">
          <cell r="A3733">
            <v>92314</v>
          </cell>
          <cell r="B3733" t="str">
            <v>LUVA EM COBRE, DN 15 MM, SEM ANEL DE SOLDA, INSTALADO EM RAMAL DE DISTRIBUIÇÃO  FORNECIMENTO E INSTALAÇÃO. AF_12/2015</v>
          </cell>
          <cell r="C3733" t="str">
            <v>UN</v>
          </cell>
          <cell r="D3733">
            <v>5.88</v>
          </cell>
        </row>
        <row r="3734">
          <cell r="A3734">
            <v>92315</v>
          </cell>
          <cell r="B3734" t="str">
            <v>LUVA EM COBRE, DN 22 MM, SEM ANEL DE SOLDA, INSTALADO EM RAMAL DE DISTRIBUIÇÃO  FORNECIMENTO E INSTALAÇÃO. AF_12/2015</v>
          </cell>
          <cell r="C3734" t="str">
            <v>UN</v>
          </cell>
          <cell r="D3734">
            <v>8.68</v>
          </cell>
        </row>
        <row r="3735">
          <cell r="A3735">
            <v>92316</v>
          </cell>
          <cell r="B3735" t="str">
            <v>LUVA EM COBRE, DN 28 MM, SEM ANEL DE SOLDA, INSTALADO EM RAMAL DE DISTRIBUIÇÃO  FORNECIMENTO E INSTALAÇÃO. AF_12/2015</v>
          </cell>
          <cell r="C3735" t="str">
            <v>UN</v>
          </cell>
          <cell r="D3735">
            <v>13.21</v>
          </cell>
        </row>
        <row r="3736">
          <cell r="A3736">
            <v>92317</v>
          </cell>
          <cell r="B3736" t="str">
            <v>TE EM COBRE, DN 15 MM, SEM ANEL DE SOLDA, INSTALADO EM RAMAL DE DISTRIBUIÇÃO  FORNECIMENTO E INSTALAÇÃO. AF_12/2015</v>
          </cell>
          <cell r="C3736" t="str">
            <v>UN</v>
          </cell>
          <cell r="D3736">
            <v>12.28</v>
          </cell>
        </row>
        <row r="3737">
          <cell r="A3737">
            <v>92318</v>
          </cell>
          <cell r="B3737" t="str">
            <v>TE EM COBRE, DN 22 MM, SEM ANEL DE SOLDA, INSTALADO EM RAMAL DE DISTRIBUIÇÃO  FORNECIMENTO E INSTALAÇÃO. AF_12/2015</v>
          </cell>
          <cell r="C3737" t="str">
            <v>UN</v>
          </cell>
          <cell r="D3737">
            <v>19.34</v>
          </cell>
        </row>
        <row r="3738">
          <cell r="A3738">
            <v>92319</v>
          </cell>
          <cell r="B3738" t="str">
            <v>TE EM COBRE, DN 28 MM, SEM ANEL DE SOLDA, INSTALADO EM RAMAL DE DISTRIBUIÇÃO  FORNECIMENTO E INSTALAÇÃO. AF_12/2015</v>
          </cell>
          <cell r="C3738" t="str">
            <v>UN</v>
          </cell>
          <cell r="D3738">
            <v>27.25</v>
          </cell>
        </row>
        <row r="3739">
          <cell r="A3739">
            <v>92326</v>
          </cell>
          <cell r="B3739" t="str">
            <v>COTOVELO EM COBRE, DN 15 MM, 90 GRAUS, SEM ANEL DE SOLDA, INSTALADO EM RAMAL E SUB-RAMAL  FORNECIMENTO E INSTALAÇÃO. AF_12/2015</v>
          </cell>
          <cell r="C3739" t="str">
            <v>UN</v>
          </cell>
          <cell r="D3739">
            <v>10.51</v>
          </cell>
        </row>
        <row r="3740">
          <cell r="A3740">
            <v>92327</v>
          </cell>
          <cell r="B3740" t="str">
            <v>COTOVELO EM COBRE, DN 22 MM, 90 GRAUS, SEM ANEL DE SOLDA, INSTALADO EM RAMAL E SUB-RAMAL  FORNECIMENTO E INSTALAÇÃO. AF_12/2015</v>
          </cell>
          <cell r="C3740" t="str">
            <v>UN</v>
          </cell>
          <cell r="D3740">
            <v>16.670000000000002</v>
          </cell>
        </row>
        <row r="3741">
          <cell r="A3741">
            <v>92328</v>
          </cell>
          <cell r="B3741" t="str">
            <v>COTOVELO EM COBRE, DN 28 MM, 90 GRAUS, SEM ANEL DE SOLDA, INSTALADO EM RAMAL E SUB-RAMAL  FORNECIMENTO E INSTALAÇÃO. AF_12/2015</v>
          </cell>
          <cell r="C3741" t="str">
            <v>UN</v>
          </cell>
          <cell r="D3741">
            <v>24.89</v>
          </cell>
        </row>
        <row r="3742">
          <cell r="A3742">
            <v>92329</v>
          </cell>
          <cell r="B3742" t="str">
            <v>LUVA EM COBRE, DN 15 MM, SEM ANEL DE SOLDA, INSTALADO EM RAMAL E SUB-RAMAL  FORNECIMENTO E INSTALAÇÃO. AF_12/2015</v>
          </cell>
          <cell r="C3742" t="str">
            <v>UN</v>
          </cell>
          <cell r="D3742">
            <v>6.03</v>
          </cell>
        </row>
        <row r="3743">
          <cell r="A3743">
            <v>92330</v>
          </cell>
          <cell r="B3743" t="str">
            <v>LUVA EM COBRE, DN 22 MM, SEM ANEL DE SOLDA, INSTALADO EM RAMAL E SUB-RAMAL  FORNECIMENTO E INSTALAÇÃO. AF_12/2015</v>
          </cell>
          <cell r="C3743" t="str">
            <v>UN</v>
          </cell>
          <cell r="D3743">
            <v>10.02</v>
          </cell>
        </row>
        <row r="3744">
          <cell r="A3744">
            <v>92331</v>
          </cell>
          <cell r="B3744" t="str">
            <v>LUVA EM COBRE, DN 28 MM, SEM ANEL DE SOLDA, INSTALADO EM RAMAL E SUB-RAMAL  FORNECIMENTO E INSTALAÇÃO. AF_12/2015</v>
          </cell>
          <cell r="C3744" t="str">
            <v>UN</v>
          </cell>
          <cell r="D3744">
            <v>15.65</v>
          </cell>
        </row>
        <row r="3745">
          <cell r="A3745">
            <v>92332</v>
          </cell>
          <cell r="B3745" t="str">
            <v>TE EM COBRE, DN 15 MM, SEM ANEL DE SOLDA, INSTALADO EM RAMAL E SUB-RAMAL  FORNECIMENTO E INSTALAÇÃO. AF_12/2015</v>
          </cell>
          <cell r="C3745" t="str">
            <v>UN</v>
          </cell>
          <cell r="D3745">
            <v>12.5</v>
          </cell>
        </row>
        <row r="3746">
          <cell r="A3746">
            <v>92333</v>
          </cell>
          <cell r="B3746" t="str">
            <v>TE EM COBRE, DN 22 MM, SEM ANEL DE SOLDA, INSTALADO EM RAMAL E SUB-RAMAL  FORNECIMENTO E INSTALAÇÃO. AF_12/2015</v>
          </cell>
          <cell r="C3746" t="str">
            <v>UN</v>
          </cell>
          <cell r="D3746">
            <v>22.05</v>
          </cell>
        </row>
        <row r="3747">
          <cell r="A3747">
            <v>92334</v>
          </cell>
          <cell r="B3747" t="str">
            <v>TE EM COBRE, DN 28 MM, SEM ANEL DE SOLDA, INSTALADO EM RAMAL E SUB-RAMAL  FORNECIMENTO E INSTALAÇÃO. AF_12/2015</v>
          </cell>
          <cell r="C3747" t="str">
            <v>UN</v>
          </cell>
          <cell r="D3747">
            <v>32.08</v>
          </cell>
        </row>
        <row r="3748">
          <cell r="A3748">
            <v>92344</v>
          </cell>
          <cell r="B3748" t="str">
            <v>NIPLE, EM FERRO GALVANIZADO, DN 50 (2"), CONEXÃO ROSQUEADA, INSTALADO EM PRUMADAS - FORNECIMENTO E INSTALAÇÃO. AF_12/2015</v>
          </cell>
          <cell r="C3748" t="str">
            <v>UN</v>
          </cell>
          <cell r="D3748">
            <v>42.93</v>
          </cell>
        </row>
        <row r="3749">
          <cell r="A3749">
            <v>92345</v>
          </cell>
          <cell r="B3749" t="str">
            <v>LUVA, EM FERRO GALVANIZADO, DN 50 (2"), CONEXÃO ROSQUEADA, INSTALADO EM PRUMADAS - FORNECIMENTO E INSTALAÇÃO. AF_12/2015</v>
          </cell>
          <cell r="C3749" t="str">
            <v>UN</v>
          </cell>
          <cell r="D3749">
            <v>42.92</v>
          </cell>
        </row>
        <row r="3750">
          <cell r="A3750">
            <v>92346</v>
          </cell>
          <cell r="B3750" t="str">
            <v>NIPLE, EM FERRO GALVANIZADO, DN 65 (2 1/2"), CONEXÃO ROSQUEADA, INSTALADO EM PRUMADAS - FORNECIMENTO E INSTALAÇÃO. AF_12/2015</v>
          </cell>
          <cell r="C3750" t="str">
            <v>UN</v>
          </cell>
          <cell r="D3750">
            <v>55.48</v>
          </cell>
        </row>
        <row r="3751">
          <cell r="A3751">
            <v>92347</v>
          </cell>
          <cell r="B3751" t="str">
            <v>LUVA, EM FERRO GALVANIZADO, DN 65 (2 1/2"), CONEXÃO ROSQUEADA, INSTALADO EM PRUMADAS - FORNECIMENTO E INSTALAÇÃO. AF_12/2015</v>
          </cell>
          <cell r="C3751" t="str">
            <v>UN</v>
          </cell>
          <cell r="D3751">
            <v>61.23</v>
          </cell>
        </row>
        <row r="3752">
          <cell r="A3752">
            <v>92348</v>
          </cell>
          <cell r="B3752" t="str">
            <v>NIPLE, EM FERRO GALVANIZADO, DN 80 (3"), CONEXÃO ROSQUEADA, INSTALADO EM PRUMADAS - FORNECIMENTO E INSTALAÇÃO. AF_12/2015</v>
          </cell>
          <cell r="C3752" t="str">
            <v>UN</v>
          </cell>
          <cell r="D3752">
            <v>76.44</v>
          </cell>
        </row>
        <row r="3753">
          <cell r="A3753">
            <v>92349</v>
          </cell>
          <cell r="B3753" t="str">
            <v>LUVA, EM FERRO GALVANIZADO, DN 80 (3"), CONEXÃO ROSQUEADA, INSTALADO EM PRUMADAS - FORNECIMENTO E INSTALAÇÃO. AF_12/2015</v>
          </cell>
          <cell r="C3753" t="str">
            <v>UN</v>
          </cell>
          <cell r="D3753">
            <v>81.56</v>
          </cell>
        </row>
        <row r="3754">
          <cell r="A3754">
            <v>92350</v>
          </cell>
          <cell r="B3754" t="str">
            <v>JOELHO 45 GRAUS, EM FERRO GALVANIZADO, DN 50 (2"), CONEXÃO ROSQUEADA, INSTALADO EM PRUMADAS - FORNECIMENTO E INSTALAÇÃO. AF_12/2015</v>
          </cell>
          <cell r="C3754" t="str">
            <v>UN</v>
          </cell>
          <cell r="D3754">
            <v>63.82</v>
          </cell>
        </row>
        <row r="3755">
          <cell r="A3755">
            <v>92351</v>
          </cell>
          <cell r="B3755" t="str">
            <v>JOELHO 90 GRAUS, EM FERRO GALVANIZADO, DN 50 (2"), CONEXÃO ROSQUEADA, INSTALADO EM PRUMADAS - FORNECIMENTO E INSTALAÇÃO. AF_12/2015</v>
          </cell>
          <cell r="C3755" t="str">
            <v>UN</v>
          </cell>
          <cell r="D3755">
            <v>62.54</v>
          </cell>
        </row>
        <row r="3756">
          <cell r="A3756">
            <v>92352</v>
          </cell>
          <cell r="B3756" t="str">
            <v>JOELHO 45 GRAUS, EM FERRO GALVANIZADO, DN 65 (2 1/2"), CONEXÃO ROSQUEADA, INSTALADO EM PRUMADAS - FORNECIMENTO E INSTALAÇÃO. AF_12/2015</v>
          </cell>
          <cell r="C3756" t="str">
            <v>UN</v>
          </cell>
          <cell r="D3756">
            <v>94.17</v>
          </cell>
        </row>
        <row r="3757">
          <cell r="A3757">
            <v>92353</v>
          </cell>
          <cell r="B3757" t="str">
            <v>JOELHO 90 GRAUS, EM FERRO GALVANIZADO, DN 65 (2 1/2"), CONEXÃO ROSQUEADA, INSTALADO EM PRUMADAS - FORNECIMENTO E INSTALAÇÃO. AF_12/2015</v>
          </cell>
          <cell r="C3757" t="str">
            <v>UN</v>
          </cell>
          <cell r="D3757">
            <v>88.54</v>
          </cell>
        </row>
        <row r="3758">
          <cell r="A3758">
            <v>92354</v>
          </cell>
          <cell r="B3758" t="str">
            <v>JOELHO 45 GRAUS, EM FERRO GALVANIZADO, DN 80 (3"), CONEXÃO ROSQUEADA, INSTALADO EM PRUMADAS - FORNECIMENTO E INSTALAÇÃO. AF_12/2015</v>
          </cell>
          <cell r="C3758" t="str">
            <v>UN</v>
          </cell>
          <cell r="D3758">
            <v>123.36</v>
          </cell>
        </row>
        <row r="3759">
          <cell r="A3759">
            <v>92355</v>
          </cell>
          <cell r="B3759" t="str">
            <v>JOELHO 90 GRAUS, EM FERRO GALVANIZADO, DN 80 (3"), CONEXÃO ROSQUEADA, INSTALADO EM PRUMADAS - FORNECIMENTO E INSTALAÇÃO. AF_12/2015</v>
          </cell>
          <cell r="C3759" t="str">
            <v>UN</v>
          </cell>
          <cell r="D3759">
            <v>112.51</v>
          </cell>
        </row>
        <row r="3760">
          <cell r="A3760">
            <v>92356</v>
          </cell>
          <cell r="B3760" t="str">
            <v>TÊ, EM FERRO GALVANIZADO, DN 50 (2"), CONEXÃO ROSQUEADA, INSTALADO EM PRUMADAS - FORNECIMENTO E INSTALAÇÃO. AF_12/2015</v>
          </cell>
          <cell r="C3760" t="str">
            <v>UN</v>
          </cell>
          <cell r="D3760">
            <v>83.4</v>
          </cell>
        </row>
        <row r="3761">
          <cell r="A3761">
            <v>92357</v>
          </cell>
          <cell r="B3761" t="str">
            <v>TÊ, EM FERRO GALVANIZADO, DN 65 (2 1/2"), CONEXÃO ROSQUEADA, INSTALADO EM PRUMADAS - FORNECIMENTO E INSTALAÇÃO. AF_12/2015</v>
          </cell>
          <cell r="C3761" t="str">
            <v>UN</v>
          </cell>
          <cell r="D3761">
            <v>120.93</v>
          </cell>
        </row>
        <row r="3762">
          <cell r="A3762">
            <v>92358</v>
          </cell>
          <cell r="B3762" t="str">
            <v>TÊ, EM FERRO GALVANIZADO, DN 80 (3"), CONEXÃO ROSQUEADA, INSTALADO EM PRUMADAS - FORNECIMENTO E INSTALAÇÃO. AF_12/2015</v>
          </cell>
          <cell r="C3762" t="str">
            <v>UN</v>
          </cell>
          <cell r="D3762">
            <v>149.02000000000001</v>
          </cell>
        </row>
        <row r="3763">
          <cell r="A3763">
            <v>92369</v>
          </cell>
          <cell r="B3763" t="str">
            <v>NIPLE, EM FERRO GALVANIZADO, DN 25 (1"), CONEXÃO ROSQUEADA, INSTALADO EM REDE DE ALIMENTAÇÃO PARA HIDRANTE - FORNECIMENTO E INSTALAÇÃO. AF_12/2015</v>
          </cell>
          <cell r="C3763" t="str">
            <v>UN</v>
          </cell>
          <cell r="D3763">
            <v>24.01</v>
          </cell>
        </row>
        <row r="3764">
          <cell r="A3764">
            <v>92370</v>
          </cell>
          <cell r="B3764" t="str">
            <v>LUVA, EM FERRO GALVANIZADO, DN 25 (1"), CONEXÃO ROSQUEADA, INSTALADO EM REDE DE ALIMENTAÇÃO PARA HIDRANTE - FORNECIMENTO E INSTALAÇÃO. AF_12/2015</v>
          </cell>
          <cell r="C3764" t="str">
            <v>UN</v>
          </cell>
          <cell r="D3764">
            <v>25.05</v>
          </cell>
        </row>
        <row r="3765">
          <cell r="A3765">
            <v>92371</v>
          </cell>
          <cell r="B3765" t="str">
            <v>NIPLE, EM FERRO GALVANIZADO, DN 32 (1 1/4"), CONEXÃO ROSQUEADA, INSTALADO EM REDE DE ALIMENTAÇÃO PARA HIDRANTE - FORNECIMENTO E INSTALAÇÃO. AF_12/2015</v>
          </cell>
          <cell r="C3765" t="str">
            <v>UN</v>
          </cell>
          <cell r="D3765">
            <v>28.66</v>
          </cell>
        </row>
        <row r="3766">
          <cell r="A3766">
            <v>92372</v>
          </cell>
          <cell r="B3766" t="str">
            <v>LUVA, EM FERRO GALVANIZADO, DN 32 (1 1/4"), CONEXÃO ROSQUEADA, INSTALADO EM REDE DE ALIMENTAÇÃO PARA HIDRANTE - FORNECIMENTO E INSTALAÇÃO. AF_12/2015</v>
          </cell>
          <cell r="C3766" t="str">
            <v>UN</v>
          </cell>
          <cell r="D3766">
            <v>29.62</v>
          </cell>
        </row>
        <row r="3767">
          <cell r="A3767">
            <v>92373</v>
          </cell>
          <cell r="B3767" t="str">
            <v>NIPLE, EM FERRO GALVANIZADO, DN 40 (1 1/2"), CONEXÃO ROSQUEADA, INSTALADO EM REDE DE ALIMENTAÇÃO PARA HIDRANTE - FORNECIMENTO E INSTALAÇÃO. AF_12/2015</v>
          </cell>
          <cell r="C3767" t="str">
            <v>UN</v>
          </cell>
          <cell r="D3767">
            <v>33.590000000000003</v>
          </cell>
        </row>
        <row r="3768">
          <cell r="A3768">
            <v>92374</v>
          </cell>
          <cell r="B3768" t="str">
            <v>LUVA, EM FERRO GALVANIZADO, DN 40 (1 1/2"), CONEXÃO ROSQUEADA, INSTALADO EM REDE DE ALIMENTAÇÃO PARA HIDRANTE - FORNECIMENTO E INSTALAÇÃO. AF_12/2015</v>
          </cell>
          <cell r="C3768" t="str">
            <v>UN</v>
          </cell>
          <cell r="D3768">
            <v>33.770000000000003</v>
          </cell>
        </row>
        <row r="3769">
          <cell r="A3769">
            <v>92375</v>
          </cell>
          <cell r="B3769" t="str">
            <v>NIPLE, EM FERRO GALVANIZADO, DN 50 (2"), CONEXÃO ROSQUEADA, INSTALADO EM REDE DE ALIMENTAÇÃO PARA HIDRANTE - FORNECIMENTO E INSTALAÇÃO. AF_12/2015</v>
          </cell>
          <cell r="C3769" t="str">
            <v>UN</v>
          </cell>
          <cell r="D3769">
            <v>42.89</v>
          </cell>
        </row>
        <row r="3770">
          <cell r="A3770">
            <v>92376</v>
          </cell>
          <cell r="B3770" t="str">
            <v>LUVA, EM FERRO GALVANIZADO, DN 50 (2"), CONEXÃO ROSQUEADA, INSTALADO EM REDE DE ALIMENTAÇÃO PARA HIDRANTE - FORNECIMENTO E INSTALAÇÃO. AF_12/2015</v>
          </cell>
          <cell r="C3770" t="str">
            <v>UN</v>
          </cell>
          <cell r="D3770">
            <v>42.88</v>
          </cell>
        </row>
        <row r="3771">
          <cell r="A3771">
            <v>92377</v>
          </cell>
          <cell r="B3771" t="str">
            <v>NIPLE, EM FERRO GALVANIZADO, DN 65 (2 1/2"), CONEXÃO ROSQUEADA, INSTALADO EM REDE DE ALIMENTAÇÃO PARA HIDRANTE - FORNECIMENTO E INSTALAÇÃO. AF_12/2015</v>
          </cell>
          <cell r="C3771" t="str">
            <v>UN</v>
          </cell>
          <cell r="D3771">
            <v>56.68</v>
          </cell>
        </row>
        <row r="3772">
          <cell r="A3772">
            <v>92378</v>
          </cell>
          <cell r="B3772" t="str">
            <v>LUVA, EM FERRO GALVANIZADO, DN 65 (2 1/2"), CONEXÃO ROSQUEADA, INSTALADO EM REDE DE ALIMENTAÇÃO PARA HIDRANTE - FORNECIMENTO E INSTALAÇÃO. AF_12/2015</v>
          </cell>
          <cell r="C3772" t="str">
            <v>UN</v>
          </cell>
          <cell r="D3772">
            <v>62.43</v>
          </cell>
        </row>
        <row r="3773">
          <cell r="A3773">
            <v>92379</v>
          </cell>
          <cell r="B3773" t="str">
            <v>NIPLE, EM FERRO GALVANIZADO, DN 80 (3"), CONEXÃO ROSQUEADA, INSTALADO EM REDE DE ALIMENTAÇÃO PARA HIDRANTE - FORNECIMENTO E INSTALAÇÃO. AF_12/2015</v>
          </cell>
          <cell r="C3773" t="str">
            <v>UN</v>
          </cell>
          <cell r="D3773">
            <v>78.91</v>
          </cell>
        </row>
        <row r="3774">
          <cell r="A3774">
            <v>92380</v>
          </cell>
          <cell r="B3774" t="str">
            <v>LUVA, EM FERRO GALVANIZADO, DN 80 (3"), CONEXÃO ROSQUEADA, INSTALADO EM REDE DE ALIMENTAÇÃO PARA HIDRANTE - FORNECIMENTO E INSTALAÇÃO. AF_12/2015</v>
          </cell>
          <cell r="C3774" t="str">
            <v>UN</v>
          </cell>
          <cell r="D3774">
            <v>84.03</v>
          </cell>
        </row>
        <row r="3775">
          <cell r="A3775">
            <v>92381</v>
          </cell>
          <cell r="B3775" t="str">
            <v>JOELHO 45 GRAUS, EM FERRO GALVANIZADO, DN 25 (1"), CONEXÃO ROSQUEADA, INSTALADO EM REDE DE ALIMENTAÇÃO PARA HIDRANTE - FORNECIMENTO E INSTALAÇÃO. AF_12/2015</v>
          </cell>
          <cell r="C3775" t="str">
            <v>UN</v>
          </cell>
          <cell r="D3775">
            <v>36.28</v>
          </cell>
        </row>
        <row r="3776">
          <cell r="A3776">
            <v>92382</v>
          </cell>
          <cell r="B3776" t="str">
            <v>JOELHO 90 GRAUS, EM FERRO GALVANIZADO, DN 25 (1"), CONEXÃO ROSQUEADA, INSTALADO EM REDE DE ALIMENTAÇÃO PARA HIDRANTE - FORNECIMENTO E INSTALAÇÃO. AF_12/2015</v>
          </cell>
          <cell r="C3776" t="str">
            <v>UN</v>
          </cell>
          <cell r="D3776">
            <v>34.9</v>
          </cell>
        </row>
        <row r="3777">
          <cell r="A3777">
            <v>92383</v>
          </cell>
          <cell r="B3777" t="str">
            <v>JOELHO 45 GRAUS, EM FERRO GALVANIZADO, DN 32 (1 1/4"), CONEXÃO ROSQUEADA, INSTALADO EM REDE DE ALIMENTAÇÃO PARA HIDRANTE - FORNECIMENTO E INSTALAÇÃO. AF_12/2015</v>
          </cell>
          <cell r="C3777" t="str">
            <v>UN</v>
          </cell>
          <cell r="D3777">
            <v>44.92</v>
          </cell>
        </row>
        <row r="3778">
          <cell r="A3778">
            <v>92384</v>
          </cell>
          <cell r="B3778" t="str">
            <v>JOELHO 90 GRAUS, EM FERRO GALVANIZADO, DN 32 (1 1/4"), CONEXÃO ROSQUEADA, INSTALADO EM REDE DE ALIMENTAÇÃO PARA HIDRANTE - FORNECIMENTO E INSTALAÇÃO. AF_12/2015</v>
          </cell>
          <cell r="C3778" t="str">
            <v>UN</v>
          </cell>
          <cell r="D3778">
            <v>42.19</v>
          </cell>
        </row>
        <row r="3779">
          <cell r="A3779">
            <v>92385</v>
          </cell>
          <cell r="B3779" t="str">
            <v>JOELHO 45 GRAUS, EM FERRO GALVANIZADO, DN 40 (1 1/2"), CONEXÃO ROSQUEADA, INSTALADO EM REDE DE ALIMENTAÇÃO PARA HIDRANTE - FORNECIMENTO E INSTALAÇÃO. AF_12/2015</v>
          </cell>
          <cell r="C3779" t="str">
            <v>UN</v>
          </cell>
          <cell r="D3779">
            <v>51.22</v>
          </cell>
        </row>
        <row r="3780">
          <cell r="A3780">
            <v>92386</v>
          </cell>
          <cell r="B3780" t="str">
            <v>JOELHO 90 GRAUS, EM FERRO GALVANIZADO, DN 40 (1 1/2"), CONEXÃO ROSQUEADA, INSTALADO EM REDE DE ALIMENTAÇÃO PARA HIDRANTE - FORNECIMENTO E INSTALAÇÃO. AF_12/2015</v>
          </cell>
          <cell r="C3780" t="str">
            <v>UN</v>
          </cell>
          <cell r="D3780">
            <v>49.34</v>
          </cell>
        </row>
        <row r="3781">
          <cell r="A3781">
            <v>92387</v>
          </cell>
          <cell r="B3781" t="str">
            <v>JOELHO 45 GRAUS, EM FERRO GALVANIZADO, DN 50 (2"), CONEXÃO ROSQUEADA, INSTALADO EM REDE DE ALIMENTAÇÃO PARA HIDRANTE - FORNECIMENTO E INSTALAÇÃO. AF_12/2015</v>
          </cell>
          <cell r="C3781" t="str">
            <v>UN</v>
          </cell>
          <cell r="D3781">
            <v>63.75</v>
          </cell>
        </row>
        <row r="3782">
          <cell r="A3782">
            <v>92388</v>
          </cell>
          <cell r="B3782" t="str">
            <v>JOELHO 90 GRAUS, EM FERRO GALVANIZADO, DN 50 (2"), CONEXÃO ROSQUEADA, INSTALADO EM REDE DE ALIMENTAÇÃO PARA HIDRANTE - FORNECIMENTO E INSTALAÇÃO. AF_12/2015</v>
          </cell>
          <cell r="C3782" t="str">
            <v>UN</v>
          </cell>
          <cell r="D3782">
            <v>62.47</v>
          </cell>
        </row>
        <row r="3783">
          <cell r="A3783">
            <v>92389</v>
          </cell>
          <cell r="B3783" t="str">
            <v>JOELHO 45 GRAUS, EM FERRO GALVANIZADO, DN 65 (2 1/2"), CONEXÃO ROSQUEADA, INSTALADO EM REDE DE ALIMENTAÇÃO PARA HIDRANTE - FORNECIMENTO E INSTALAÇÃO. AF_12/2015</v>
          </cell>
          <cell r="C3783" t="str">
            <v>UN</v>
          </cell>
          <cell r="D3783">
            <v>96</v>
          </cell>
        </row>
        <row r="3784">
          <cell r="A3784">
            <v>92390</v>
          </cell>
          <cell r="B3784" t="str">
            <v>JOELHO 90 GRAUS, EM FERRO GALVANIZADO, DN 65 (2 1/2"), CONEXÃO ROSQUEADA, INSTALADO EM REDE DE ALIMENTAÇÃO PARA HIDRANTE - FORNECIMENTO E INSTALAÇÃO. AF_12/2015</v>
          </cell>
          <cell r="C3784" t="str">
            <v>UN</v>
          </cell>
          <cell r="D3784">
            <v>90.37</v>
          </cell>
        </row>
        <row r="3785">
          <cell r="A3785">
            <v>92635</v>
          </cell>
          <cell r="B3785" t="str">
            <v>JOELHO 45 GRAUS, EM FERRO GALVANIZADO, CONEXÃO ROSQUEADA, DN 80 (3"), INSTALADO EM REDE DE ALIMENTAÇÃO PARA HIDRANTE - FORNECIMENTO E INSTALAÇÃO. AF_12/2015</v>
          </cell>
          <cell r="C3785" t="str">
            <v>UN</v>
          </cell>
          <cell r="D3785">
            <v>127.07</v>
          </cell>
        </row>
        <row r="3786">
          <cell r="A3786">
            <v>92636</v>
          </cell>
          <cell r="B3786" t="str">
            <v>JOELHO 90 GRAUS, EM FERRO GALVANIZADO, CONEXÃO ROSQUEADA, DN 80 (3"), INSTALADO EM REDE DE ALIMENTAÇÃO PARA HIDRANTE - FORNECIMENTO E INSTALAÇÃO. AF_12/2015</v>
          </cell>
          <cell r="C3786" t="str">
            <v>UN</v>
          </cell>
          <cell r="D3786">
            <v>116.22</v>
          </cell>
        </row>
        <row r="3787">
          <cell r="A3787">
            <v>92637</v>
          </cell>
          <cell r="B3787" t="str">
            <v>TÊ, EM FERRO GALVANIZADO, CONEXÃO ROSQUEADA, DN 25 (1"), INSTALADO EM REDE DE ALIMENTAÇÃO PARA HIDRANTE - FORNECIMENTO E INSTALAÇÃO. AF_12/2015</v>
          </cell>
          <cell r="C3787" t="str">
            <v>UN</v>
          </cell>
          <cell r="D3787">
            <v>47.09</v>
          </cell>
        </row>
        <row r="3788">
          <cell r="A3788">
            <v>92638</v>
          </cell>
          <cell r="B3788" t="str">
            <v>TÊ, EM FERRO GALVANIZADO, CONEXÃO ROSQUEADA, DN 32 (1 1/4"), INSTALADO EM REDE DE ALIMENTAÇÃO PARA HIDRANTE - FORNECIMENTO E INSTALAÇÃO. AF_12/2015</v>
          </cell>
          <cell r="C3788" t="str">
            <v>UN</v>
          </cell>
          <cell r="D3788">
            <v>56.63</v>
          </cell>
        </row>
        <row r="3789">
          <cell r="A3789">
            <v>92639</v>
          </cell>
          <cell r="B3789" t="str">
            <v>TÊ, EM FERRO GALVANIZADO, CONEXÃO ROSQUEADA, DN 40 (1 1/2"), INSTALADO EM REDE DE ALIMENTAÇÃO PARA HIDRANTE - FORNECIMENTO E INSTALAÇÃO. AF_12/2015</v>
          </cell>
          <cell r="C3789" t="str">
            <v>UN</v>
          </cell>
          <cell r="D3789">
            <v>65.11</v>
          </cell>
        </row>
        <row r="3790">
          <cell r="A3790">
            <v>92640</v>
          </cell>
          <cell r="B3790" t="str">
            <v>TÊ, EM FERRO GALVANIZADO, CONEXÃO ROSQUEADA, DN 50 (2"), INSTALADO EM REDE DE ALIMENTAÇÃO PARA HIDRANTE - FORNECIMENTO E INSTALAÇÃO. AF_12/2015</v>
          </cell>
          <cell r="C3790" t="str">
            <v>UN</v>
          </cell>
          <cell r="D3790">
            <v>83.29</v>
          </cell>
        </row>
        <row r="3791">
          <cell r="A3791">
            <v>92642</v>
          </cell>
          <cell r="B3791" t="str">
            <v>TÊ, EM FERRO GALVANIZADO, CONEXÃO ROSQUEADA, DN 65 (2 1/2"), INSTALADO EM REDE DE ALIMENTAÇÃO PARA HIDRANTE - FORNECIMENTO E INSTALAÇÃO. AF_12/2015</v>
          </cell>
          <cell r="C3791" t="str">
            <v>UN</v>
          </cell>
          <cell r="D3791">
            <v>123.34</v>
          </cell>
        </row>
        <row r="3792">
          <cell r="A3792">
            <v>92644</v>
          </cell>
          <cell r="B3792" t="str">
            <v>TÊ, EM FERRO GALVANIZADO, CONEXÃO ROSQUEADA, DN 80 (3"), INSTALADO EM REDE DE ALIMENTAÇÃO PARA HIDRANTE - FORNECIMENTO E INSTALAÇÃO. AF_12/2015</v>
          </cell>
          <cell r="C3792" t="str">
            <v>UN</v>
          </cell>
          <cell r="D3792">
            <v>153.96</v>
          </cell>
        </row>
        <row r="3793">
          <cell r="A3793">
            <v>92657</v>
          </cell>
          <cell r="B3793" t="str">
            <v>NIPLE, EM FERRO GALVANIZADO, CONEXÃO ROSQUEADA, DN 25 (1"), INSTALADO EM REDE DE ALIMENTAÇÃO PARA SPRINKLER - FORNECIMENTO E INSTALAÇÃO. AF_12/2015</v>
          </cell>
          <cell r="C3793" t="str">
            <v>UN</v>
          </cell>
          <cell r="D3793">
            <v>17.329999999999998</v>
          </cell>
        </row>
        <row r="3794">
          <cell r="A3794">
            <v>92658</v>
          </cell>
          <cell r="B3794" t="str">
            <v>LUVA, EM FERRO GALVANIZADO, CONEXÃO ROSQUEADA, DN 25 (1"), INSTALADO EM REDE DE ALIMENTAÇÃO PARA SPRINKLER - FORNECIMENTO E INSTALAÇÃO. AF_12/2015</v>
          </cell>
          <cell r="C3794" t="str">
            <v>UN</v>
          </cell>
          <cell r="D3794">
            <v>18.37</v>
          </cell>
        </row>
        <row r="3795">
          <cell r="A3795">
            <v>92659</v>
          </cell>
          <cell r="B3795" t="str">
            <v>NIPLE, EM FERRO GALVANIZADO, CONEXÃO ROSQUEADA, DN 32 (1 1/4"), INSTALADO EM REDE DE ALIMENTAÇÃO PARA SPRINKLER - FORNECIMENTO E INSTALAÇÃO. AF_12/2015</v>
          </cell>
          <cell r="C3795" t="str">
            <v>UN</v>
          </cell>
          <cell r="D3795">
            <v>21.08</v>
          </cell>
        </row>
        <row r="3796">
          <cell r="A3796">
            <v>92660</v>
          </cell>
          <cell r="B3796" t="str">
            <v>LUVA, EM FERRO GALVANIZADO, CONEXÃO ROSQUEADA, DN 32 (1 1/4"), INSTALADO EM REDE DE ALIMENTAÇÃO PARA SPRINKLER - FORNECIMENTO E INSTALAÇÃO. AF_12/2015</v>
          </cell>
          <cell r="C3796" t="str">
            <v>UN</v>
          </cell>
          <cell r="D3796">
            <v>22.04</v>
          </cell>
        </row>
        <row r="3797">
          <cell r="A3797">
            <v>92661</v>
          </cell>
          <cell r="B3797" t="str">
            <v>NIPLE, EM FERRO GALVANIZADO, CONEXÃO ROSQUEADA, DN 40 (1 1/2"), INSTALADO EM REDE DE ALIMENTAÇÃO PARA SPRINKLER - FORNECIMENTO E INSTALAÇÃO. AF_12/2015</v>
          </cell>
          <cell r="C3797" t="str">
            <v>UN</v>
          </cell>
          <cell r="D3797">
            <v>24.94</v>
          </cell>
        </row>
        <row r="3798">
          <cell r="A3798">
            <v>92662</v>
          </cell>
          <cell r="B3798" t="str">
            <v>LUVA, EM FERRO GALVANIZADO, CONEXÃO ROSQUEADA, DN 40 (1 1/2"), INSTALADO EM REDE DE ALIMENTAÇÃO PARA SPRINKLER - FORNECIMENTO E INSTALAÇÃO. AF_12/2015</v>
          </cell>
          <cell r="C3798" t="str">
            <v>UN</v>
          </cell>
          <cell r="D3798">
            <v>25.12</v>
          </cell>
        </row>
        <row r="3799">
          <cell r="A3799">
            <v>92663</v>
          </cell>
          <cell r="B3799" t="str">
            <v>NIPLE, EM FERRO GALVANIZADO, CONEXÃO ROSQUEADA, DN 50 (2"), INSTALADO EM REDE DE ALIMENTAÇÃO PARA SPRINKLER - FORNECIMENTO E INSTALAÇÃO. AF_12/2015</v>
          </cell>
          <cell r="C3799" t="str">
            <v>UN</v>
          </cell>
          <cell r="D3799">
            <v>32.94</v>
          </cell>
        </row>
        <row r="3800">
          <cell r="A3800">
            <v>92664</v>
          </cell>
          <cell r="B3800" t="str">
            <v>LUVA, EM FERRO GALVANIZADO, CONEXÃO ROSQUEADA, DN 50 (2"), INSTALADO EM REDE DE ALIMENTAÇÃO PARA SPRINKLER - FORNECIMENTO E INSTALAÇÃO. AF_12/2015</v>
          </cell>
          <cell r="C3800" t="str">
            <v>UN</v>
          </cell>
          <cell r="D3800">
            <v>32.93</v>
          </cell>
        </row>
        <row r="3801">
          <cell r="A3801">
            <v>92665</v>
          </cell>
          <cell r="B3801" t="str">
            <v>NIPLE, EM FERRO GALVANIZADO, CONEXÃO ROSQUEADA, DN 65 (2 1/2"), INSTALADO EM REDE DE ALIMENTAÇÃO PARA SPRINKLER - FORNECIMENTO E INSTALAÇÃO. AF_12/2015</v>
          </cell>
          <cell r="C3801" t="str">
            <v>UN</v>
          </cell>
          <cell r="D3801">
            <v>44.77</v>
          </cell>
        </row>
        <row r="3802">
          <cell r="A3802">
            <v>92666</v>
          </cell>
          <cell r="B3802" t="str">
            <v>LUVA, EM FERRO GALVANIZADO, CONEXÃO ROSQUEADA, DN 65 (2 1/2"), INSTALADO EM REDE DE ALIMENTAÇÃO PARA SPRINKLER - FORNECIMENTO E INSTALAÇÃO. AF_12/2015</v>
          </cell>
          <cell r="C3802" t="str">
            <v>UN</v>
          </cell>
          <cell r="D3802">
            <v>50.52</v>
          </cell>
        </row>
        <row r="3803">
          <cell r="A3803">
            <v>92667</v>
          </cell>
          <cell r="B3803" t="str">
            <v>NIPLE, EM FERRO GALVANIZADO, CONEXÃO ROSQUEADA, DN 80 (3"), INSTALADO EM REDE DE ALIMENTAÇÃO PARA SPRINKLER - FORNECIMENTO E INSTALAÇÃO. AF_12/2015</v>
          </cell>
          <cell r="C3803" t="str">
            <v>UN</v>
          </cell>
          <cell r="D3803">
            <v>65.05</v>
          </cell>
        </row>
        <row r="3804">
          <cell r="A3804">
            <v>92668</v>
          </cell>
          <cell r="B3804" t="str">
            <v>LUVA, EM FERRO GALVANIZADO, CONEXÃO ROSQUEADA, DN 80 (3"), INSTALADO EM REDE DE ALIMENTAÇÃO PARA SPRINKLER - FORNECIMENTO E INSTALAÇÃO. AF_12/2015</v>
          </cell>
          <cell r="C3804" t="str">
            <v>UN</v>
          </cell>
          <cell r="D3804">
            <v>70.17</v>
          </cell>
        </row>
        <row r="3805">
          <cell r="A3805">
            <v>92669</v>
          </cell>
          <cell r="B3805" t="str">
            <v>JOELHO 45 GRAUS, EM FERRO GALVANIZADO, CONEXÃO ROSQUEADA, DN 25 (1"), INSTALADO EM REDE DE ALIMENTAÇÃO PARA SPRINKLER - FORNECIMENTO E INSTALAÇÃO. AF_12/2015</v>
          </cell>
          <cell r="C3805" t="str">
            <v>UN</v>
          </cell>
          <cell r="D3805">
            <v>26.26</v>
          </cell>
        </row>
        <row r="3806">
          <cell r="A3806">
            <v>92670</v>
          </cell>
          <cell r="B3806" t="str">
            <v>JOELHO 90 GRAUS, EM FERRO GALVANIZADO, CONEXÃO ROSQUEADA, DN 25 (1"), INSTALADO EM REDE DE ALIMENTAÇÃO PARA SPRINKLER - FORNECIMENTO E INSTALAÇÃO. AF_12/2015</v>
          </cell>
          <cell r="C3806" t="str">
            <v>UN</v>
          </cell>
          <cell r="D3806">
            <v>24.88</v>
          </cell>
        </row>
        <row r="3807">
          <cell r="A3807">
            <v>92671</v>
          </cell>
          <cell r="B3807" t="str">
            <v>JOELHO 45 GRAUS, EM FERRO GALVANIZADO, CONEXÃO ROSQUEADA, DN 32 (1 1/4"), INSTALADO EM REDE DE ALIMENTAÇÃO PARA SPRINKLER - FORNECIMENTO E INSTALAÇÃO. AF_12/2015</v>
          </cell>
          <cell r="C3807" t="str">
            <v>UN</v>
          </cell>
          <cell r="D3807">
            <v>33.56</v>
          </cell>
        </row>
        <row r="3808">
          <cell r="A3808">
            <v>92672</v>
          </cell>
          <cell r="B3808" t="str">
            <v>JOELHO 90 GRAUS, EM FERRO GALVANIZADO, CONEXÃO ROSQUEADA, DN 32 (1 1/4"), INSTALADO EM REDE DE ALIMENTAÇÃO PARA SPRINKLER - FORNECIMENTO E INSTALAÇÃO. AF_12/2015</v>
          </cell>
          <cell r="C3808" t="str">
            <v>UN</v>
          </cell>
          <cell r="D3808">
            <v>30.83</v>
          </cell>
        </row>
        <row r="3809">
          <cell r="A3809">
            <v>92673</v>
          </cell>
          <cell r="B3809" t="str">
            <v>JOELHO 45 GRAUS, EM FERRO GALVANIZADO, CONEXÃO ROSQUEADA, DN 40 (1 1/2"), INSTALADO EM REDE DE ALIMENTAÇÃO PARA SPRINKLER - FORNECIMENTO E INSTALAÇÃO. AF_12/2015</v>
          </cell>
          <cell r="C3809" t="str">
            <v>UN</v>
          </cell>
          <cell r="D3809">
            <v>38.270000000000003</v>
          </cell>
        </row>
        <row r="3810">
          <cell r="A3810">
            <v>92674</v>
          </cell>
          <cell r="B3810" t="str">
            <v>JOELHO 90 GRAUS, EM FERRO GALVANIZADO, CONEXÃO ROSQUEADA, DN 40 (1 1/2"), INSTALADO EM REDE DE ALIMENTAÇÃO PARA SPRINKLER - FORNECIMENTO E INSTALAÇÃO. AF_12/2015</v>
          </cell>
          <cell r="C3810" t="str">
            <v>UN</v>
          </cell>
          <cell r="D3810">
            <v>36.39</v>
          </cell>
        </row>
        <row r="3811">
          <cell r="A3811">
            <v>92675</v>
          </cell>
          <cell r="B3811" t="str">
            <v>JOELHO 45 GRAUS, EM FERRO GALVANIZADO, CONEXÃO ROSQUEADA, DN 50 (2"), INSTALADO EM REDE DE ALIMENTAÇÃO PARA SPRINKLER - FORNECIMENTO E INSTALAÇÃO. AF_12/2015</v>
          </cell>
          <cell r="C3811" t="str">
            <v>UN</v>
          </cell>
          <cell r="D3811">
            <v>48.86</v>
          </cell>
        </row>
        <row r="3812">
          <cell r="A3812">
            <v>92676</v>
          </cell>
          <cell r="B3812" t="str">
            <v>JOELHO 90 GRAUS, EM FERRO GALVANIZADO, CONEXÃO ROSQUEADA, DN 50 (2"), INSTALADO EM REDE DE ALIMENTAÇÃO PARA SPRINKLER - FORNECIMENTO E INSTALAÇÃO. AF_12/2015</v>
          </cell>
          <cell r="C3812" t="str">
            <v>UN</v>
          </cell>
          <cell r="D3812">
            <v>47.58</v>
          </cell>
        </row>
        <row r="3813">
          <cell r="A3813">
            <v>92677</v>
          </cell>
          <cell r="B3813" t="str">
            <v>JOELHO 45 GRAUS, EM FERRO GALVANIZADO, CONEXÃO ROSQUEADA, DN 65 (2 1/2"), INSTALADO EM REDE DE ALIMENTAÇÃO PARA SPRINKLER - FORNECIMENTO E INSTALAÇÃO. AF_12/2015</v>
          </cell>
          <cell r="C3813" t="str">
            <v>UN</v>
          </cell>
          <cell r="D3813">
            <v>78.16</v>
          </cell>
        </row>
        <row r="3814">
          <cell r="A3814">
            <v>92678</v>
          </cell>
          <cell r="B3814" t="str">
            <v>JOELHO 90 GRAUS, EM FERRO GALVANIZADO, CONEXÃO ROSQUEADA, DN 65 (2 1/2"), INSTALADO EM REDE DE ALIMENTAÇÃO PARA SPRINKLER - FORNECIMENTO E INSTALAÇÃO. AF_12/2015</v>
          </cell>
          <cell r="C3814" t="str">
            <v>UN</v>
          </cell>
          <cell r="D3814">
            <v>72.53</v>
          </cell>
        </row>
        <row r="3815">
          <cell r="A3815">
            <v>92679</v>
          </cell>
          <cell r="B3815" t="str">
            <v>JOELHO 45 GRAUS, EM FERRO GALVANIZADO, CONEXÃO ROSQUEADA, DN 80 (3"), INSTALADO EM REDE DE ALIMENTAÇÃO PARA SPRINKLER - FORNECIMENTO E INSTALAÇÃO. AF_12/2015</v>
          </cell>
          <cell r="C3815" t="str">
            <v>UN</v>
          </cell>
          <cell r="D3815">
            <v>106.29</v>
          </cell>
        </row>
        <row r="3816">
          <cell r="A3816">
            <v>92680</v>
          </cell>
          <cell r="B3816" t="str">
            <v>JOELHO 90 GRAUS, EM FERRO GALVANIZADO, CONEXÃO ROSQUEADA, DN 80 (3"), INSTALADO EM REDE DE ALIMENTAÇÃO PARA SPRINKLER - FORNECIMENTO E INSTALAÇÃO. AF_12/2015</v>
          </cell>
          <cell r="C3816" t="str">
            <v>UN</v>
          </cell>
          <cell r="D3816">
            <v>95.44</v>
          </cell>
        </row>
        <row r="3817">
          <cell r="A3817">
            <v>92681</v>
          </cell>
          <cell r="B3817" t="str">
            <v>TÊ, EM FERRO GALVANIZADO, CONEXÃO ROSQUEADA, DN 25 (1"), INSTALADO EM REDE DE ALIMENTAÇÃO PARA SPRINKLER - FORNECIMENTO E INSTALAÇÃO. AF_12/2015</v>
          </cell>
          <cell r="C3817" t="str">
            <v>UN</v>
          </cell>
          <cell r="D3817">
            <v>33.71</v>
          </cell>
        </row>
        <row r="3818">
          <cell r="A3818">
            <v>92682</v>
          </cell>
          <cell r="B3818" t="str">
            <v>TÊ, EM FERRO GALVANIZADO, CONEXÃO ROSQUEADA, DN 32 (1 1/4"), INSTALADO EM REDE DE ALIMENTAÇÃO PARA SPRINKLER - FORNECIMENTO E INSTALAÇÃO. AF_12/2015</v>
          </cell>
          <cell r="C3818" t="str">
            <v>UN</v>
          </cell>
          <cell r="D3818">
            <v>41.42</v>
          </cell>
        </row>
        <row r="3819">
          <cell r="A3819">
            <v>92683</v>
          </cell>
          <cell r="B3819" t="str">
            <v>TÊ, EM FERRO GALVANIZADO, CONEXÃO ROSQUEADA, DN 40 (1 1/2"), INSTALADO EM REDE DE ALIMENTAÇÃO PARA SPRINKLER - FORNECIMENTO E INSTALAÇÃO. AF_12/2015</v>
          </cell>
          <cell r="C3819" t="str">
            <v>UN</v>
          </cell>
          <cell r="D3819">
            <v>47.86</v>
          </cell>
        </row>
        <row r="3820">
          <cell r="A3820">
            <v>92684</v>
          </cell>
          <cell r="B3820" t="str">
            <v>TÊ, EM FERRO GALVANIZADO, CONEXÃO ROSQUEADA, DN 50 (2"), INSTALADO EM REDE DE ALIMENTAÇÃO PARA SPRINKLER - FORNECIMENTO E INSTALAÇÃO. AF_12/2015</v>
          </cell>
          <cell r="C3820" t="str">
            <v>UN</v>
          </cell>
          <cell r="D3820">
            <v>63.42</v>
          </cell>
        </row>
        <row r="3821">
          <cell r="A3821">
            <v>92685</v>
          </cell>
          <cell r="B3821" t="str">
            <v>TÊ, EM FERRO GALVANIZADO, CONEXÃO ROSQUEADA, DN 65 (2 1/2"), INSTALADO EM REDE DE ALIMENTAÇÃO PARA SPRINKLER - FORNECIMENTO E INSTALAÇÃO. AF_12/2015</v>
          </cell>
          <cell r="C3821" t="str">
            <v>UN</v>
          </cell>
          <cell r="D3821">
            <v>99.56</v>
          </cell>
        </row>
        <row r="3822">
          <cell r="A3822">
            <v>92686</v>
          </cell>
          <cell r="B3822" t="str">
            <v>TÊ, EM FERRO GALVANIZADO, CONEXÃO ROSQUEADA, DN 80 (3"), INSTALADO EM REDE DE ALIMENTAÇÃO PARA SPRINKLER - FORNECIMENTO E INSTALAÇÃO. AF_12/2015</v>
          </cell>
          <cell r="C3822" t="str">
            <v>UN</v>
          </cell>
          <cell r="D3822">
            <v>126.24</v>
          </cell>
        </row>
        <row r="3823">
          <cell r="A3823">
            <v>92692</v>
          </cell>
          <cell r="B3823" t="str">
            <v>NIPLE, EM FERRO GALVANIZADO, CONEXÃO ROSQUEADA, DN 15 (1/2"), INSTALADO EM RAMAIS E SUB-RAMAIS DE GÁS - FORNECIMENTO E INSTALAÇÃO. AF_12/2015</v>
          </cell>
          <cell r="C3823" t="str">
            <v>UN</v>
          </cell>
          <cell r="D3823">
            <v>9.42</v>
          </cell>
        </row>
        <row r="3824">
          <cell r="A3824">
            <v>92693</v>
          </cell>
          <cell r="B3824" t="str">
            <v>LUVA, EM FERRO GALVANIZADO, CONEXÃO ROSQUEADA, DN 15 (1/2"), INSTALADO EM RAMAIS E SUB-RAMAIS DE GÁS - FORNECIMENTO E INSTALAÇÃO. AF_12/2015</v>
          </cell>
          <cell r="C3824" t="str">
            <v>UN</v>
          </cell>
          <cell r="D3824">
            <v>9.65</v>
          </cell>
        </row>
        <row r="3825">
          <cell r="A3825">
            <v>92694</v>
          </cell>
          <cell r="B3825" t="str">
            <v>NIPLE, EM FERRO GALVANIZADO, CONEXÃO ROSQUEADA, DN 20 (3/4"), INSTALADO EM RAMAIS E SUB-RAMAIS DE GÁS - FORNECIMENTO E INSTALAÇÃO. AF_12/2015</v>
          </cell>
          <cell r="C3825" t="str">
            <v>UN</v>
          </cell>
          <cell r="D3825">
            <v>15.09</v>
          </cell>
        </row>
        <row r="3826">
          <cell r="A3826">
            <v>92695</v>
          </cell>
          <cell r="B3826" t="str">
            <v>LUVA, EM FERRO GALVANIZADO, CONEXÃO ROSQUEADA, DN 20 (3/4"), INSTALADO EM RAMAIS E SUB-RAMAIS DE GÁS - FORNECIMENTO E INSTALAÇÃO. AF_12/2015</v>
          </cell>
          <cell r="C3826" t="str">
            <v>UN</v>
          </cell>
          <cell r="D3826">
            <v>15.32</v>
          </cell>
        </row>
        <row r="3827">
          <cell r="A3827">
            <v>92696</v>
          </cell>
          <cell r="B3827" t="str">
            <v>NIPLE, EM FERRO GALVANIZADO, CONEXÃO ROSQUEADA, DN 25 (1"), INSTALADO EM RAMAIS E SUB-RAMAIS DE GÁS - FORNECIMENTO E INSTALAÇÃO. AF_12/2015</v>
          </cell>
          <cell r="C3827" t="str">
            <v>UN</v>
          </cell>
          <cell r="D3827">
            <v>23.73</v>
          </cell>
        </row>
        <row r="3828">
          <cell r="A3828">
            <v>92697</v>
          </cell>
          <cell r="B3828" t="str">
            <v>LUVA, EM FERRO GALVANIZADO, CONEXÃO ROSQUEADA, DN 25 (1"), INSTALADO EM RAMAIS E SUB-RAMAIS DE GÁS - FORNECIMENTO E INSTALAÇÃO. AF_12/2015</v>
          </cell>
          <cell r="C3828" t="str">
            <v>UN</v>
          </cell>
          <cell r="D3828">
            <v>24.77</v>
          </cell>
        </row>
        <row r="3829">
          <cell r="A3829">
            <v>92698</v>
          </cell>
          <cell r="B3829" t="str">
            <v>JOELHO 45 GRAUS, EM FERRO GALVANIZADO, CONEXÃO ROSQUEADA, DN 15 (1/2"), INSTALADO EM RAMAIS E SUB-RAMAIS DE GÁS - FORNECIMENTO E INSTALAÇÃO. AF_12/2015</v>
          </cell>
          <cell r="C3829" t="str">
            <v>UN</v>
          </cell>
          <cell r="D3829">
            <v>13.91</v>
          </cell>
        </row>
        <row r="3830">
          <cell r="A3830">
            <v>92699</v>
          </cell>
          <cell r="B3830" t="str">
            <v>JOELHO 90 GRAUS, EM FERRO GALVANIZADO, CONEXÃO ROSQUEADA, DN 15 (1/2"), INSTALADO EM RAMAIS E SUB-RAMAIS DE GÁS - FORNECIMENTO E INSTALAÇÃO. AF_12/2015</v>
          </cell>
          <cell r="C3830" t="str">
            <v>UN</v>
          </cell>
          <cell r="D3830">
            <v>13.17</v>
          </cell>
        </row>
        <row r="3831">
          <cell r="A3831">
            <v>92700</v>
          </cell>
          <cell r="B3831" t="str">
            <v>JOELHO 45 GRAUS, EM FERRO GALVANIZADO, CONEXÃO ROSQUEADA, DN 20 (3/4"), INSTALADO EM RAMAIS E SUB-RAMAIS DE GÁS - FORNECIMENTO E INSTALAÇÃO. AF_12/2015</v>
          </cell>
          <cell r="C3831" t="str">
            <v>UN</v>
          </cell>
          <cell r="D3831">
            <v>22.85</v>
          </cell>
        </row>
        <row r="3832">
          <cell r="A3832">
            <v>92701</v>
          </cell>
          <cell r="B3832" t="str">
            <v>JOELHO 90 GRAUS, EM FERRO GALVANIZADO, CONEXÃO ROSQUEADA, DN 20 (3/4"), INSTALADO EM RAMAIS E SUB-RAMAIS DE GÁS - FORNECIMENTO E INSTALAÇÃO. AF_12/2015</v>
          </cell>
          <cell r="C3832" t="str">
            <v>UN</v>
          </cell>
          <cell r="D3832">
            <v>21.73</v>
          </cell>
        </row>
        <row r="3833">
          <cell r="A3833">
            <v>92702</v>
          </cell>
          <cell r="B3833" t="str">
            <v>JOELHO 45 GRAUS, EM FERRO GALVANIZADO, CONEXÃO ROSQUEADA, DN 25 (1"), INSTALADO EM RAMAIS E SUB-RAMAIS DE GÁS - FORNECIMENTO E INSTALAÇÃO. AF_12/2015</v>
          </cell>
          <cell r="C3833" t="str">
            <v>UN</v>
          </cell>
          <cell r="D3833">
            <v>35.89</v>
          </cell>
        </row>
        <row r="3834">
          <cell r="A3834">
            <v>92703</v>
          </cell>
          <cell r="B3834" t="str">
            <v>JOELHO 90 GRAUS, EM FERRO GALVANIZADO, CONEXÃO ROSQUEADA, DN 25 (1"), INSTALADO EM RAMAIS E SUB-RAMAIS DE GÁS - FORNECIMENTO E INSTALAÇÃO. AF_12/2015</v>
          </cell>
          <cell r="C3834" t="str">
            <v>UN</v>
          </cell>
          <cell r="D3834">
            <v>34.51</v>
          </cell>
        </row>
        <row r="3835">
          <cell r="A3835">
            <v>92704</v>
          </cell>
          <cell r="B3835" t="str">
            <v>TÊ, EM FERRO GALVANIZADO, CONEXÃO ROSQUEADA, DN 15 (1/2"), INSTALADO EM RAMAIS E SUB-RAMAIS DE GÁS - FORNECIMENTO E INSTALAÇÃO. AF_12/2015</v>
          </cell>
          <cell r="C3835" t="str">
            <v>UN</v>
          </cell>
          <cell r="D3835">
            <v>17.739999999999998</v>
          </cell>
        </row>
        <row r="3836">
          <cell r="A3836">
            <v>92705</v>
          </cell>
          <cell r="B3836" t="str">
            <v>TÊ, EM FERRO GALVANIZADO, CONEXÃO ROSQUEADA, DN 20 (3/4"), INSTALADO EM RAMAIS E SUB-RAMAIS DE GÁS - FORNECIMENTO E INSTALAÇÃO. AF_12/2015</v>
          </cell>
          <cell r="C3836" t="str">
            <v>UN</v>
          </cell>
          <cell r="D3836">
            <v>28.77</v>
          </cell>
        </row>
        <row r="3837">
          <cell r="A3837">
            <v>92706</v>
          </cell>
          <cell r="B3837" t="str">
            <v>TÊ, EM FERRO GALVANIZADO, CONEXÃO ROSQUEADA, DN 25 (1"), INSTALADO EM RAMAIS E SUB-RAMAIS DE GÁS - FORNECIMENTO E INSTALAÇÃO. AF_12/2015</v>
          </cell>
          <cell r="C3837" t="str">
            <v>UN</v>
          </cell>
          <cell r="D3837">
            <v>46.56</v>
          </cell>
        </row>
        <row r="3838">
          <cell r="A3838">
            <v>92889</v>
          </cell>
          <cell r="B3838" t="str">
            <v>UNIÃO, EM FERRO GALVANIZADO, DN 50 (2"), CONEXÃO ROSQUEADA, INSTALADO EM PRUMADAS - FORNECIMENTO E INSTALAÇÃO. AF_12/2015</v>
          </cell>
          <cell r="C3838" t="str">
            <v>UN</v>
          </cell>
          <cell r="D3838">
            <v>80.260000000000005</v>
          </cell>
        </row>
        <row r="3839">
          <cell r="A3839">
            <v>92890</v>
          </cell>
          <cell r="B3839" t="str">
            <v>UNIÃO, EM FERRO GALVANIZADO, DN 65 (2 1/2"), CONEXÃO ROSQUEADA, INSTALADO EM PRUMADAS - FORNECIMENTO E INSTALAÇÃO. AF_12/2015</v>
          </cell>
          <cell r="C3839" t="str">
            <v>UN</v>
          </cell>
          <cell r="D3839">
            <v>119.68</v>
          </cell>
        </row>
        <row r="3840">
          <cell r="A3840">
            <v>92891</v>
          </cell>
          <cell r="B3840" t="str">
            <v>UNIÃO, EM FERRO GALVANIZADO, DN 80 (3"), CONEXÃO ROSQUEADA, INSTALADO EM PRUMADAS - FORNECIMENTO E INSTALAÇÃO. AF_12/2015</v>
          </cell>
          <cell r="C3840" t="str">
            <v>UN</v>
          </cell>
          <cell r="D3840">
            <v>173.57</v>
          </cell>
        </row>
        <row r="3841">
          <cell r="A3841">
            <v>92892</v>
          </cell>
          <cell r="B3841" t="str">
            <v>UNIÃO, EM FERRO GALVANIZADO, DN 25 (1"), CONEXÃO ROSQUEADA, INSTALADO EM REDE DE ALIMENTAÇÃO PARA HIDRANTE - FORNECIMENTO E INSTALAÇÃO. AF_12/2015</v>
          </cell>
          <cell r="C3841" t="str">
            <v>UN</v>
          </cell>
          <cell r="D3841">
            <v>36.159999999999997</v>
          </cell>
        </row>
        <row r="3842">
          <cell r="A3842">
            <v>92893</v>
          </cell>
          <cell r="B3842" t="str">
            <v>UNIÃO, EM FERRO GALVANIZADO, DN 32 (1 1/4"), CONEXÃO ROSQUEADA, INSTALADO EM REDE DE ALIMENTAÇÃO PARA HIDRANTE - FORNECIMENTO E INSTALAÇÃO. AF_12/2015</v>
          </cell>
          <cell r="C3842" t="str">
            <v>UN</v>
          </cell>
          <cell r="D3842">
            <v>50.28</v>
          </cell>
        </row>
        <row r="3843">
          <cell r="A3843">
            <v>92894</v>
          </cell>
          <cell r="B3843" t="str">
            <v>UNIÃO, EM FERRO GALVANIZADO, DN 40 (1 1/2"), CONEXÃO ROSQUEADA, INSTALADO EM REDE DE ALIMENTAÇÃO PARA HIDRANTE - FORNECIMENTO E INSTALAÇÃO. AF_12/2015</v>
          </cell>
          <cell r="C3843" t="str">
            <v>UN</v>
          </cell>
          <cell r="D3843">
            <v>59.7</v>
          </cell>
        </row>
        <row r="3844">
          <cell r="A3844">
            <v>92895</v>
          </cell>
          <cell r="B3844" t="str">
            <v>UNIÃO, EM FERRO GALVANIZADO, DN 50 (2"), CONEXÃO ROSQUEADA, INSTALADO EM REDE DE ALIMENTAÇÃO PARA HIDRANTE - FORNECIMENTO E INSTALAÇÃO. AF_12/2015</v>
          </cell>
          <cell r="C3844" t="str">
            <v>UN</v>
          </cell>
          <cell r="D3844">
            <v>80.22</v>
          </cell>
        </row>
        <row r="3845">
          <cell r="A3845">
            <v>92896</v>
          </cell>
          <cell r="B3845" t="str">
            <v>UNIÃO, EM FERRO GALVANIZADO, DN 65 (2 1/2"), CONEXÃO ROSQUEADA, INSTALADO EM REDE DE ALIMENTAÇÃO PARA HIDRANTE - FORNECIMENTO E INSTALAÇÃO. AF_12/2015</v>
          </cell>
          <cell r="C3845" t="str">
            <v>UN</v>
          </cell>
          <cell r="D3845">
            <v>120.88</v>
          </cell>
        </row>
        <row r="3846">
          <cell r="A3846">
            <v>92897</v>
          </cell>
          <cell r="B3846" t="str">
            <v>UNIÃO, EM FERRO GALVANIZADO, DN 80 (3"), CONEXÃO ROSQUEADA, INSTALADO EM REDE DE ALIMENTAÇÃO PARA HIDRANTE - FORNECIMENTO E INSTALAÇÃO. AF_12/2015</v>
          </cell>
          <cell r="C3846" t="str">
            <v>UN</v>
          </cell>
          <cell r="D3846">
            <v>176.04</v>
          </cell>
        </row>
        <row r="3847">
          <cell r="A3847">
            <v>92898</v>
          </cell>
          <cell r="B3847" t="str">
            <v>UNIÃO, EM FERRO GALVANIZADO, CONEXÃO ROSQUEADA, DN 25 (1"), INSTALADO EM REDE DE ALIMENTAÇÃO PARA SPRINKLER - FORNECIMENTO E INSTALAÇÃO. AF_12/2015</v>
          </cell>
          <cell r="C3847" t="str">
            <v>UN</v>
          </cell>
          <cell r="D3847">
            <v>29.48</v>
          </cell>
        </row>
        <row r="3848">
          <cell r="A3848">
            <v>92899</v>
          </cell>
          <cell r="B3848" t="str">
            <v>UNIÃO, EM FERRO GALVANIZADO, CONEXÃO ROSQUEADA, DN 32 (1 1/4"), INSTALADO EM REDE DE ALIMENTAÇÃO PARA SPRINKLER - FORNECIMENTO E INSTALAÇÃO. AF_12/2015</v>
          </cell>
          <cell r="C3848" t="str">
            <v>UN</v>
          </cell>
          <cell r="D3848">
            <v>42.7</v>
          </cell>
        </row>
        <row r="3849">
          <cell r="A3849">
            <v>92900</v>
          </cell>
          <cell r="B3849" t="str">
            <v>UNIÃO, EM FERRO GALVANIZADO, CONEXÃO ROSQUEADA, DN 40 (1 1/2"), INSTALADO EM REDE DE ALIMENTAÇÃO PARA SPRINKLER - FORNECIMENTO E INSTALAÇÃO. AF_12/2015</v>
          </cell>
          <cell r="C3849" t="str">
            <v>UN</v>
          </cell>
          <cell r="D3849">
            <v>51.05</v>
          </cell>
        </row>
        <row r="3850">
          <cell r="A3850">
            <v>92901</v>
          </cell>
          <cell r="B3850" t="str">
            <v>UNIÃO, EM FERRO GALVANIZADO, CONEXÃO ROSQUEADA, DN 50 (2"), INSTALADO EM REDE DE ALIMENTAÇÃO PARA SPRINKLER - FORNECIMENTO E INSTALAÇÃO. AF_12/2015</v>
          </cell>
          <cell r="C3850" t="str">
            <v>UN</v>
          </cell>
          <cell r="D3850">
            <v>70.27</v>
          </cell>
        </row>
        <row r="3851">
          <cell r="A3851">
            <v>92902</v>
          </cell>
          <cell r="B3851" t="str">
            <v>UNIÃO, EM FERRO GALVANIZADO, CONEXÃO ROSQUEADA, DN 65 (2 1/2"), INSTALADO EM REDE DE ALIMENTAÇÃO PARA SPRINKLER - FORNECIMENTO E INSTALAÇÃO. AF_12/2015</v>
          </cell>
          <cell r="C3851" t="str">
            <v>UN</v>
          </cell>
          <cell r="D3851">
            <v>108.97</v>
          </cell>
        </row>
        <row r="3852">
          <cell r="A3852">
            <v>92903</v>
          </cell>
          <cell r="B3852" t="str">
            <v>UNIÃO, EM FERRO GALVANIZADO, CONEXÃO ROSQUEADA, DN 80 (3"), INSTALADO EM REDE DE ALIMENTAÇÃO PARA SPRINKLER - FORNECIMENTO E INSTALAÇÃO. AF_12/2015</v>
          </cell>
          <cell r="C3852" t="str">
            <v>UN</v>
          </cell>
          <cell r="D3852">
            <v>162.18</v>
          </cell>
        </row>
        <row r="3853">
          <cell r="A3853">
            <v>92904</v>
          </cell>
          <cell r="B3853" t="str">
            <v>UNIÃO, EM FERRO GALVANIZADO, CONEXÃO ROSQUEADA, DN 15 (1/2"), INSTALADO EM RAMAIS E SUB-RAMAIS DE GÁS - FORNECIMENTO E INSTALAÇÃO. AF_12/2015</v>
          </cell>
          <cell r="C3853" t="str">
            <v>UN</v>
          </cell>
          <cell r="D3853">
            <v>19.850000000000001</v>
          </cell>
        </row>
        <row r="3854">
          <cell r="A3854">
            <v>92905</v>
          </cell>
          <cell r="B3854" t="str">
            <v>UNIÃO, EM FERRO GALVANIZADO, CONEXÃO ROSQUEADA, DN 20 (3/4"), INSTALADO EM RAMAIS E SUB-RAMAIS DE GÁS - FORNECIMENTO E INSTALAÇÃO. AF_12/2015</v>
          </cell>
          <cell r="C3854" t="str">
            <v>UN</v>
          </cell>
          <cell r="D3854">
            <v>28.71</v>
          </cell>
        </row>
        <row r="3855">
          <cell r="A3855">
            <v>92906</v>
          </cell>
          <cell r="B3855" t="str">
            <v>UNIÃO, EM FERRO GALVANIZADO, CONEXÃO ROSQUEADA, DN 25 (1"), INSTALADO EM RAMAIS E SUB-RAMAIS DE GÁS - FORNECIMENTO E INSTALAÇÃO. AF_12/2015</v>
          </cell>
          <cell r="C3855" t="str">
            <v>UN</v>
          </cell>
          <cell r="D3855">
            <v>35.880000000000003</v>
          </cell>
        </row>
        <row r="3856">
          <cell r="A3856">
            <v>92907</v>
          </cell>
          <cell r="B3856" t="str">
            <v>LUVA DE REDUÇÃO, EM FERRO GALVANIZADO, 2" X 1 1/2", CONEXÃO ROSQUEADA, INSTALADO EM PRUMADAS - FORNECIMENTO E INSTALAÇÃO. AF_12/2015</v>
          </cell>
          <cell r="C3856" t="str">
            <v>UN</v>
          </cell>
          <cell r="D3856">
            <v>45.09</v>
          </cell>
        </row>
        <row r="3857">
          <cell r="A3857">
            <v>92908</v>
          </cell>
          <cell r="B3857" t="str">
            <v>LUVA DE REDUÇÃO, EM FERRO GALVANIZADO, 2" X 1 1/4", CONEXÃO ROSQUEADA, INSTALADO EM PRUMADAS - FORNECIMENTO E INSTALAÇÃO. AF_12/2015</v>
          </cell>
          <cell r="C3857" t="str">
            <v>UN</v>
          </cell>
          <cell r="D3857">
            <v>45.09</v>
          </cell>
        </row>
        <row r="3858">
          <cell r="A3858">
            <v>92909</v>
          </cell>
          <cell r="B3858" t="str">
            <v>LUVA DE REDUÇÃO, EM FERRO GALVANIZADO, 2" X 1", CONEXÃO ROSQUEADA, INSTALADO EM PRUMADAS - FORNECIMENTO E INSTALAÇÃO. AF_12/2015</v>
          </cell>
          <cell r="C3858" t="str">
            <v>UN</v>
          </cell>
          <cell r="D3858">
            <v>45.09</v>
          </cell>
        </row>
        <row r="3859">
          <cell r="A3859">
            <v>92910</v>
          </cell>
          <cell r="B3859" t="str">
            <v>LUVA DE REDUÇÃO, EM FERRO GALVANIZADO, 2 1/2" X 1 1/2", CONEXÃO ROSQUEADA, INSTALADO EM PRUMADAS - FORNECIMENTO E INSTALAÇÃO. AF_12/2015</v>
          </cell>
          <cell r="C3859" t="str">
            <v>UN</v>
          </cell>
          <cell r="D3859">
            <v>63.66</v>
          </cell>
        </row>
        <row r="3860">
          <cell r="A3860">
            <v>92911</v>
          </cell>
          <cell r="B3860" t="str">
            <v>LUVA DE REDUÇÃO, EM FERRO GALVANIZADO, 2 1/2" X 2", CONEXÃO ROSQUEADA, INSTALADO EM PRUMADAS - FORNECIMENTO E INSTALAÇÃO. AF_12/2015</v>
          </cell>
          <cell r="C3860" t="str">
            <v>UN</v>
          </cell>
          <cell r="D3860">
            <v>63.66</v>
          </cell>
        </row>
        <row r="3861">
          <cell r="A3861">
            <v>92912</v>
          </cell>
          <cell r="B3861" t="str">
            <v>LUVA DE REDUÇÃO, EM FERRO GALVANIZADO, 3" X 1 1/2", CONEXÃO ROSQUEADA, INSTALADO EM PRUMADAS - FORNECIMENTO E INSTALAÇÃO. AF_12/2015</v>
          </cell>
          <cell r="C3861" t="str">
            <v>UN</v>
          </cell>
          <cell r="D3861">
            <v>83.71</v>
          </cell>
        </row>
        <row r="3862">
          <cell r="A3862">
            <v>92913</v>
          </cell>
          <cell r="B3862" t="str">
            <v>LUVA DE REDUÇÃO, EM FERRO GALVANIZADO, 3" X 2 1/2", CONEXÃO ROSQUEADA, INSTALADO EM PRUMADAS - FORNECIMENTO E INSTALAÇÃO. AF_12/2015</v>
          </cell>
          <cell r="C3862" t="str">
            <v>UN</v>
          </cell>
          <cell r="D3862">
            <v>85.8</v>
          </cell>
        </row>
        <row r="3863">
          <cell r="A3863">
            <v>92914</v>
          </cell>
          <cell r="B3863" t="str">
            <v>LUVA DE REDUÇÃO, EM FERRO GALVANIZADO, 3" X 2", CONEXÃO ROSQUEADA, INSTALADO EM PRUMADAS - FORNECIMENTO E INSTALAÇÃO. AF_12/2015</v>
          </cell>
          <cell r="C3863" t="str">
            <v>UN</v>
          </cell>
          <cell r="D3863">
            <v>85.8</v>
          </cell>
        </row>
        <row r="3864">
          <cell r="A3864">
            <v>92918</v>
          </cell>
          <cell r="B3864" t="str">
            <v>LUVA DE REDUÇÃO, EM FERRO GALVANIZADO, 1" X 1/2", CONEXÃO ROSQUEADA, INSTALADO EM REDE DE ALIMENTAÇÃO PARA HIDRANTE - FORNECIMENTO E INSTALAÇÃO. AF_12/2015</v>
          </cell>
          <cell r="C3864" t="str">
            <v>UN</v>
          </cell>
          <cell r="D3864">
            <v>24.96</v>
          </cell>
        </row>
        <row r="3865">
          <cell r="A3865">
            <v>92920</v>
          </cell>
          <cell r="B3865" t="str">
            <v>LUVA DE REDUÇÃO, EM FERRO GALVANIZADO, 1" X 3/4", CONEXÃO ROSQUEADA, INSTALADO EM REDE DE ALIMENTAÇÃO PARA HIDRANTE - FORNECIMENTO E INSTALAÇÃO. AF_12/2015</v>
          </cell>
          <cell r="C3865" t="str">
            <v>UN</v>
          </cell>
          <cell r="D3865">
            <v>25.11</v>
          </cell>
        </row>
        <row r="3866">
          <cell r="A3866">
            <v>92925</v>
          </cell>
          <cell r="B3866" t="str">
            <v>LUVA DE REDUÇÃO, EM FERRO GALVANIZADO, 1 1/4" X 1", CONEXÃO ROSQUEADA, INSTALADO EM REDE DE ALIMENTAÇÃO PARA HIDRANTE - FORNECIMENTO E INSTALAÇÃO. AF_12/2015</v>
          </cell>
          <cell r="C3866" t="str">
            <v>UN</v>
          </cell>
          <cell r="D3866">
            <v>30.39</v>
          </cell>
        </row>
        <row r="3867">
          <cell r="A3867">
            <v>92926</v>
          </cell>
          <cell r="B3867" t="str">
            <v>LUVA DE REDUÇÃO, EM FERRO GALVANIZADO, 1 1/4" X 1/2", CONEXÃO ROSQUEADA, INSTALADO EM REDE DE ALIMENTAÇÃO PARA HIDRANTE - FORNECIMENTO E INSTALAÇÃO. AF_12/2015</v>
          </cell>
          <cell r="C3867" t="str">
            <v>UN</v>
          </cell>
          <cell r="D3867">
            <v>30.39</v>
          </cell>
        </row>
        <row r="3868">
          <cell r="A3868">
            <v>92927</v>
          </cell>
          <cell r="B3868" t="str">
            <v>LUVA DE REDUÇÃO, EM FERRO GALVANIZADO, 1 1/4" X 3/4", CONEXÃO ROSQUEADA, INSTALADO EM REDE DE ALIMENTAÇÃO PARA HIDRANTE - FORNECIMENTO E INSTALAÇÃO. AF_12/2015</v>
          </cell>
          <cell r="C3868" t="str">
            <v>UN</v>
          </cell>
          <cell r="D3868">
            <v>30.39</v>
          </cell>
        </row>
        <row r="3869">
          <cell r="A3869">
            <v>92928</v>
          </cell>
          <cell r="B3869" t="str">
            <v>LUVA DE REDUÇÃO, EM FERRO GALVANIZADO, 1 1/2" X 1 1/4", CONEXÃO ROSQUEADA, INSTALADO EM REDE DE ALIMENTAÇÃO PARA HIDRANTE - FORNECIMENTO E INSTALAÇÃO. AF_12/2015</v>
          </cell>
          <cell r="C3869" t="str">
            <v>UN</v>
          </cell>
          <cell r="D3869">
            <v>34.57</v>
          </cell>
        </row>
        <row r="3870">
          <cell r="A3870">
            <v>92929</v>
          </cell>
          <cell r="B3870" t="str">
            <v>LUVA DE REDUÇÃO, EM FERRO GALVANIZADO, 1 1/2" X 1", CONEXÃO ROSQUEADA, INSTALADO EM REDE DE ALIMENTAÇÃO PARA HIDRANTE - FORNECIMENTO E INSTALAÇÃO. AF_12/2015</v>
          </cell>
          <cell r="C3870" t="str">
            <v>UN</v>
          </cell>
          <cell r="D3870">
            <v>34.57</v>
          </cell>
        </row>
        <row r="3871">
          <cell r="A3871">
            <v>92930</v>
          </cell>
          <cell r="B3871" t="str">
            <v>LUVA DE REDUÇÃO, EM FERRO GALVANIZADO, 1 1/2" X 3/4", CONEXÃO ROSQUEADA, INSTALADO EM REDE DE ALIMENTAÇÃO PARA HIDRANTE - FORNECIMENTO E INSTALAÇÃO. AF_12/2015</v>
          </cell>
          <cell r="C3871" t="str">
            <v>UN</v>
          </cell>
          <cell r="D3871">
            <v>34.57</v>
          </cell>
        </row>
        <row r="3872">
          <cell r="A3872">
            <v>92931</v>
          </cell>
          <cell r="B3872" t="str">
            <v>LUVA DE REDUÇÃO, EM FERRO GALVANIZADO, 2" X 1 1/2", CONEXÃO ROSQUEADA, INSTALADO EM REDE DE ALIMENTAÇÃO PARA HIDRANTE - FORNECIMENTO E INSTALAÇÃO. AF_12/2015</v>
          </cell>
          <cell r="C3872" t="str">
            <v>UN</v>
          </cell>
          <cell r="D3872">
            <v>45.05</v>
          </cell>
        </row>
        <row r="3873">
          <cell r="A3873">
            <v>92932</v>
          </cell>
          <cell r="B3873" t="str">
            <v>LUVA DE REDUÇÃO, EM FERRO GALVANIZADO, 2" X 1 1/4", CONEXÃO ROSQUEADA, INSTALADO EM REDE DE ALIMENTAÇÃO PARA HIDRANTE - FORNECIMENTO E INSTALAÇÃO. AF_12/2015</v>
          </cell>
          <cell r="C3873" t="str">
            <v>UN</v>
          </cell>
          <cell r="D3873">
            <v>45.05</v>
          </cell>
        </row>
        <row r="3874">
          <cell r="A3874">
            <v>92933</v>
          </cell>
          <cell r="B3874" t="str">
            <v>LUVA DE REDUÇÃO, EM FERRO GALVANIZADO, 2" X 1", CONEXÃO ROSQUEADA, INSTALADO EM REDE DE ALIMENTAÇÃO PARA HIDRANTE - FORNECIMENTO E INSTALAÇÃO. AF_12/2015</v>
          </cell>
          <cell r="C3874" t="str">
            <v>UN</v>
          </cell>
          <cell r="D3874">
            <v>45.05</v>
          </cell>
        </row>
        <row r="3875">
          <cell r="A3875">
            <v>92934</v>
          </cell>
          <cell r="B3875" t="str">
            <v>LUVA DE REDUÇÃO, EM FERRO GALVANIZADO, 2 1/2" X 1 1/2", CONEXÃO ROSQUEADA, INSTALADO EM REDE DE ALIMENTAÇÃO PARA HIDRANTE - FORNECIMENTO E INSTALAÇÃO. AF_12/2015</v>
          </cell>
          <cell r="C3875" t="str">
            <v>UN</v>
          </cell>
          <cell r="D3875">
            <v>64.86</v>
          </cell>
        </row>
        <row r="3876">
          <cell r="A3876">
            <v>92935</v>
          </cell>
          <cell r="B3876" t="str">
            <v>LUVA DE REDUÇÃO, EM FERRO GALVANIZADO, 2 1/2" X 2", CONEXÃO ROSQUEADA, INSTALADO EM REDE DE ALIMENTAÇÃO PARA HIDRANTE - FORNECIMENTO E INSTALAÇÃO. AF_12/2015</v>
          </cell>
          <cell r="C3876" t="str">
            <v>UN</v>
          </cell>
          <cell r="D3876">
            <v>64.86</v>
          </cell>
        </row>
        <row r="3877">
          <cell r="A3877">
            <v>92936</v>
          </cell>
          <cell r="B3877" t="str">
            <v>LUVA DE REDUÇÃO, EM FERRO GALVANIZADO, 3" X 2 1/2", CONEXÃO ROSQUEADA, INSTALADO EM REDE DE ALIMENTAÇÃO PARA HIDRANTE - FORNECIMENTO E INSTALAÇÃO. AF_12/2015</v>
          </cell>
          <cell r="C3877" t="str">
            <v>UN</v>
          </cell>
          <cell r="D3877">
            <v>88.27</v>
          </cell>
        </row>
        <row r="3878">
          <cell r="A3878">
            <v>92937</v>
          </cell>
          <cell r="B3878" t="str">
            <v>LUVA DE REDUÇÃO, EM FERRO GALVANIZADO, 3" X 2", CONEXÃO ROSQUEADA, INSTALADO EM REDE DE ALIMENTAÇÃO PARA HIDRANTE - FORNECIMENTO E INSTALAÇÃO. AF_12/2015</v>
          </cell>
          <cell r="C3878" t="str">
            <v>UN</v>
          </cell>
          <cell r="D3878">
            <v>88.27</v>
          </cell>
        </row>
        <row r="3879">
          <cell r="A3879">
            <v>92938</v>
          </cell>
          <cell r="B3879" t="str">
            <v>LUVA DE REDUÇÃO, EM FERRO GALVANIZADO, 1" X 1/2", CONEXÃO ROSQUEADA, INSTALADO EM REDE DE ALIMENTAÇÃO PARA SPRINKLER - FORNECIMENTO E INSTALAÇÃO. AF_12/2015</v>
          </cell>
          <cell r="C3879" t="str">
            <v>UN</v>
          </cell>
          <cell r="D3879">
            <v>18.28</v>
          </cell>
        </row>
        <row r="3880">
          <cell r="A3880">
            <v>92939</v>
          </cell>
          <cell r="B3880" t="str">
            <v>LUVA DE REDUÇÃO, EM FERRO GALVANIZADO, 1" X 3/4", CONEXÃO ROSQUEADA, INSTALADO EM REDE DE ALIMENTAÇÃO PARA SPRINKLER - FORNECIMENTO E INSTALAÇÃO. AF_12/2015</v>
          </cell>
          <cell r="C3880" t="str">
            <v>UN</v>
          </cell>
          <cell r="D3880">
            <v>18.43</v>
          </cell>
        </row>
        <row r="3881">
          <cell r="A3881">
            <v>92940</v>
          </cell>
          <cell r="B3881" t="str">
            <v>LUVA DE REDUÇÃO, EM FERRO GALVANIZADO, 1 1/4" X 1", CONEXÃO ROSQUEADA, INSTALADO EM REDE DE ALIMENTAÇÃO PARA SPRINKLER - FORNECIMENTO E INSTALAÇÃO. AF_12/2015</v>
          </cell>
          <cell r="C3881" t="str">
            <v>UN</v>
          </cell>
          <cell r="D3881">
            <v>22.81</v>
          </cell>
        </row>
        <row r="3882">
          <cell r="A3882">
            <v>92941</v>
          </cell>
          <cell r="B3882" t="str">
            <v>LUVA DE REDUÇÃO, EM FERRO GALVANIZADO, 1 1/4" X 1/2", CONEXÃO ROSQUEADA, INSTALADO EM REDE DE ALIMENTAÇÃO PARA SPRINKLER - FORNECIMENTO E INSTALAÇÃO. AF_12/2015</v>
          </cell>
          <cell r="C3882" t="str">
            <v>UN</v>
          </cell>
          <cell r="D3882">
            <v>22.81</v>
          </cell>
        </row>
        <row r="3883">
          <cell r="A3883">
            <v>92942</v>
          </cell>
          <cell r="B3883" t="str">
            <v>LUVA DE REDUÇÃO, EM FERRO GALVANIZADO, 1 1/4" X 3/4", CONEXÃO ROSQUEADA, INSTALADO EM REDE DE ALIMENTAÇÃO PARA SPRINKLER - FORNECIMENTO E INSTALAÇÃO. AF_12/2015</v>
          </cell>
          <cell r="C3883" t="str">
            <v>UN</v>
          </cell>
          <cell r="D3883">
            <v>22.81</v>
          </cell>
        </row>
        <row r="3884">
          <cell r="A3884">
            <v>92943</v>
          </cell>
          <cell r="B3884" t="str">
            <v>LUVA DE REDUÇÃO, EM FERRO GALVANIZADO, 1 1/2" X 1 1/4", CONEXÃO ROSQUEADA, INSTALADO EM REDE DE ALIMENTAÇÃO PARA SPRINKLER - FORNECIMENTO E INSTALAÇÃO. AF_12/2015</v>
          </cell>
          <cell r="C3884" t="str">
            <v>UN</v>
          </cell>
          <cell r="D3884">
            <v>25.92</v>
          </cell>
        </row>
        <row r="3885">
          <cell r="A3885">
            <v>92944</v>
          </cell>
          <cell r="B3885" t="str">
            <v>LUVA DE REDUÇÃO, EM FERRO GALVANIZADO, 1 1/2" X 1", CONEXÃO ROSQUEADA, INSTALADO EM REDE DE ALIMENTAÇÃO PARA SPRINKLER - FORNECIMENTO E INSTALAÇÃO. AF_12/2015</v>
          </cell>
          <cell r="C3885" t="str">
            <v>UN</v>
          </cell>
          <cell r="D3885">
            <v>25.92</v>
          </cell>
        </row>
        <row r="3886">
          <cell r="A3886">
            <v>92945</v>
          </cell>
          <cell r="B3886" t="str">
            <v>LUVA DE REDUÇÃO, EM FERRO GALVANIZADO, 1 1/2" X 3/4", CONEXÃO ROSQUEADA, INSTALADO EM REDE DE ALIMENTAÇÃO PARA SPRINKLER - FORNECIMENTO E INSTALAÇÃO. AF_12/2015</v>
          </cell>
          <cell r="C3886" t="str">
            <v>UN</v>
          </cell>
          <cell r="D3886">
            <v>25.92</v>
          </cell>
        </row>
        <row r="3887">
          <cell r="A3887">
            <v>92946</v>
          </cell>
          <cell r="B3887" t="str">
            <v>LUVA DE REDUÇÃO, EM FERRO GALVANIZADO, 2" X 1 1/2", CONEXÃO ROSQUEADA, INSTALADO EM REDE DE ALIMENTAÇÃO PARA SPRINKLER - FORNECIMENTO E INSTALAÇÃO. AF_12/2015</v>
          </cell>
          <cell r="C3887" t="str">
            <v>UN</v>
          </cell>
          <cell r="D3887">
            <v>35.1</v>
          </cell>
        </row>
        <row r="3888">
          <cell r="A3888">
            <v>92947</v>
          </cell>
          <cell r="B3888" t="str">
            <v>LUVA DE REDUÇÃO, EM FERRO GALVANIZADO, 2" X 1 1/4", CONEXÃO ROSQUEADA, INSTALADO EM REDE DE ALIMENTAÇÃO PARA SPRINKLER - FORNECIMENTO E INSTALAÇÃO. AF_12/2015</v>
          </cell>
          <cell r="C3888" t="str">
            <v>UN</v>
          </cell>
          <cell r="D3888">
            <v>35.1</v>
          </cell>
        </row>
        <row r="3889">
          <cell r="A3889">
            <v>92948</v>
          </cell>
          <cell r="B3889" t="str">
            <v>LUVA DE REDUÇÃO, EM FERRO GALVANIZADO, 2" X 1", CONEXÃO ROSQUEADA, INSTALADO EM REDE DE ALIMENTAÇÃO PARA SPRINKLER - FORNECIMENTO E INSTALAÇÃO. AF_12/2015</v>
          </cell>
          <cell r="C3889" t="str">
            <v>UN</v>
          </cell>
          <cell r="D3889">
            <v>35.1</v>
          </cell>
        </row>
        <row r="3890">
          <cell r="A3890">
            <v>92949</v>
          </cell>
          <cell r="B3890" t="str">
            <v>LUVA DE REDUÇÃO, EM FERRO GALVANIZADO, 2 1/2" X 1 1/2", CONEXÃO ROSQUEADA, INSTALADO EM REDE DE ALIMENTAÇÃO PARA SPRINKLER - FORNECIMENTO E INSTALAÇÃO. AF_12/2015</v>
          </cell>
          <cell r="C3890" t="str">
            <v>UN</v>
          </cell>
          <cell r="D3890">
            <v>52.95</v>
          </cell>
        </row>
        <row r="3891">
          <cell r="A3891">
            <v>92950</v>
          </cell>
          <cell r="B3891" t="str">
            <v>LUVA DE REDUÇÃO, EM FERRO GALVANIZADO, 2 1/2" X 2", CONEXÃO ROSQUEADA, INSTALADO EM REDE DE ALIMENTAÇÃO PARA SPRINKLER - FORNECIMENTO E INSTALAÇÃO. AF_12/2015</v>
          </cell>
          <cell r="C3891" t="str">
            <v>UN</v>
          </cell>
          <cell r="D3891">
            <v>52.95</v>
          </cell>
        </row>
        <row r="3892">
          <cell r="A3892">
            <v>92951</v>
          </cell>
          <cell r="B3892" t="str">
            <v>LUVA DE REDUÇÃO, EM FERRO GALVANIZADO, 3" X 2 1/2", CONEXÃO ROSQUEADA, INSTALADO EM REDE DE ALIMENTAÇÃO PARA SPRINKLER - FORNECIMENTO E INSTALAÇÃO. AF_12/2015</v>
          </cell>
          <cell r="C3892" t="str">
            <v>UN</v>
          </cell>
          <cell r="D3892">
            <v>74.41</v>
          </cell>
        </row>
        <row r="3893">
          <cell r="A3893">
            <v>92952</v>
          </cell>
          <cell r="B3893" t="str">
            <v>LUVA DE REDUÇÃO, EM FERRO GALVANIZADO, 3" X 2", CONEXÃO ROSQUEADA, INSTALADO EM REDE DE ALIMENTAÇÃO PARA SPRINKLER - FORNECIMENTO E INSTALAÇÃO. AF_12/2015</v>
          </cell>
          <cell r="C3893" t="str">
            <v>UN</v>
          </cell>
          <cell r="D3893">
            <v>74.41</v>
          </cell>
        </row>
        <row r="3894">
          <cell r="A3894">
            <v>92953</v>
          </cell>
          <cell r="B3894" t="str">
            <v>LUVA DE REDUÇÃO, EM FERRO GALVANIZADO, 3/4" X 1/2", CONEXÃO ROSQUEADA, INSTALADO EM RAMAIS E SUB-RAMAIS DE GÁS - FORNECIMENTO E INSTALAÇÃO. AF_12/2015</v>
          </cell>
          <cell r="C3894" t="str">
            <v>UN</v>
          </cell>
          <cell r="D3894">
            <v>16.07</v>
          </cell>
        </row>
        <row r="3895">
          <cell r="A3895">
            <v>93050</v>
          </cell>
          <cell r="B3895" t="str">
            <v>LUVA PASSANTE EM COBRE, DN 22 MM, SEM ANEL DE SOLDA, INSTALADO EM PRUMADA  FORNECIMENTO E INSTALAÇÃO. AF_01/2016</v>
          </cell>
          <cell r="C3895" t="str">
            <v>UN</v>
          </cell>
          <cell r="D3895">
            <v>8.06</v>
          </cell>
        </row>
        <row r="3896">
          <cell r="A3896">
            <v>93051</v>
          </cell>
          <cell r="B3896" t="str">
            <v>BUCHA DE REDUÇÃO EM COBRE, DN 22 MM X 15 MM, SEM ANEL DE SOLDA, BOLSA X BOLSA, INSTALADO EM PRUMADA  FORNECIMENTO E INSTALAÇÃO. AF_01/2016</v>
          </cell>
          <cell r="C3896" t="str">
            <v>UN</v>
          </cell>
          <cell r="D3896">
            <v>7.46</v>
          </cell>
        </row>
        <row r="3897">
          <cell r="A3897">
            <v>93052</v>
          </cell>
          <cell r="B3897" t="str">
            <v>JUNTA DE EXPANSÃO EM COBRE, DN 22 MM, PONTA X PONTA, INSTALADO EM PRUMADA  FORNECIMENTO E INSTALAÇÃO. AF_01/2016</v>
          </cell>
          <cell r="C3897" t="str">
            <v>UN</v>
          </cell>
          <cell r="D3897">
            <v>349.55</v>
          </cell>
        </row>
        <row r="3898">
          <cell r="A3898">
            <v>93054</v>
          </cell>
          <cell r="B3898" t="str">
            <v>CONECTOR EM BRONZE/LATÃO, DN 22 MM X 3/4", SEM ANEL DE SOLDA, BOLSA X ROSCA F, INSTALADO EM PRUMADA  FORNECIMENTO E INSTALAÇÃO. AF_01/2016</v>
          </cell>
          <cell r="C3898" t="str">
            <v>UN</v>
          </cell>
          <cell r="D3898">
            <v>15.18</v>
          </cell>
        </row>
        <row r="3899">
          <cell r="A3899">
            <v>93055</v>
          </cell>
          <cell r="B3899" t="str">
            <v>CURVA DE TRANSPOSIÇÃO EM BRONZE/LATÃO, DN 22 MM, SEM ANEL DE SOLDA, BOLSA X BOLSA, INSTALADO EM PRUMADA  FORNECIMENTO E INSTALAÇÃO. AF_01/2016</v>
          </cell>
          <cell r="C3899" t="str">
            <v>UN</v>
          </cell>
          <cell r="D3899">
            <v>30.68</v>
          </cell>
        </row>
        <row r="3900">
          <cell r="A3900">
            <v>93056</v>
          </cell>
          <cell r="B3900" t="str">
            <v>LUVA PASSANTE EM COBRE, DN 28 MM, SEM ANEL DE SOLDA, INSTALADO EM PRUMADA  FORNECIMENTO E INSTALAÇÃO. AF_01/2016</v>
          </cell>
          <cell r="C3900" t="str">
            <v>UN</v>
          </cell>
          <cell r="D3900">
            <v>11.72</v>
          </cell>
        </row>
        <row r="3901">
          <cell r="A3901">
            <v>93057</v>
          </cell>
          <cell r="B3901" t="str">
            <v>BUCHA DE REDUÇÃO EM COBRE, DN 28 MM X 22 MM, SEM ANEL DE SOLDA, PONTA X BOLSA, INSTALADO EM PRUMADA  FORNECIMENTO E INSTALAÇÃO. AF_01/2016</v>
          </cell>
          <cell r="C3901" t="str">
            <v>UN</v>
          </cell>
          <cell r="D3901">
            <v>10.27</v>
          </cell>
        </row>
        <row r="3902">
          <cell r="A3902">
            <v>93058</v>
          </cell>
          <cell r="B3902" t="str">
            <v>JUNTA DE EXPANSÃO EM COBRE, DN 28 MM, PONTA X PONTA, INSTALADO EM PRUMADA  FORNECIMENTO E INSTALAÇÃO. AF_01/2016</v>
          </cell>
          <cell r="C3902" t="str">
            <v>UN</v>
          </cell>
          <cell r="D3902">
            <v>384.41</v>
          </cell>
        </row>
        <row r="3903">
          <cell r="A3903">
            <v>93059</v>
          </cell>
          <cell r="B3903" t="str">
            <v>CONECTOR EM BRONZE/LATÃO, DN 28 MM X 1/2", SEM ANEL DE SOLDA, BOLSA X ROSCA F, INSTALADO EM PRUMADA  FORNECIMENTO E INSTALAÇÃO. AF_01/2016</v>
          </cell>
          <cell r="C3903" t="str">
            <v>UN</v>
          </cell>
          <cell r="D3903">
            <v>20.8</v>
          </cell>
        </row>
        <row r="3904">
          <cell r="A3904">
            <v>93060</v>
          </cell>
          <cell r="B3904" t="str">
            <v>CURVA DE TRANSPOSIÇÃO EM BRONZE/LATÃO, DN 28 MM, SEM ANEL DE SOLDA, BOLSA X BOLSA, INSTALADO EM PRUMADA  FORNECIMENTO E INSTALAÇÃO. AF_01/2016</v>
          </cell>
          <cell r="C3904" t="str">
            <v>UN</v>
          </cell>
          <cell r="D3904">
            <v>53.3</v>
          </cell>
        </row>
        <row r="3905">
          <cell r="A3905">
            <v>93061</v>
          </cell>
          <cell r="B3905" t="str">
            <v>LUVA PASSANTE EM COBRE, DN 35 MM, SEM ANEL DE SOLDA, INSTALADO EM PRUMADA  FORNECIMENTO E INSTALAÇÃO. AF_01/2016</v>
          </cell>
          <cell r="C3905" t="str">
            <v>UN</v>
          </cell>
          <cell r="D3905">
            <v>21.71</v>
          </cell>
        </row>
        <row r="3906">
          <cell r="A3906">
            <v>93062</v>
          </cell>
          <cell r="B3906" t="str">
            <v>BUCHA DE REDUÇÃO EM COBRE, DN 35 MM X 28 MM, SEM ANEL DE SOLDA, PONTA X BOLSA, INSTALADO EM PRUMADA  FORNECIMENTO E INSTALAÇÃO. AF_01/2016</v>
          </cell>
          <cell r="C3906" t="str">
            <v>UN</v>
          </cell>
          <cell r="D3906">
            <v>18.899999999999999</v>
          </cell>
        </row>
        <row r="3907">
          <cell r="A3907">
            <v>93063</v>
          </cell>
          <cell r="B3907" t="str">
            <v>JUNTA DE EXPANSÃO EM BRONZE/LATÃO, DN 35 MM, PONTA X PONTA, INSTALADO EM PRUMADA  FORNECIMENTO E INSTALAÇÃO. AF_01/2016</v>
          </cell>
          <cell r="C3907" t="str">
            <v>UN</v>
          </cell>
          <cell r="D3907">
            <v>440.3</v>
          </cell>
        </row>
        <row r="3908">
          <cell r="A3908">
            <v>93064</v>
          </cell>
          <cell r="B3908" t="str">
            <v>LUVA PASSANTE EM COBRE, DN 42 MM, SEM ANEL DE SOLDA, INSTALADO EM PRUMADA  FORNECIMENTO E INSTALAÇÃO. AF_01/2016</v>
          </cell>
          <cell r="C3908" t="str">
            <v>UN</v>
          </cell>
          <cell r="D3908">
            <v>33.36</v>
          </cell>
        </row>
        <row r="3909">
          <cell r="A3909">
            <v>93065</v>
          </cell>
          <cell r="B3909" t="str">
            <v>BUCHA DE REDUÇÃO EM COBRE, DN 42 MM X 35 MM, SEM ANEL DE SOLDA, PONTA X BOLSA, INSTALADO EM PRUMADA  FORNECIMENTO E INSTALAÇÃO. AF_01/2016</v>
          </cell>
          <cell r="C3909" t="str">
            <v>UN</v>
          </cell>
          <cell r="D3909">
            <v>31.28</v>
          </cell>
        </row>
        <row r="3910">
          <cell r="A3910">
            <v>93066</v>
          </cell>
          <cell r="B3910" t="str">
            <v>JUNTA DE EXPANSÃO EM BRONZE/LATÃO, DN 42 MM, PONTA X PONTA, INSTALADO EM PRUMADA  FORNECIMENTO E INSTALAÇÃO. AF_01/2016</v>
          </cell>
          <cell r="C3910" t="str">
            <v>UN</v>
          </cell>
          <cell r="D3910">
            <v>552.66999999999996</v>
          </cell>
        </row>
        <row r="3911">
          <cell r="A3911">
            <v>93067</v>
          </cell>
          <cell r="B3911" t="str">
            <v>LUVA PASSANTE EM COBRE, DN 54 MM, SEM ANEL DE SOLDA, INSTALADO EM PRUMADA  FORNECIMENTO E INSTALAÇÃO. AF_01/2016</v>
          </cell>
          <cell r="C3911" t="str">
            <v>UN</v>
          </cell>
          <cell r="D3911">
            <v>49.36</v>
          </cell>
        </row>
        <row r="3912">
          <cell r="A3912">
            <v>93068</v>
          </cell>
          <cell r="B3912" t="str">
            <v>BUCHA DE REDUÇÃO EM COBRE, DN 54 MM X 42 MM, SEM ANEL DE SOLDA, PONTA X BOLSA, INSTALADO EM PRUMADA  FORNECIMENTO E INSTALAÇÃO. AF_01/2016</v>
          </cell>
          <cell r="C3912" t="str">
            <v>UN</v>
          </cell>
          <cell r="D3912">
            <v>43.27</v>
          </cell>
        </row>
        <row r="3913">
          <cell r="A3913">
            <v>93069</v>
          </cell>
          <cell r="B3913" t="str">
            <v>JUNTA DE EXPANSÃO EM BRONZE/LATÃO, DN 54 MM, PONTA X PONTA, INSTALADO EM PRUMADA  FORNECIMENTO E INSTALAÇÃO. AF_01/2016</v>
          </cell>
          <cell r="C3913" t="str">
            <v>UN</v>
          </cell>
          <cell r="D3913">
            <v>765.87</v>
          </cell>
        </row>
        <row r="3914">
          <cell r="A3914">
            <v>93070</v>
          </cell>
          <cell r="B3914" t="str">
            <v>LUVA PASSANTE EM COBRE, DN 66 MM, SEM ANEL DE SOLDA, INSTALADO EM PRUMADA  FORNECIMENTO E INSTALAÇÃO. AF_01/2016</v>
          </cell>
          <cell r="C3914" t="str">
            <v>UN</v>
          </cell>
          <cell r="D3914">
            <v>123.78</v>
          </cell>
        </row>
        <row r="3915">
          <cell r="A3915">
            <v>93071</v>
          </cell>
          <cell r="B3915" t="str">
            <v>BUCHA DE REDUÇÃO EM COBRE, DN 66 MM X 54 MM, SEM ANEL DE SOLDA, PONTA X BOLSA, INSTALADO EM PRUMADA  FORNECIMENTO E INSTALAÇÃO. AF_01/2016</v>
          </cell>
          <cell r="C3915" t="str">
            <v>UN</v>
          </cell>
          <cell r="D3915">
            <v>114.99</v>
          </cell>
        </row>
        <row r="3916">
          <cell r="A3916">
            <v>93072</v>
          </cell>
          <cell r="B3916" t="str">
            <v>JUNTA DE EXPANSÃO EM BRONZE/LATÃO, DN 66 MM, PONTA X PONTA, INSTALADO EM PRUMADA  FORNECIMENTO E INSTALAÇÃO. AF_01/2016</v>
          </cell>
          <cell r="C3916" t="str">
            <v>UN</v>
          </cell>
          <cell r="D3916">
            <v>1010.41</v>
          </cell>
        </row>
        <row r="3917">
          <cell r="A3917">
            <v>93073</v>
          </cell>
          <cell r="B3917" t="str">
            <v>TE DUPLA CURVA EM BRONZE/LATÃO, DN 3/4" X 22 MM X 3/4", SEM ANEL DE SOLDA, ROSCA F X BOLSA X ROSCA F, INSTALADO EM PRUMADA  FORNECIMENTO E INSTALAÇÃO. AF_01/2016</v>
          </cell>
          <cell r="C3917" t="str">
            <v>UN</v>
          </cell>
          <cell r="D3917">
            <v>56.14</v>
          </cell>
        </row>
        <row r="3918">
          <cell r="A3918">
            <v>93074</v>
          </cell>
          <cell r="B3918" t="str">
            <v>CURVA EM COBRE, DN 15 MM, 45 GRAUS, SEM ANEL DE SOLDA, BOLSA X BOLSA, INSTALADO EM RAMAL DE DISTRIBUIÇÃO  FORNECIMENTO E INSTALAÇÃO. AF_01/2016</v>
          </cell>
          <cell r="C3918" t="str">
            <v>UN</v>
          </cell>
          <cell r="D3918">
            <v>9.02</v>
          </cell>
        </row>
        <row r="3919">
          <cell r="A3919">
            <v>93075</v>
          </cell>
          <cell r="B3919" t="str">
            <v>COTOVELO EM BRONZE/LATÃO, DN 15 MM X 1/2", 90 GRAUS, SEM ANEL DE SOLDA, BOLSA X ROSCA F, INSTALADO EM RAMAL DE DISTRIBUIÇÃO  FORNECIMENTO E INSTALAÇÃO. AF_01/2016</v>
          </cell>
          <cell r="C3919" t="str">
            <v>UN</v>
          </cell>
          <cell r="D3919">
            <v>14.82</v>
          </cell>
        </row>
        <row r="3920">
          <cell r="A3920">
            <v>93076</v>
          </cell>
          <cell r="B3920" t="str">
            <v>CURVA EM COBRE, DN 22 MM, 45 GRAUS, SEM ANEL DE SOLDA, BOLSA X BOLSA, INSTALADO EM RAMAL DE DISTRIBUIÇÃO  FORNECIMENTO E INSTALAÇÃO. AF_01/2016</v>
          </cell>
          <cell r="C3920" t="str">
            <v>UN</v>
          </cell>
          <cell r="D3920">
            <v>14.43</v>
          </cell>
        </row>
        <row r="3921">
          <cell r="A3921">
            <v>93077</v>
          </cell>
          <cell r="B3921" t="str">
            <v>COTOVELO EM BRONZE/LATÃO, DN 22 MM X 1/2", 90 GRAUS, SEM ANEL DE SOLDA, BOLSA X ROSCA F, INSTALADO EM RAMAL DE DISTRIBUIÇÃO  FORNECIMENTO E INSTALAÇÃO. AF_01/2016</v>
          </cell>
          <cell r="C3921" t="str">
            <v>UN</v>
          </cell>
          <cell r="D3921">
            <v>20.95</v>
          </cell>
        </row>
        <row r="3922">
          <cell r="A3922">
            <v>93078</v>
          </cell>
          <cell r="B3922" t="str">
            <v>COTOVELO EM BRONZE/LATÃO, DN 22 MM X 3/4", 90 GRAUS, SEM ANEL DE SOLDA, BOLSA X ROSCA F, INSTALADO EM RAMAL DE DISTRIBUIÇÃO  FORNECIMENTO E INSTALAÇÃO. AF_01/2016</v>
          </cell>
          <cell r="C3922" t="str">
            <v>UN</v>
          </cell>
          <cell r="D3922">
            <v>22.66</v>
          </cell>
        </row>
        <row r="3923">
          <cell r="A3923">
            <v>93079</v>
          </cell>
          <cell r="B3923" t="str">
            <v>CURVA EM COBRE, DN 28 MM, 45 GRAUS, SEM ANEL DE SOLDA, BOLSA X BOLSA, INSTALADO EM RAMAL DE DISTRIBUIÇÃO  FORNECIMENTO E INSTALAÇÃO. AF_01/2016</v>
          </cell>
          <cell r="C3923" t="str">
            <v>UN</v>
          </cell>
          <cell r="D3923">
            <v>20.059999999999999</v>
          </cell>
        </row>
        <row r="3924">
          <cell r="A3924">
            <v>93080</v>
          </cell>
          <cell r="B3924" t="str">
            <v>LUVA PASSANTE EM COBRE, DN 15 MM, SEM ANEL DE SOLDA, INSTALADO EM RAMAL DE DISTRIBUIÇÃO  FORNECIMENTO E INSTALAÇÃO. AF_01/2016</v>
          </cell>
          <cell r="C3924" t="str">
            <v>UN</v>
          </cell>
          <cell r="D3924">
            <v>5.9</v>
          </cell>
        </row>
        <row r="3925">
          <cell r="A3925">
            <v>93081</v>
          </cell>
          <cell r="B3925" t="str">
            <v>CONECTOR EM BRONZE/LATÃO, DN 15 MM X 1/2", SEM ANEL DE SOLDA, BOLSA X ROSCA F, INSTALADO EM RAMAL DE DISTRIBUIÇÃO  FORNECIMENTO E INSTALAÇÃO. AF_01/2016</v>
          </cell>
          <cell r="C3925" t="str">
            <v>UN</v>
          </cell>
          <cell r="D3925">
            <v>13.26</v>
          </cell>
        </row>
        <row r="3926">
          <cell r="A3926">
            <v>93082</v>
          </cell>
          <cell r="B3926" t="str">
            <v>CURVA DE TRANSPOSIÇÃO EM BRONZE/LATÃO, DN 15 MM, SEM ANEL DE SOLDA, BOLSA X BOLSA, INSTALADO EM RAMAL DE DISTRIBUIÇÃO  FORNECIMENTO E INSTALAÇÃO. AF_01/2016</v>
          </cell>
          <cell r="C3926" t="str">
            <v>UN</v>
          </cell>
          <cell r="D3926">
            <v>16.190000000000001</v>
          </cell>
        </row>
        <row r="3927">
          <cell r="A3927">
            <v>93083</v>
          </cell>
          <cell r="B3927" t="str">
            <v>JUNTA DE EXPANSÃO EM COBRE, DN 15 MM, PONTA X PONTA, INSTALADO EM RAMAL DE DISTRIBUIÇÃO  FORNECIMENTO E INSTALAÇÃO. AF_01/2016</v>
          </cell>
          <cell r="C3927" t="str">
            <v>UN</v>
          </cell>
          <cell r="D3927">
            <v>302.31</v>
          </cell>
        </row>
        <row r="3928">
          <cell r="A3928">
            <v>93084</v>
          </cell>
          <cell r="B3928" t="str">
            <v>LUVA PASSANTE EM COBRE, DN 22 MM, SEM ANEL DE SOLDA, INSTALADO EM RAMAL DE DISTRIBUIÇÃO  FORNECIMENTO E INSTALAÇÃO. AF_01/2016</v>
          </cell>
          <cell r="C3928" t="str">
            <v>UN</v>
          </cell>
          <cell r="D3928">
            <v>9.56</v>
          </cell>
        </row>
        <row r="3929">
          <cell r="A3929">
            <v>93085</v>
          </cell>
          <cell r="B3929" t="str">
            <v>BUCHA DE REDUÇÃO EM COBRE, DN 22 MM X 15 MM, SEM ANEL DE SOLDA, PONTA X BOLSA, INSTALADO EM RAMAL DE DISTRIBUIÇÃO  FORNECIMENTO E INSTALAÇÃO. AF_01/2016</v>
          </cell>
          <cell r="C3929" t="str">
            <v>UN</v>
          </cell>
          <cell r="D3929">
            <v>8.9600000000000009</v>
          </cell>
        </row>
        <row r="3930">
          <cell r="A3930">
            <v>93086</v>
          </cell>
          <cell r="B3930" t="str">
            <v>JUNTA DE EXPANSÃO EM COBRE, DN 22 MM, PONTA X PONTA, INSTALADO EM RAMAL DE DISTRIBUIÇÃO  FORNECIMENTO E INSTALAÇÃO. AF_01/2016</v>
          </cell>
          <cell r="C3930" t="str">
            <v>UN</v>
          </cell>
          <cell r="D3930">
            <v>351.05</v>
          </cell>
        </row>
        <row r="3931">
          <cell r="A3931">
            <v>93087</v>
          </cell>
          <cell r="B3931" t="str">
            <v>CONECTOR EM BRONZE/LATÃO, DN 22 MM X 1/2", SEM ANEL DE SOLDA, BOLSA X ROSCA F, INSTALADO EM RAMAL DE DISTRIBUIÇÃO  FORNECIMENTO E INSTALAÇÃO. AF_01/2016</v>
          </cell>
          <cell r="C3931" t="str">
            <v>UN</v>
          </cell>
          <cell r="D3931">
            <v>14.41</v>
          </cell>
        </row>
        <row r="3932">
          <cell r="A3932">
            <v>93088</v>
          </cell>
          <cell r="B3932" t="str">
            <v>CONECTOR EM BRONZE/LATÃO, DN 22 MM X 3/4", SEM ANEL DE SOLDA, BOLSA X ROSCA F, INSTALADO EM RAMAL DE DISTRIBUIÇÃO  FORNECIMENTO E INSTALAÇÃO. AF_01/2016</v>
          </cell>
          <cell r="C3932" t="str">
            <v>UN</v>
          </cell>
          <cell r="D3932">
            <v>16.87</v>
          </cell>
        </row>
        <row r="3933">
          <cell r="A3933">
            <v>93089</v>
          </cell>
          <cell r="B3933" t="str">
            <v>CURVA DE TRANSPOSIÇÃO EM BRONZE/LATÃO, DN 22 MM, SEM ANEL DE SOLDA, BOLSA X BOLSA, INSTALADO EM RAMAL DE DISTRIBUIÇÃO  FORNECIMENTO E INSTALAÇÃO. AF_01/2016</v>
          </cell>
          <cell r="C3933" t="str">
            <v>UN</v>
          </cell>
          <cell r="D3933">
            <v>32.18</v>
          </cell>
        </row>
        <row r="3934">
          <cell r="A3934">
            <v>93090</v>
          </cell>
          <cell r="B3934" t="str">
            <v>LUVA PASSANTE EM COBRE, DN 28 MM, SEM ANEL DE SOLDA, INSTALADO EM RAMAL DE DISTRIBUIÇÃO  FORNECIMENTO E INSTALAÇÃO. AF_01/2016</v>
          </cell>
          <cell r="C3934" t="str">
            <v>UN</v>
          </cell>
          <cell r="D3934">
            <v>13.21</v>
          </cell>
        </row>
        <row r="3935">
          <cell r="A3935">
            <v>93091</v>
          </cell>
          <cell r="B3935" t="str">
            <v>BUCHA DE REDUÇÃO EM COBRE, DN 28 MM X 22 MM, SEM ANEL DE SOLDA, INSTALADO EM RAMAL DE DISTRIBUIÇÃO  FORNECIMENTO E INSTALAÇÃO. AF_01/2016</v>
          </cell>
          <cell r="C3935" t="str">
            <v>UN</v>
          </cell>
          <cell r="D3935">
            <v>11.76</v>
          </cell>
        </row>
        <row r="3936">
          <cell r="A3936">
            <v>93092</v>
          </cell>
          <cell r="B3936" t="str">
            <v>JUNTA DE EXPANSÃO EM COBRE, DN 28 MM, PONTA X PONTA, INSTALADO EM RAMAL DE DISTRIBUIÇÃO  FORNECIMENTO E INSTALAÇÃO. AF_01/2016</v>
          </cell>
          <cell r="C3936" t="str">
            <v>UN</v>
          </cell>
          <cell r="D3936">
            <v>385.9</v>
          </cell>
        </row>
        <row r="3937">
          <cell r="A3937">
            <v>93093</v>
          </cell>
          <cell r="B3937" t="str">
            <v>CONECTOR EM BRONZE/LATÃO, DN 28 MM X 1/2", SEM ANEL DE SOLDA, BOLSA X ROSCA F, INSTALADO EM RAMAL DE DISTRIBUIÇÃO  FORNECIMENTO E INSTALAÇÃO. AF_01/2016</v>
          </cell>
          <cell r="C3937" t="str">
            <v>UN</v>
          </cell>
          <cell r="D3937">
            <v>22.29</v>
          </cell>
        </row>
        <row r="3938">
          <cell r="A3938">
            <v>93094</v>
          </cell>
          <cell r="B3938" t="str">
            <v>CURVA DE TRANSPOSIÇÃO EM BRONZE/LATÃO, DN 28 MM, SEM ANEL DE SOLDA, BOLSA X BOLSA, INSTALADO EM RAMAL DE DISTRIBUIÇÃO  FORNECIMENTO E INSTALAÇÃO. AF_01/2016</v>
          </cell>
          <cell r="C3938" t="str">
            <v>UN</v>
          </cell>
          <cell r="D3938">
            <v>54.79</v>
          </cell>
        </row>
        <row r="3939">
          <cell r="A3939">
            <v>93095</v>
          </cell>
          <cell r="B3939" t="str">
            <v>TE DUPLA CURVA EM BRONZE/LATÃO, DN 1/2" X 15 MM X 1/2", SEM ANEL DE SOLDA, ROSCA F X BOLSA X ROSCA F, INSTALADO EM RAMAL DE DISTRIBUIÇÃO  FORNECIMENTO E INSTALAÇÃO. AF_01/2016</v>
          </cell>
          <cell r="C3939" t="str">
            <v>UN</v>
          </cell>
          <cell r="D3939">
            <v>41.55</v>
          </cell>
        </row>
        <row r="3940">
          <cell r="A3940">
            <v>93096</v>
          </cell>
          <cell r="B3940" t="str">
            <v>TE DUPLA CURVA EM BRONZE/LATÃO, DN 3/4" X 22 MM X 3/4", SEM ANEL DE SOLDA, ROSCA F X BOLSA X ROSCA F, INSTALADO EM RAMAL DE DISTRIBUIÇÃO  FORNECIMENTO E INSTALAÇÃO. AF_01/2016</v>
          </cell>
          <cell r="C3940" t="str">
            <v>UN</v>
          </cell>
          <cell r="D3940">
            <v>59.1</v>
          </cell>
        </row>
        <row r="3941">
          <cell r="A3941">
            <v>93097</v>
          </cell>
          <cell r="B3941" t="str">
            <v>CURVA EM COBRE, DN 15 MM, 45 GRAUS, SEM ANEL DE SOLDA, BOLSA X BOLSA, INSTALADO EM RAMAL E SUB-RAMAL  FORNECIMENTO E INSTALAÇÃO. AF_01/2016</v>
          </cell>
          <cell r="C3941" t="str">
            <v>UN</v>
          </cell>
          <cell r="D3941">
            <v>9.1999999999999993</v>
          </cell>
        </row>
        <row r="3942">
          <cell r="A3942">
            <v>93098</v>
          </cell>
          <cell r="B3942" t="str">
            <v>COTOVELO EM BRONZE/LATÃO, DN 15 MM X 1/2", 90 GRAUS, SEM ANEL DE SOLDA, BOLSA X ROSCA F, INSTALADO EM RAMAL E SUB-RAMAL  FORNECIMENTO E INSTALAÇÃO. AF_01/2016</v>
          </cell>
          <cell r="C3942" t="str">
            <v>UN</v>
          </cell>
          <cell r="D3942">
            <v>15</v>
          </cell>
        </row>
        <row r="3943">
          <cell r="A3943">
            <v>93099</v>
          </cell>
          <cell r="B3943" t="str">
            <v>CURVA EM COBRE, DN 22 MM, 45 GRAUS, SEM ANEL DE SOLDA, BOLSA X BOLSA, INSTALADO EM RAMAL E SUB-RAMAL  FORNECIMENTO E INSTALAÇÃO. AF_01/2016</v>
          </cell>
          <cell r="C3943" t="str">
            <v>UN</v>
          </cell>
          <cell r="D3943">
            <v>16.47</v>
          </cell>
        </row>
        <row r="3944">
          <cell r="A3944">
            <v>93100</v>
          </cell>
          <cell r="B3944" t="str">
            <v>COTOVELO EM BRONZE/LATÃO, DN 22 MM X 1/2", 90 GRAUS, SEM ANEL DE SOLDA, BOLSA X ROSCA F, INSTALADO EM RAMAL E SUB-RAMAL  FORNECIMENTO E INSTALAÇÃO. AF_01/2016</v>
          </cell>
          <cell r="C3944" t="str">
            <v>UN</v>
          </cell>
          <cell r="D3944">
            <v>22.99</v>
          </cell>
        </row>
        <row r="3945">
          <cell r="A3945">
            <v>93101</v>
          </cell>
          <cell r="B3945" t="str">
            <v>COTOVELO EM BRONZE/LATÃO, DN 22 MM X 3/4", 90 GRAUS, SEM ANEL DE SOLDA, BOLSA X ROSCA F, INSTALADO EM RAMAL E SUB-RAMAL  FORNECIMENTO E INSTALAÇÃO. AF_01/2016</v>
          </cell>
          <cell r="C3945" t="str">
            <v>UN</v>
          </cell>
          <cell r="D3945">
            <v>24.7</v>
          </cell>
        </row>
        <row r="3946">
          <cell r="A3946">
            <v>93102</v>
          </cell>
          <cell r="B3946" t="str">
            <v>CURVA EM COBRE, DN 28 MM, 45 GRAUS, SEM ANEL DE SOLDA, BOLSA X BOLSA, INSTALADO EM RAMAL E SUB-RAMAL  FORNECIMENTO E INSTALAÇÃO. AF_01/2016</v>
          </cell>
          <cell r="C3946" t="str">
            <v>UN</v>
          </cell>
          <cell r="D3946">
            <v>21.93</v>
          </cell>
        </row>
        <row r="3947">
          <cell r="A3947">
            <v>93103</v>
          </cell>
          <cell r="B3947" t="str">
            <v>LUVA PASSANTE EM COBRE, DN 15 MM, SEM ANEL DE SOLDA, INSTALADO EM RAMAL E SUB-RAMAL  FORNECIMENTO E INSTALAÇÃO. AF_01/2016</v>
          </cell>
          <cell r="C3947" t="str">
            <v>UN</v>
          </cell>
          <cell r="D3947">
            <v>6.05</v>
          </cell>
        </row>
        <row r="3948">
          <cell r="A3948">
            <v>93104</v>
          </cell>
          <cell r="B3948" t="str">
            <v>CONECTOR EM BRONZE/LATÃO, DN 15 MM X 1/2", SEM ANEL DE SOLDA, BOLSA X ROSCA F, INSTALADO EM RAMAL E SUB-RAMAL  FORNECIMENTO E INSTALAÇÃO. AF_01/2016</v>
          </cell>
          <cell r="C3948" t="str">
            <v>UN</v>
          </cell>
          <cell r="D3948">
            <v>13.41</v>
          </cell>
        </row>
        <row r="3949">
          <cell r="A3949">
            <v>93105</v>
          </cell>
          <cell r="B3949" t="str">
            <v>CURVA DE TRANSPOSIÇÃO EM BRONZE/LATÃO, DN 15 MM, SEM ANEL DE SOLDA, BOLSA X BOLSA, INSTALADO EM RAMAL E SUB-RAMAL  FORNECIMENTO E INSTALAÇÃO. AF_01/2016</v>
          </cell>
          <cell r="C3949" t="str">
            <v>UN</v>
          </cell>
          <cell r="D3949">
            <v>16.34</v>
          </cell>
        </row>
        <row r="3950">
          <cell r="A3950">
            <v>93106</v>
          </cell>
          <cell r="B3950" t="str">
            <v>JUNTA DE EXPANSÃO EM COBRE, DN 15 MM, PONTA X PONTA, INSTALADO EM RAMAL E SUB-RAMAL  FORNECIMENTO E INSTALAÇÃO. AF_01/2016</v>
          </cell>
          <cell r="C3950" t="str">
            <v>UN</v>
          </cell>
          <cell r="D3950">
            <v>302.45999999999998</v>
          </cell>
        </row>
        <row r="3951">
          <cell r="A3951">
            <v>93107</v>
          </cell>
          <cell r="B3951" t="str">
            <v>LUVA PASSANTE EM COBRE, DN 22 MM, SEM ANEL DE SOLDA, INSTALADO EM RAMAL E SUB-RAMAL  FORNECIMENTO E INSTALAÇÃO. AF_01/2016</v>
          </cell>
          <cell r="C3951" t="str">
            <v>UN</v>
          </cell>
          <cell r="D3951">
            <v>10.9</v>
          </cell>
        </row>
        <row r="3952">
          <cell r="A3952">
            <v>93108</v>
          </cell>
          <cell r="B3952" t="str">
            <v>BUCHA DE REDUÇÃO EM COBRE, DN 22 MM X 15 MM, SEM ANEL DE SOLDA, PONTA X BOLSA, INSTALADO EM RAMAL E SUB-RAMAL  FORNECIMENTO E INSTALAÇÃO. AF_01/2016</v>
          </cell>
          <cell r="C3952" t="str">
            <v>UN</v>
          </cell>
          <cell r="D3952">
            <v>10.3</v>
          </cell>
        </row>
        <row r="3953">
          <cell r="A3953">
            <v>93109</v>
          </cell>
          <cell r="B3953" t="str">
            <v>JUNTA DE EXPANSÃO EM COBRE, DN 22 MM, PONTA X PONTA, INSTALADO EM RAMAL E SUB-RAMAL  FORNECIMENTO E INSTALAÇÃO. AF_01/2016</v>
          </cell>
          <cell r="C3953" t="str">
            <v>UN</v>
          </cell>
          <cell r="D3953">
            <v>352.39</v>
          </cell>
        </row>
        <row r="3954">
          <cell r="A3954">
            <v>93110</v>
          </cell>
          <cell r="B3954" t="str">
            <v>CONECTOR EM BRONZE/LATÃO, DN 22 MM X 1/2", SEM ANEL DE SOLDA, BOLSA X ROSCA F, INSTALADO EM RAMAL E SUB-RAMAL  FORNECIMENTO E INSTALAÇÃO. AF_01/2016</v>
          </cell>
          <cell r="C3954" t="str">
            <v>UN</v>
          </cell>
          <cell r="D3954">
            <v>15.75</v>
          </cell>
        </row>
        <row r="3955">
          <cell r="A3955">
            <v>93111</v>
          </cell>
          <cell r="B3955" t="str">
            <v>CONECTOR EM BRONZE/LATÃO, DN 22 MM X 3/4", SEM ANEL DE SOLDA, BOLSA X ROSCA F, INSTALADO EM RAMAL E SUB-RAMAL  FORNECIMENTO E INSTALAÇÃO. AF_01/2016</v>
          </cell>
          <cell r="C3955" t="str">
            <v>UN</v>
          </cell>
          <cell r="D3955">
            <v>18.02</v>
          </cell>
        </row>
        <row r="3956">
          <cell r="A3956">
            <v>93112</v>
          </cell>
          <cell r="B3956" t="str">
            <v>CURVA DE TRANSPOSIÇÃO EM BRONZE/LATÃO, DN 22 MM, SEM ANEL DE SOLDA, BOLSA X BOLSA, INSTALADO EM RAMAL E SUB-RAMAL  FORNECIMENTO E INSTALAÇÃO. AF_01/2016</v>
          </cell>
          <cell r="C3956" t="str">
            <v>UN</v>
          </cell>
          <cell r="D3956">
            <v>33.520000000000003</v>
          </cell>
        </row>
        <row r="3957">
          <cell r="A3957">
            <v>93113</v>
          </cell>
          <cell r="B3957" t="str">
            <v>LUVA PASSANTE EM COBRE, DN 28 MM, SEM ANEL DE SOLDA, INSTALADO EM RAMAL E SUB-RAMAL  FORNECIMENTO E INSTALAÇÃO. AF_01/2016</v>
          </cell>
          <cell r="C3957" t="str">
            <v>UN</v>
          </cell>
          <cell r="D3957">
            <v>15.65</v>
          </cell>
        </row>
        <row r="3958">
          <cell r="A3958">
            <v>93114</v>
          </cell>
          <cell r="B3958" t="str">
            <v>CONECTOR EM BRONZE/LATÃO, DN 28 MM X 1/2", SEM ANEL DE SOLDA, BOLSA X ROSCA F, INSTALADO EM RAMAL E SUB-RAMAL  FORNECIMENTO E INSTALAÇÃO. AF_01/2016</v>
          </cell>
          <cell r="C3958" t="str">
            <v>UN</v>
          </cell>
          <cell r="D3958">
            <v>24.73</v>
          </cell>
        </row>
        <row r="3959">
          <cell r="A3959">
            <v>93115</v>
          </cell>
          <cell r="B3959" t="str">
            <v>CURVA DE TRANSPOSIÇÃO EM BRONZE/LATÃO, DN 28 MM, SEM ANEL DE SOLDA, BOLSA X BOLSA, INSTALADO EM RAMAL E SUB-RAMAL  FORNECIMENTO E INSTALAÇÃO. AF_01/2016</v>
          </cell>
          <cell r="C3959" t="str">
            <v>UN</v>
          </cell>
          <cell r="D3959">
            <v>57.23</v>
          </cell>
        </row>
        <row r="3960">
          <cell r="A3960">
            <v>93116</v>
          </cell>
          <cell r="B3960" t="str">
            <v>JUNTA DE EXPANSÃO EM COBRE, DN 28 MM, PONTA X PONTA, INSTALADO EM RAMAL E SUB-RAMAL  FORNECIMENTO E INSTALAÇÃO. AF_01/2016</v>
          </cell>
          <cell r="C3960" t="str">
            <v>UN</v>
          </cell>
          <cell r="D3960">
            <v>388.34</v>
          </cell>
        </row>
        <row r="3961">
          <cell r="A3961">
            <v>93117</v>
          </cell>
          <cell r="B3961" t="str">
            <v>TE DUPLA CURVA EM BRONZE/LATÃO, DN 1/2" X 15 MM X 1/2", SEM ANEL DE SOLDA, ROSCA F X BOLSA X ROSCA F, INSTALADO EM RAMAL E SUB-RAMAL  FORNECIMENTO E INSTALAÇÃO. AF_01/2016</v>
          </cell>
          <cell r="C3961" t="str">
            <v>UN</v>
          </cell>
          <cell r="D3961">
            <v>41.77</v>
          </cell>
        </row>
        <row r="3962">
          <cell r="A3962">
            <v>93118</v>
          </cell>
          <cell r="B3962" t="str">
            <v>TE DUPLA CURVA EM BRONZE/LATÃO, DN 3/4" X 22 MM X 3/4", SEM ANEL DE SOLDA, ROSCA F X BOLSA X ROSCA F, INSTALADO EM RAMAL E SUB-RAMAL  FORNECIMENTO E INSTALAÇÃO. AF_01/2016</v>
          </cell>
          <cell r="C3962" t="str">
            <v>UN</v>
          </cell>
          <cell r="D3962">
            <v>61.81</v>
          </cell>
        </row>
        <row r="3963">
          <cell r="A3963">
            <v>93119</v>
          </cell>
          <cell r="B3963" t="str">
            <v>CURVA EM COBRE, DN 22 MM, 45 GRAUS, SEM ANEL DE SOLDA, BOLSA X BOLSA, INSTALADO EM PRUMADA  FORNECIMENTO E INSTALAÇÃO. AF_01/2016</v>
          </cell>
          <cell r="C3963" t="str">
            <v>UN</v>
          </cell>
          <cell r="D3963">
            <v>12.22</v>
          </cell>
        </row>
        <row r="3964">
          <cell r="A3964">
            <v>93120</v>
          </cell>
          <cell r="B3964" t="str">
            <v>COTOVELO EM BRONZE/LATÃO, DN 22 MM X 1/2", 90 GRAUS, SEM ANEL DE SOLDA, BOLSA X ROSCA F, INSTALADO EM PRUMADA  FORNECIMENTO E INSTALAÇÃO. AF_01/2016</v>
          </cell>
          <cell r="C3964" t="str">
            <v>UN</v>
          </cell>
          <cell r="D3964">
            <v>18.739999999999998</v>
          </cell>
        </row>
        <row r="3965">
          <cell r="A3965">
            <v>93121</v>
          </cell>
          <cell r="B3965" t="str">
            <v>COTOVELO EM BRONZE/LATÃO, DN 22 MM X 3/4", 90 GRAUS, SEM ANEL DE SOLDA, BOLSA X ROSCA F, INSTALADO EM PRUMADA  FORNECIMENTO E INSTALAÇÃO. AF_01/2016</v>
          </cell>
          <cell r="C3965" t="str">
            <v>UN</v>
          </cell>
          <cell r="D3965">
            <v>20.45</v>
          </cell>
        </row>
        <row r="3966">
          <cell r="A3966">
            <v>93122</v>
          </cell>
          <cell r="B3966" t="str">
            <v>CURVA EM COBRE, DN 28 MM, 45 GRAUS, SEM ANEL DE SOLDA, BOLSA X BOLSA, INSTALADO EM PRUMADA  FORNECIMENTO E INSTALAÇÃO. AF_01/2016</v>
          </cell>
          <cell r="C3966" t="str">
            <v>UN</v>
          </cell>
          <cell r="D3966">
            <v>17.86</v>
          </cell>
        </row>
        <row r="3967">
          <cell r="A3967">
            <v>93123</v>
          </cell>
          <cell r="B3967" t="str">
            <v>CURVA EM COBRE, DN 35 MM, 45 GRAUS, SEM ANEL DE SOLDA, BOLSA X BOLSA, INSTALADO EM PRUMADA  FORNECIMENTO E INSTALAÇÃO. AF_01/2016</v>
          </cell>
          <cell r="C3967" t="str">
            <v>UN</v>
          </cell>
          <cell r="D3967">
            <v>39.04</v>
          </cell>
        </row>
        <row r="3968">
          <cell r="A3968">
            <v>93124</v>
          </cell>
          <cell r="B3968" t="str">
            <v>CURVA EM COBRE, DN 42 MM, 45 GRAUS, SEM ANEL DE SOLDA, BOLSA X BOLSA, INSTALADO EM PRUMADA  FORNECIMENTO E INSTALAÇÃO. AF_01/2016</v>
          </cell>
          <cell r="C3968" t="str">
            <v>UN</v>
          </cell>
          <cell r="D3968">
            <v>61.23</v>
          </cell>
        </row>
        <row r="3969">
          <cell r="A3969">
            <v>93125</v>
          </cell>
          <cell r="B3969" t="str">
            <v>CURVA EM COBRE, DN 54 MM, 45 GRAUS, SEM ANEL DE SOLDA, BOLSA X BOLSA, INSTALADO EM PRUMADA  FORNECIMENTO E INSTALAÇÃO. AF_01/2016</v>
          </cell>
          <cell r="C3969" t="str">
            <v>UN</v>
          </cell>
          <cell r="D3969">
            <v>89.01</v>
          </cell>
        </row>
        <row r="3970">
          <cell r="A3970">
            <v>93126</v>
          </cell>
          <cell r="B3970" t="str">
            <v>CURVA EM COBRE, DN 66 MM, 45 GRAUS, SEM ANEL DE SOLDA, BOLSA X BOLSA, INSTALADO EM PRUMADA  FORNECIMENTO E INSTALAÇÃO. AF_01/2016</v>
          </cell>
          <cell r="C3970" t="str">
            <v>UN</v>
          </cell>
          <cell r="D3970">
            <v>196.72</v>
          </cell>
        </row>
        <row r="3971">
          <cell r="A3971">
            <v>93133</v>
          </cell>
          <cell r="B3971" t="str">
            <v>BUCHA DE REDUÇÃO EM COBRE, DN 28 MM X 22 MM, SEM ANEL DE SOLDA, INSTALADO EM RAMAL E SUB-RAMAL  FORNECIMENTO E INSTALAÇÃO. AF_01/2016</v>
          </cell>
          <cell r="C3971" t="str">
            <v>UN</v>
          </cell>
          <cell r="D3971">
            <v>14.2</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v>32.42</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v>32.43</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v>48.62</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v>42.87</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v>70.069999999999993</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v>64.95</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v>46.81</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v>48.09</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v>69.709999999999994</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v>75.34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v>95.3</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v>106.15</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v>62.34</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v>95.71</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v>125.98</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v>54.85</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v>132.13</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v>195.54</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v>273.55</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v>92.43</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v>104.56</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v>251.87</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v>209.69</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v>247.65</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v>563.16</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v>134.88999999999999</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v>312.23</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v>473.54</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v>981.02</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v>5.25</v>
          </cell>
        </row>
        <row r="4002">
          <cell r="A4002">
            <v>94657</v>
          </cell>
          <cell r="B4002" t="str">
            <v>LUVA PVC, SOLDÁVEL, DN  25 MM, INSTALADA EM RESERVAÇÃO DE ÁGUA DE EDIFICAÇÃO QUE POSSUA RESERVATÓRIO DE FIBRA/FIBROCIMENTO   FORNECIMENTO E INSTALAÇÃO. AF_06/2016</v>
          </cell>
          <cell r="C4002" t="str">
            <v>UN</v>
          </cell>
          <cell r="D4002">
            <v>5.17</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v>5.96</v>
          </cell>
        </row>
        <row r="4004">
          <cell r="A4004">
            <v>94659</v>
          </cell>
          <cell r="B4004" t="str">
            <v>LUVA PVC, SOLDÁVEL, DN 32 MM, INSTALADA EM RESERVAÇÃO DE ÁGUA DE EDIFICAÇÃO QUE POSSUA RESERVATÓRIO DE FIBRA/FIBROCIMENTO   FORNECIMENTO E INSTALAÇÃO. AF_06/2016</v>
          </cell>
          <cell r="C4004" t="str">
            <v>UN</v>
          </cell>
          <cell r="D4004">
            <v>6.04</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v>9.7899999999999991</v>
          </cell>
        </row>
        <row r="4006">
          <cell r="A4006">
            <v>94661</v>
          </cell>
          <cell r="B4006" t="str">
            <v>LUVA, PVC, SOLDÁVEL, DN 40 MM, INSTALADO EM RESERVAÇÃO DE ÁGUA DE EDIFICAÇÃO QUE POSSUA RESERVATÓRIO DE FIBRA/FIBROCIMENTO   FORNECIMENTO E INSTALAÇÃO. AF_06/2016</v>
          </cell>
          <cell r="C4006" t="str">
            <v>UN</v>
          </cell>
          <cell r="D4006">
            <v>10.130000000000001</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v>10.51</v>
          </cell>
        </row>
        <row r="4008">
          <cell r="A4008">
            <v>94663</v>
          </cell>
          <cell r="B4008" t="str">
            <v>LUVA, PVC, SOLDÁVEL, DN 50 MM, INSTALADO EM RESERVAÇÃO DE ÁGUA DE EDIFICAÇÃO QUE POSSUA RESERVATÓRIO DE FIBRA/FIBROCIMENTO   FORNECIMENTO E INSTALAÇÃO. AF_06/2016</v>
          </cell>
          <cell r="C4008" t="str">
            <v>UN</v>
          </cell>
          <cell r="D4008">
            <v>10.65</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v>22.57</v>
          </cell>
        </row>
        <row r="4010">
          <cell r="A4010">
            <v>94665</v>
          </cell>
          <cell r="B4010" t="str">
            <v>LUVA, PVC, SOLDÁVEL, DN 60 MM, INSTALADO EM RESERVAÇÃO DE ÁGUA DE EDIFICAÇÃO QUE POSSUA RESERVATÓRIO DE FIBRA/FIBROCIMENTO   FORNECIMENTO E INSTALAÇÃO. AF_06/2016</v>
          </cell>
          <cell r="C4010" t="str">
            <v>UN</v>
          </cell>
          <cell r="D4010">
            <v>22.56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v>26.71</v>
          </cell>
        </row>
        <row r="4012">
          <cell r="A4012">
            <v>94667</v>
          </cell>
          <cell r="B4012" t="str">
            <v>LUVA, PVC, SOLDÁVEL, DN 75 MM, INSTALADO EM RESERVAÇÃO DE ÁGUA DE EDIFICAÇÃO QUE POSSUA RESERVATÓRIO DE FIBRA/FIBROCIMENTO   FORNECIMENTO E INSTALAÇÃO. AF_06/2016</v>
          </cell>
          <cell r="C4012" t="str">
            <v>UN</v>
          </cell>
          <cell r="D4012">
            <v>29.29</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v>46.18</v>
          </cell>
        </row>
        <row r="4014">
          <cell r="A4014">
            <v>94669</v>
          </cell>
          <cell r="B4014" t="str">
            <v>LUVA, PVC, SOLDÁVEL, DN 85 MM, INSTALADO EM RESERVAÇÃO DE ÁGUA DE EDIFICAÇÃO QUE POSSUA RESERVATÓRIO DE FIBRA/FIBROCIMENTO   FORNECIMENTO E INSTALAÇÃO. AF_06/2016</v>
          </cell>
          <cell r="C4014" t="str">
            <v>UN</v>
          </cell>
          <cell r="D4014">
            <v>60.65</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v>59.06</v>
          </cell>
        </row>
        <row r="4016">
          <cell r="A4016">
            <v>94671</v>
          </cell>
          <cell r="B4016" t="str">
            <v>LUVA, PVC, SOLDÁVEL, DN 110 MM, INSTALADO EM RESERVAÇÃO DE ÁGUA DE EDIFICAÇÃO QUE POSSUA RESERVATÓRIO DE FIBRA/FIBROCIMENTO   FORNECIMENTO E INSTALAÇÃO. AF_06/2016</v>
          </cell>
          <cell r="C4016" t="str">
            <v>UN</v>
          </cell>
          <cell r="D4016">
            <v>83.18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v>8.52</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v>8.32</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v>7.65</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v>11.29</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v>13.12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v>18.600000000000001</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v>13.44</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v>20.66</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v>35.229999999999997</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v>45.13</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v>86.17</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v>57.1</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v>112.38</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v>88.19</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v>203.58</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v>167.12</v>
          </cell>
        </row>
        <row r="4033">
          <cell r="A4033">
            <v>94688</v>
          </cell>
          <cell r="B4033" t="str">
            <v>TÊ, PVC, SOLDÁVEL, DN  25 MM INSTALADO EM RESERVAÇÃO DE ÁGUA DE EDIFICAÇÃO QUE POSSUA RESERVATÓRIO DE FIBRA/FIBROCIMENTO   FORNECIMENTO E INSTALAÇÃO. AF_06/2016</v>
          </cell>
          <cell r="C4033" t="str">
            <v>UN</v>
          </cell>
          <cell r="D4033">
            <v>9.15</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v>11.77</v>
          </cell>
        </row>
        <row r="4035">
          <cell r="A4035">
            <v>94690</v>
          </cell>
          <cell r="B4035" t="str">
            <v>TÊ, PVC, SOLDÁVEL, DN 32 MM INSTALADO EM RESERVAÇÃO DE ÁGUA DE EDIFICAÇÃO QUE POSSUA RESERVATÓRIO DE FIBRA/FIBROCIMENTO   FORNECIMENTO E INSTALAÇÃO. AF_06/2016</v>
          </cell>
          <cell r="C4035" t="str">
            <v>UN</v>
          </cell>
          <cell r="D4035">
            <v>11.35</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v>12.86</v>
          </cell>
        </row>
        <row r="4037">
          <cell r="A4037">
            <v>94692</v>
          </cell>
          <cell r="B4037" t="str">
            <v>TÊ, PVC, SOLDÁVEL, DN 40 MM INSTALADO EM RESERVAÇÃO DE ÁGUA DE EDIFICAÇÃO QUE POSSUA RESERVATÓRIO DE FIBRA/FIBROCIMENTO   FORNECIMENTO E INSTALAÇÃO. AF_06/2016</v>
          </cell>
          <cell r="C4037" t="str">
            <v>UN</v>
          </cell>
          <cell r="D4037">
            <v>19.649999999999999</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v>20.420000000000002</v>
          </cell>
        </row>
        <row r="4039">
          <cell r="A4039">
            <v>94694</v>
          </cell>
          <cell r="B4039" t="str">
            <v>TÊ, PVC, SOLDÁVEL, DN 50 MM INSTALADO EM RESERVAÇÃO DE ÁGUA DE EDIFICAÇÃO QUE POSSUA RESERVATÓRIO DE FIBRA/FIBROCIMENTO   FORNECIMENTO E INSTALAÇÃO. AF_06/2016</v>
          </cell>
          <cell r="C4039" t="str">
            <v>UN</v>
          </cell>
          <cell r="D4039">
            <v>20.46</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v>26.37</v>
          </cell>
        </row>
        <row r="4041">
          <cell r="A4041">
            <v>94696</v>
          </cell>
          <cell r="B4041" t="str">
            <v>TÊ, PVC, SOLDÁVEL, DN 60 MM INSTALADO EM RESERVAÇÃO DE ÁGUA DE EDIFICAÇÃO QUE POSSUA RESERVATÓRIO DE FIBRA/FIBROCIMENTO   FORNECIMENTO E INSTALAÇÃO. AF_06/2016</v>
          </cell>
          <cell r="C4041" t="str">
            <v>UN</v>
          </cell>
          <cell r="D4041">
            <v>46.41</v>
          </cell>
        </row>
        <row r="4042">
          <cell r="A4042">
            <v>94697</v>
          </cell>
          <cell r="B4042" t="str">
            <v>TÊ, PVC, SOLDÁVEL, DN 75 MM INSTALADO EM RESERVAÇÃO DE ÁGUA DE EDIFICAÇÃO QUE POSSUA RESERVATÓRIO DE FIBRA/FIBROCIMENTO   FORNECIMENTO E INSTALAÇÃO. AF_06/2016</v>
          </cell>
          <cell r="C4042" t="str">
            <v>UN</v>
          </cell>
          <cell r="D4042">
            <v>69.290000000000006</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v>61.25</v>
          </cell>
        </row>
        <row r="4044">
          <cell r="A4044">
            <v>94699</v>
          </cell>
          <cell r="B4044" t="str">
            <v>TÊ, PVC, SOLDÁVEL, DN 85 MM INSTALADO EM RESERVAÇÃO DE ÁGUA DE EDIFICAÇÃO QUE POSSUA RESERVATÓRIO DE FIBRA/FIBROCIMENTO   FORNECIMENTO E INSTALAÇÃO. AF_06/2016</v>
          </cell>
          <cell r="C4044" t="str">
            <v>UN</v>
          </cell>
          <cell r="D4044">
            <v>117.47</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v>101.01</v>
          </cell>
        </row>
        <row r="4046">
          <cell r="A4046">
            <v>94701</v>
          </cell>
          <cell r="B4046" t="str">
            <v>TÊ, PVC, SOLDÁVEL, DN 110 MM INSTALADO EM RESERVAÇÃO DE ÁGUA DE EDIFICAÇÃO QUE POSSUA RESERVATÓRIO DE FIBRA/FIBROCIMENTO   FORNECIMENTO E INSTALAÇÃO. AF_06/2016</v>
          </cell>
          <cell r="C4046" t="str">
            <v>UN</v>
          </cell>
          <cell r="D4046">
            <v>169.67</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v>161.26</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v>15.25</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v>17.78</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v>21.6</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v>33.17</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v>40.270000000000003</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v>19.68</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v>24.72</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v>37.22</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v>46.86</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v>61.21</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v>152.29</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v>204.81</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v>280.95999999999998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v>28.08</v>
          </cell>
        </row>
        <row r="4062">
          <cell r="A4062">
            <v>94725</v>
          </cell>
          <cell r="B4062" t="str">
            <v>LUVA, CPVC, SOLDÁVEL, DN 22 MM, INSTALADO EM RESERVAÇÃO DE ÁGUA DE EDIFICAÇÃO QUE POSSUA RESERVATÓRIO DE FIBRA/FIBROCIMENTO  FORNECIMENTO E INSTALAÇÃO. AF_06/2016</v>
          </cell>
          <cell r="C4062" t="str">
            <v>UN</v>
          </cell>
          <cell r="D4062">
            <v>6.11</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v>43.79</v>
          </cell>
        </row>
        <row r="4064">
          <cell r="A4064">
            <v>94727</v>
          </cell>
          <cell r="B4064" t="str">
            <v>LUVA, CPVC, SOLDÁVEL, DN 28 MM, INSTALADO EM RESERVAÇÃO DE ÁGUA DE EDIFICAÇÃO QUE POSSUA RESERVATÓRIO DE FIBRA/FIBROCIMENTO  FORNECIMENTO E INSTALAÇÃO. AF_06/2016</v>
          </cell>
          <cell r="C4064" t="str">
            <v>UN</v>
          </cell>
          <cell r="D4064">
            <v>9.02</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v>167.67</v>
          </cell>
        </row>
        <row r="4066">
          <cell r="A4066">
            <v>94729</v>
          </cell>
          <cell r="B4066" t="str">
            <v>LUVA, CPVC, SOLDÁVEL, DN 35 MM, INSTALADO EM RESERVAÇÃO DE ÁGUA DE EDIFICAÇÃO QUE POSSUA RESERVATÓRIO DE FIBRA/FIBROCIMENTO  FORNECIMENTO E INSTALAÇÃO. AF_06/2016</v>
          </cell>
          <cell r="C4066" t="str">
            <v>UN</v>
          </cell>
          <cell r="D4066">
            <v>16.32</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v>203.91</v>
          </cell>
        </row>
        <row r="4068">
          <cell r="A4068">
            <v>94731</v>
          </cell>
          <cell r="B4068" t="str">
            <v>LUVA, CPVC, SOLDÁVEL, DN 42 MM, INSTALADO EM RESERVAÇÃO DE ÁGUA DE EDIFICAÇÃO QUE POSSUA RESERVATÓRIO DE FIBRA/FIBROCIMENTO  FORNECIMENTO E INSTALAÇÃO. AF_06/2016</v>
          </cell>
          <cell r="C4068" t="str">
            <v>UN</v>
          </cell>
          <cell r="D4068">
            <v>20.73</v>
          </cell>
        </row>
        <row r="4069">
          <cell r="A4069">
            <v>94733</v>
          </cell>
          <cell r="B4069" t="str">
            <v>LUVA, CPVC, SOLDÁVEL, DN 54 MM, INSTALADO EM RESERVAÇÃO DE ÁGUA DE EDIFICAÇÃO QUE POSSUA RESERVATÓRIO DE FIBRA/FIBROCIMENTO  FORNECIMENTO E INSTALAÇÃO. AF_06/2016</v>
          </cell>
          <cell r="C4069" t="str">
            <v>UN</v>
          </cell>
          <cell r="D4069">
            <v>40.35</v>
          </cell>
        </row>
        <row r="4070">
          <cell r="A4070">
            <v>94737</v>
          </cell>
          <cell r="B4070" t="str">
            <v>LUVA, CPVC, SOLDÁVEL, DN 89 MM, INSTALADO EM RESERVAÇÃO DE ÁGUA DE EDIFICAÇÃO QUE POSSUA RESERVATÓRIO DE FIBRA/FIBROCIMENTO  FORNECIMENTO E INSTALAÇÃO. AF_06/2016</v>
          </cell>
          <cell r="C4070" t="str">
            <v>UN</v>
          </cell>
          <cell r="D4070">
            <v>172.54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v>9.66</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v>12.31</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v>15.28</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v>16.95</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v>24.78</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v>35.97</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v>74.58</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v>180.38</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v>217.7</v>
          </cell>
        </row>
        <row r="4080">
          <cell r="A4080">
            <v>94756</v>
          </cell>
          <cell r="B4080" t="str">
            <v>TE, CPVC, SOLDÁVEL, DN 22 MM, INSTALADO EM RESERVAÇÃO DE ÁGUA DE EDIFICAÇÃO QUE POSSUA RESERVATÓRIO DE FIBRA/FIBROCIMENTO  FORNECIMENTO E INSTALAÇÃO. AF_06/2016</v>
          </cell>
          <cell r="C4080" t="str">
            <v>UN</v>
          </cell>
          <cell r="D4080">
            <v>12.16</v>
          </cell>
        </row>
        <row r="4081">
          <cell r="A4081">
            <v>94757</v>
          </cell>
          <cell r="B4081" t="str">
            <v>TE, CPVC, SOLDÁVEL, DN 28 MM, INSTALADO EM RESERVAÇÃO DE ÁGUA DE EDIFICAÇÃO QUE POSSUA RESERVATÓRIO DE FIBRA/FIBROCIMENTO  FORNECIMENTO E INSTALAÇÃO. AF_06/2016</v>
          </cell>
          <cell r="C4081" t="str">
            <v>UN</v>
          </cell>
          <cell r="D4081">
            <v>17.18</v>
          </cell>
        </row>
        <row r="4082">
          <cell r="A4082">
            <v>94758</v>
          </cell>
          <cell r="B4082" t="str">
            <v>TE, CPVC, SOLDÁVEL, DN 35 MM, INSTALADO EM RESERVAÇÃO DE ÁGUA DE EDIFICAÇÃO QUE POSSUA RESERVATÓRIO DE FIBRA/FIBROCIMENTO  FORNECIMENTO E INSTALAÇÃO. AF_06/2016</v>
          </cell>
          <cell r="C4082" t="str">
            <v>UN</v>
          </cell>
          <cell r="D4082">
            <v>45.88</v>
          </cell>
        </row>
        <row r="4083">
          <cell r="A4083">
            <v>94759</v>
          </cell>
          <cell r="B4083" t="str">
            <v>TE, CPVC, SOLDÁVEL, DN 42 MM, INSTALADO EM RESERVAÇÃO DE ÁGUA DE EDIFICAÇÃO QUE POSSUA RESERVATÓRIO DE FIBRA/FIBROCIMENTO  FORNECIMENTO E INSTALAÇÃO. AF_06/2016</v>
          </cell>
          <cell r="C4083" t="str">
            <v>UN</v>
          </cell>
          <cell r="D4083">
            <v>57.04</v>
          </cell>
        </row>
        <row r="4084">
          <cell r="A4084">
            <v>94760</v>
          </cell>
          <cell r="B4084" t="str">
            <v>TE, CPVC, SOLDÁVEL, DN 54 MM, INSTALADO EM RESERVAÇÃO DE ÁGUA DE EDIFICAÇÃO QUE POSSUA RESERVATÓRIO DE FIBRA/FIBROCIMENTO  FORNECIMENTO E INSTALAÇÃO. AF_06/2016</v>
          </cell>
          <cell r="C4084" t="str">
            <v>UN</v>
          </cell>
          <cell r="D4084">
            <v>93.45</v>
          </cell>
        </row>
        <row r="4085">
          <cell r="A4085">
            <v>94761</v>
          </cell>
          <cell r="B4085" t="str">
            <v>TE, CPVC, SOLDÁVEL, DN 73 MM, INSTALADO EM RESERVAÇÃO DE ÁGUA DE EDIFICAÇÃO QUE POSSUA RESERVATÓRIO DE FIBRA/FIBROCIMENTO  FORNECIMENTO E INSTALAÇÃO. AF_06/2016</v>
          </cell>
          <cell r="C4085" t="str">
            <v>UN</v>
          </cell>
          <cell r="D4085">
            <v>205.28</v>
          </cell>
        </row>
        <row r="4086">
          <cell r="A4086">
            <v>94762</v>
          </cell>
          <cell r="B4086" t="str">
            <v>TE, CPVC, SOLDÁVEL, DN 89 MM, INSTALADO EM RESERVAÇÃO DE ÁGUA DE EDIFICAÇÃO QUE POSSUA RESERVATÓRIO DE FIBRA/FIBROCIMENTO  FORNECIMENTO E INSTALAÇÃO. AF_06/2016</v>
          </cell>
          <cell r="C4086" t="str">
            <v>UN</v>
          </cell>
          <cell r="D4086">
            <v>259.87</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v>14.15</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v>25.07</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v>32.21</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v>44.97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v>62.92</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v>187.49</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v>216.14</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v>300.91000000000003</v>
          </cell>
        </row>
        <row r="4095">
          <cell r="A4095">
            <v>94863</v>
          </cell>
          <cell r="B4095" t="str">
            <v>LUVA, CPVC, SOLDÁVEL, DN 73 MM, INSTALADO EM RESERVAÇÃO DE ÁGUA DE EDIFICAÇÃO QUE POSSUA RESERVATÓRIO DE FIBRA/FIBROCIMENTO  FORNECIMENTO E INSTALAÇÃO. AF_06/2016</v>
          </cell>
          <cell r="C4095" t="str">
            <v>UN</v>
          </cell>
          <cell r="D4095">
            <v>148.38</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v>23.52</v>
          </cell>
        </row>
        <row r="4097">
          <cell r="A4097">
            <v>95237</v>
          </cell>
          <cell r="B4097" t="str">
            <v>LUVA COM BUCHA DE LATÃO, PVC, SOLDÁVEL, DN 32MM X 1 , INSTALADO EM RAMAL DE DISTRIBUIÇÃO DE ÁGUA   FORNECIMENTO E INSTALAÇÃO. AF_12/2014</v>
          </cell>
          <cell r="C4097" t="str">
            <v>UN</v>
          </cell>
          <cell r="D4097">
            <v>18.03</v>
          </cell>
        </row>
        <row r="4098">
          <cell r="A4098">
            <v>95693</v>
          </cell>
          <cell r="B4098" t="str">
            <v>LUVA SIMPLES, PVC, SÉRIE NORMAL, ESGOTO PREDIAL, DN 150 MM, JUNTA ELÁSTICA, FORNECIDO E INSTALADO EM SUBCOLETOR AÉREO DE ESGOTO SANITÁRIO. AF_12/2014</v>
          </cell>
          <cell r="C4098" t="str">
            <v>UN</v>
          </cell>
          <cell r="D4098">
            <v>41.69</v>
          </cell>
        </row>
        <row r="4099">
          <cell r="A4099">
            <v>95694</v>
          </cell>
          <cell r="B4099" t="str">
            <v>CURVA 90 GRAUS, PVC, SERIE R, ÁGUA PLUVIAL, DN 100 MM, JUNTA ELÁSTICA, FORNECIDO E INSTALADO EM RAMAL DE ENCAMINHAMENTO. AF_12/2014</v>
          </cell>
          <cell r="C4099" t="str">
            <v>UN</v>
          </cell>
          <cell r="D4099">
            <v>50.79</v>
          </cell>
        </row>
        <row r="4100">
          <cell r="A4100">
            <v>95695</v>
          </cell>
          <cell r="B4100" t="str">
            <v>CURVA 90 GRAUS, PVC, SERIE R, ÁGUA PLUVIAL, DN 100 MM, JUNTA ELÁSTICA, FORNECIDO E INSTALADO EM CONDUTORES VERTICAIS DE ÁGUAS PLUVIAIS. AF_12/2014</v>
          </cell>
          <cell r="C4100" t="str">
            <v>UN</v>
          </cell>
          <cell r="D4100">
            <v>49.38</v>
          </cell>
        </row>
        <row r="4101">
          <cell r="A4101">
            <v>95696</v>
          </cell>
          <cell r="B4101" t="str">
            <v>SPRINKLER TIPO PENDENTE, 68 °C, UNIÃO POR ROSCA DN 15 (1/2") - FORNECIMENTO E INSTALAÇÃO. AF_12/2015</v>
          </cell>
          <cell r="C4101" t="str">
            <v>UN</v>
          </cell>
          <cell r="D4101">
            <v>34.409999999999997</v>
          </cell>
        </row>
        <row r="4102">
          <cell r="A4102">
            <v>96637</v>
          </cell>
          <cell r="B4102" t="str">
            <v>JOELHO 90 GRAUS, PPR, DN 25 MM, CLASSE PN 25, INSTALADO EM RAMAL OU SUB-RAMAL DE ÁGUA  FORNECIMENTO E INSTALAÇÃO . AF_06/2015</v>
          </cell>
          <cell r="C4102" t="str">
            <v>UN</v>
          </cell>
          <cell r="D4102">
            <v>10.4</v>
          </cell>
        </row>
        <row r="4103">
          <cell r="A4103">
            <v>96638</v>
          </cell>
          <cell r="B4103" t="str">
            <v>JOELHO 45 GRAUS, PPR, DN 25 MM, CLASSE PN 25, INSTALADO EM RAMAL OU SUB-RAMAL DE ÁGUA  FORNECIMENTO E INSTALAÇÃO . AF_06/2015</v>
          </cell>
          <cell r="C4103" t="str">
            <v>UN</v>
          </cell>
          <cell r="D4103">
            <v>10.02</v>
          </cell>
        </row>
        <row r="4104">
          <cell r="A4104">
            <v>96639</v>
          </cell>
          <cell r="B4104" t="str">
            <v>LUVA, PPR, DN 25 MM, CLASSE PN 25, INSTALADO EM RAMAL OU SUB-RAMAL DE ÁGUA  FORNECIMENTO E INSTALAÇÃO . AF_06/2015</v>
          </cell>
          <cell r="C4104" t="str">
            <v>UN</v>
          </cell>
          <cell r="D4104">
            <v>7.25</v>
          </cell>
        </row>
        <row r="4105">
          <cell r="A4105">
            <v>96640</v>
          </cell>
          <cell r="B4105" t="str">
            <v>CONECTOR MACHO, PPR, 25 X 1/2'', CLASSE PN 25, INSTALADO EM RAMAL OU SUB-RAMAL DE ÁGUA   FORNECIMENTO E INSTALAÇÃO . AF_06/2015</v>
          </cell>
          <cell r="C4105" t="str">
            <v>UN</v>
          </cell>
          <cell r="D4105">
            <v>18</v>
          </cell>
        </row>
        <row r="4106">
          <cell r="A4106">
            <v>96641</v>
          </cell>
          <cell r="B4106" t="str">
            <v>CONECTOR FÊMEA, PPR, 25 X 1/2'', CLASSE PN 25, INSTALADO EM RAMAL OU SUB-RAMAL DE ÁGUA   FORNECIMENTO E INSTALAÇÃO . AF_06/2015</v>
          </cell>
          <cell r="C4106" t="str">
            <v>UN</v>
          </cell>
          <cell r="D4106">
            <v>14.16</v>
          </cell>
        </row>
        <row r="4107">
          <cell r="A4107">
            <v>96642</v>
          </cell>
          <cell r="B4107" t="str">
            <v>TÊ NORMAL, PPR, DN 25 MM, CLASSE PN 25, INSTALADO EM RAMAL OU SUB-RAMAL DE ÁGUA  FORNECIMENTO E INSTALAÇÃO . AF_06/2015</v>
          </cell>
          <cell r="C4107" t="str">
            <v>UN</v>
          </cell>
          <cell r="D4107">
            <v>13.78</v>
          </cell>
        </row>
        <row r="4108">
          <cell r="A4108">
            <v>96643</v>
          </cell>
          <cell r="B4108" t="str">
            <v>TÊ MISTURADOR, PPR, 25 X 3/4'' , CLASSE PN 25, INSTALADO EM RAMAL OU SUB-RAMAL DE ÁGUA  FORNECIMENTO E INSTALAÇÃO . AF_06/2015</v>
          </cell>
          <cell r="C4108" t="str">
            <v>UN</v>
          </cell>
          <cell r="D4108">
            <v>36.29</v>
          </cell>
        </row>
        <row r="4109">
          <cell r="A4109">
            <v>96650</v>
          </cell>
          <cell r="B4109" t="str">
            <v>JOELHO 90 GRAUS, PPR, DN 25 MM, CLASSE PN 25, INSTALADO EM RAMAL DE DISTRIBUIÇÃO  FORNECIMENTO E INSTALAÇÃO . AF_06/2015</v>
          </cell>
          <cell r="C4109" t="str">
            <v>UN</v>
          </cell>
          <cell r="D4109">
            <v>7.73</v>
          </cell>
        </row>
        <row r="4110">
          <cell r="A4110">
            <v>96651</v>
          </cell>
          <cell r="B4110" t="str">
            <v>JOELHO 45 GRAUS, PPR, DN 25 MM, CLASSE PN 25, INSTALADO EM RAMAL DE DISTRIBUIÇÃO DE ÁGUA  FORNECIMENTO E INSTALAÇÃO . AF_06/2015</v>
          </cell>
          <cell r="C4110" t="str">
            <v>UN</v>
          </cell>
          <cell r="D4110">
            <v>7.35</v>
          </cell>
        </row>
        <row r="4111">
          <cell r="A4111">
            <v>96652</v>
          </cell>
          <cell r="B4111" t="str">
            <v>JOELHO 90 GRAUS, PPR, DN 32 MM, CLASSE PN 25, INSTALADO EM RAMAL DE DISTRIBUIÇÃO  FORNECIMENTO E INSTALAÇÃO . AF_06/2015</v>
          </cell>
          <cell r="C4111" t="str">
            <v>UN</v>
          </cell>
          <cell r="D4111">
            <v>14.76</v>
          </cell>
        </row>
        <row r="4112">
          <cell r="A4112">
            <v>96653</v>
          </cell>
          <cell r="B4112" t="str">
            <v>JOELHO 45 GRAUS, PPR, DN 32 MM, CLASSE PN 25, INSTALADO EM RAMAL DE DISTRIBUIÇÃO DE ÁGUA  FORNECIMENTO E INSTALAÇÃO . AF_06/2015</v>
          </cell>
          <cell r="C4112" t="str">
            <v>UN</v>
          </cell>
          <cell r="D4112">
            <v>14.72</v>
          </cell>
        </row>
        <row r="4113">
          <cell r="A4113">
            <v>96654</v>
          </cell>
          <cell r="B4113" t="str">
            <v>JOELHO 90 GRAUS, PPR, DN 40 MM, CLASSE PN 25, INSTALADO EM RAMAL DE DISTRIBUIÇÃO  FORNECIMENTO E INSTALAÇÃO . AF_06/2015</v>
          </cell>
          <cell r="C4113" t="str">
            <v>UN</v>
          </cell>
          <cell r="D4113">
            <v>24.42</v>
          </cell>
        </row>
        <row r="4114">
          <cell r="A4114">
            <v>96655</v>
          </cell>
          <cell r="B4114" t="str">
            <v>JOELHO 45 GRAUS, PPR, DN 40 MM, CLASSE PN 25, INSTALADO EM RAMAL DE DISTRIBUIÇÃO DE ÁGUA  FORNECIMENTO E INSTALAÇÃO . AF_06/2015</v>
          </cell>
          <cell r="C4114" t="str">
            <v>UN</v>
          </cell>
          <cell r="D4114">
            <v>23.99</v>
          </cell>
        </row>
        <row r="4115">
          <cell r="A4115">
            <v>96656</v>
          </cell>
          <cell r="B4115" t="str">
            <v>LUVA, PPR, DN 25 MM, CLASSE PN 25, INSTALADO EM RAMAL DE DISTRIBUIÇÃO DE ÁGUA  FORNECIMENTO E INSTALAÇÃO . AF_06/2015</v>
          </cell>
          <cell r="C4115" t="str">
            <v>UN</v>
          </cell>
          <cell r="D4115">
            <v>5.48</v>
          </cell>
        </row>
        <row r="4116">
          <cell r="A4116">
            <v>96657</v>
          </cell>
          <cell r="B4116" t="str">
            <v>CONECTOR MACHO, PPR, 25 X 1/2, CLASSE PN 25, INSTALADO EM RAMAL DE DISTRIBUIÇÃO DE ÁGUA  FORNECIMENTO E INSTALAÇÃO . AF_06/2015</v>
          </cell>
          <cell r="C4116" t="str">
            <v>UN</v>
          </cell>
          <cell r="D4116">
            <v>16.23</v>
          </cell>
        </row>
        <row r="4117">
          <cell r="A4117">
            <v>96658</v>
          </cell>
          <cell r="B4117" t="str">
            <v>CONECTOR FÊMEA, PPR, 25 X 1/2'', CLASSE PN 25, INSTALADO EM RAMAL DE DISTRIBUIÇÃO DE ÁGUA   FORNECIMENTO E INSTALAÇÃO . AF_06/2015</v>
          </cell>
          <cell r="C4117" t="str">
            <v>UN</v>
          </cell>
          <cell r="D4117">
            <v>12.39</v>
          </cell>
        </row>
        <row r="4118">
          <cell r="A4118">
            <v>96659</v>
          </cell>
          <cell r="B4118" t="str">
            <v>LUVA, PPR, DN 32 MM, CLASSE PN 25, INSTALADO EM RAMAL DE DISTRIBUIÇÃO DE ÁGUA  FORNECIMENTO E INSTALAÇÃO. AF_06/2015</v>
          </cell>
          <cell r="C4118" t="str">
            <v>UN</v>
          </cell>
          <cell r="D4118">
            <v>9.9700000000000006</v>
          </cell>
        </row>
        <row r="4119">
          <cell r="A4119">
            <v>96660</v>
          </cell>
          <cell r="B4119" t="str">
            <v>CONECTOR MACHO, PPR, 32 X 3/4'', CLASSE PN 25, INSTALADO EM RAMAL DE DISTRIBUIÇÃO DE ÁGUA   FORNECIMENTO E INSTALAÇÃO. AF_06/2015</v>
          </cell>
          <cell r="C4119" t="str">
            <v>UN</v>
          </cell>
          <cell r="D4119">
            <v>27.9</v>
          </cell>
        </row>
        <row r="4120">
          <cell r="A4120">
            <v>96661</v>
          </cell>
          <cell r="B4120" t="str">
            <v>CONECTOR FÊMEA, PPR, 32 X 3/4'', CLASSE PN 25, INSTALADO EM RAMAL DE DISTRIBUIÇÃO DE ÁGUA   FORNECIMENTO E INSTALAÇÃO . AF_06/2015</v>
          </cell>
          <cell r="C4120" t="str">
            <v>UN</v>
          </cell>
          <cell r="D4120">
            <v>21.99</v>
          </cell>
        </row>
        <row r="4121">
          <cell r="A4121">
            <v>96662</v>
          </cell>
          <cell r="B4121" t="str">
            <v>BUCHA DE REDUÇÃO, PPR, 32 X 25, CLASSE PN 25, INSTALADO EM RAMAL DE DISTRIBUIÇÃO DE ÁGUA  FORNECIMENTO E INSTALAÇÃO . AF_06/2015</v>
          </cell>
          <cell r="C4121" t="str">
            <v>UN</v>
          </cell>
          <cell r="D4121">
            <v>10.17</v>
          </cell>
        </row>
        <row r="4122">
          <cell r="A4122">
            <v>96663</v>
          </cell>
          <cell r="B4122" t="str">
            <v>LUVA, PPR, DN 40 MM, CLASSE PN 25, INSTALADO EM RAMAL DE DISTRIBUIÇÃO DE ÁGUA  FORNECIMENTO E INSTALAÇÃO. AF_06/2015</v>
          </cell>
          <cell r="C4122" t="str">
            <v>UN</v>
          </cell>
          <cell r="D4122">
            <v>17.989999999999998</v>
          </cell>
        </row>
        <row r="4123">
          <cell r="A4123">
            <v>96664</v>
          </cell>
          <cell r="B4123" t="str">
            <v>BUCHA DE REDUÇÃO, PPR, 40 X 25, CLASSE PN 25, INSTALADO EM RAMAL DE DISTRIBUIÇÃO DE ÁGUA  FORNECIMENTO E INSTALAÇÃO . AF_06/2015</v>
          </cell>
          <cell r="C4123" t="str">
            <v>UN</v>
          </cell>
          <cell r="D4123">
            <v>19.25</v>
          </cell>
        </row>
        <row r="4124">
          <cell r="A4124">
            <v>96665</v>
          </cell>
          <cell r="B4124" t="str">
            <v>TÊ NORMAL, PPR, DN 25 MM, CLASSE PN 25, INSTALADO EM RAMAL DE DISTRIBUIÇÃO DE ÁGUA  FORNECIMENTO E INSTALAÇÃO . AF_06/2015</v>
          </cell>
          <cell r="C4124" t="str">
            <v>UN</v>
          </cell>
          <cell r="D4124">
            <v>10.18</v>
          </cell>
        </row>
        <row r="4125">
          <cell r="A4125">
            <v>96666</v>
          </cell>
          <cell r="B4125" t="str">
            <v>TÊ NORMAL, PPR, DN 32 MM, CLASSE PN 25, INSTALADO EM RAMAL DE DISTRIBUIÇÃO DE ÁGUA  FORNECIMENTO E INSTALAÇÃO . AF_06/2015</v>
          </cell>
          <cell r="C4125" t="str">
            <v>UN</v>
          </cell>
          <cell r="D4125">
            <v>19.78</v>
          </cell>
        </row>
        <row r="4126">
          <cell r="A4126">
            <v>96667</v>
          </cell>
          <cell r="B4126" t="str">
            <v>TÊ NORMAL, PPR, DN 40 MM, CLASSE PN 25, INSTALADO EM RAMAL DE DISTRIBUIÇÃO DE ÁGUA  FORNECIMENTO E INSTALAÇÃO . AF_06/2015</v>
          </cell>
          <cell r="C4126" t="str">
            <v>UN</v>
          </cell>
          <cell r="D4126">
            <v>34.33</v>
          </cell>
        </row>
        <row r="4127">
          <cell r="A4127">
            <v>96684</v>
          </cell>
          <cell r="B4127" t="str">
            <v>JOELHO 90 GRAUS, PPR, DN 25 MM, CLASSE PN 25, INSTALADO EM PRUMADA DE ÁGUA  FORNECIMENTO E INSTALAÇÃO . AF_06/2015</v>
          </cell>
          <cell r="C4127" t="str">
            <v>UN</v>
          </cell>
          <cell r="D4127">
            <v>3.7</v>
          </cell>
        </row>
        <row r="4128">
          <cell r="A4128">
            <v>96685</v>
          </cell>
          <cell r="B4128" t="str">
            <v>JOELHO 45 GRAUS, PPR, DN 25 MM, CLASSE PN 25, INSTALADO EM PRUMADA DE ÁGUA  FORNECIMENTO E INSTALAÇÃO . AF_06/2015</v>
          </cell>
          <cell r="C4128" t="str">
            <v>UN</v>
          </cell>
          <cell r="D4128">
            <v>3.32</v>
          </cell>
        </row>
        <row r="4129">
          <cell r="A4129">
            <v>96686</v>
          </cell>
          <cell r="B4129" t="str">
            <v>JOELHO 90 GRAUS, PPR, DN 32 MM, CLASSE PN 25, INSTALADO EM PRUMADA DE ÁGUA  FORNECIMENTO E INSTALAÇÃO . AF_06/2015</v>
          </cell>
          <cell r="C4129" t="str">
            <v>UN</v>
          </cell>
          <cell r="D4129">
            <v>5.56</v>
          </cell>
        </row>
        <row r="4130">
          <cell r="A4130">
            <v>96687</v>
          </cell>
          <cell r="B4130" t="str">
            <v>JOELHO 45 GRAUS, PPR, DN 32 MM, CLASSE PN 25, INSTALADO EM PRUMADA DE ÁGUA  FORNECIMENTO E INSTALAÇÃO . AF_06/2015</v>
          </cell>
          <cell r="C4130" t="str">
            <v>UN</v>
          </cell>
          <cell r="D4130">
            <v>5.52</v>
          </cell>
        </row>
        <row r="4131">
          <cell r="A4131">
            <v>96688</v>
          </cell>
          <cell r="B4131" t="str">
            <v>JOELHO 90 GRAUS, PPR, DN 40 MM, CLASSE PN 25, INSTALADO EM PRUMADA DE ÁGUA  FORNECIMENTO E INSTALAÇÃO . AF_06/2015</v>
          </cell>
          <cell r="C4131" t="str">
            <v>UN</v>
          </cell>
          <cell r="D4131">
            <v>9.5399999999999991</v>
          </cell>
        </row>
        <row r="4132">
          <cell r="A4132">
            <v>96689</v>
          </cell>
          <cell r="B4132" t="str">
            <v>JOELHO 45 GRAUS, PPR, DN 40 MM, CLASSE PN 25, INSTALADO EM PRUMADA DE ÁGUA  FORNECIMENTO E INSTALAÇÃO . AF_06/2015</v>
          </cell>
          <cell r="C4132" t="str">
            <v>UN</v>
          </cell>
          <cell r="D4132">
            <v>9.11</v>
          </cell>
        </row>
        <row r="4133">
          <cell r="A4133">
            <v>96690</v>
          </cell>
          <cell r="B4133" t="str">
            <v>JOELHO 90 GRAUS, PPR, DN 50 MM, CLASSE PN 25, INSTALADO EM PRUMADA DE ÁGUA  FORNECIMENTO E INSTALAÇÃO . AF_06/2015</v>
          </cell>
          <cell r="C4133" t="str">
            <v>UN</v>
          </cell>
          <cell r="D4133">
            <v>17.690000000000001</v>
          </cell>
        </row>
        <row r="4134">
          <cell r="A4134">
            <v>96691</v>
          </cell>
          <cell r="B4134" t="str">
            <v>JOELHO 45 GRAUS, PPR, DN 50 MM, CLASSE PN 25, INSTALADO EM PRUMADA DE ÁGUA  FORNECIMENTO E INSTALAÇÃO . AF_06/2015</v>
          </cell>
          <cell r="C4134" t="str">
            <v>UN</v>
          </cell>
          <cell r="D4134">
            <v>18.27</v>
          </cell>
        </row>
        <row r="4135">
          <cell r="A4135">
            <v>96692</v>
          </cell>
          <cell r="B4135" t="str">
            <v>JOELHO 90 GRAUS, PPR, DN 63 MM, CLASSE PN 25, INSTALADO EM PRUMADA DE ÁGUA  FORNECIMENTO E INSTALAÇÃO . AF_06/2015</v>
          </cell>
          <cell r="C4135" t="str">
            <v>UN</v>
          </cell>
          <cell r="D4135">
            <v>26.75</v>
          </cell>
        </row>
        <row r="4136">
          <cell r="A4136">
            <v>96693</v>
          </cell>
          <cell r="B4136" t="str">
            <v>JOELHO 45 GRAUS, PPR, DN 63 MM, CLASSE PN 25, INSTALADO EM PRUMADA DE ÁGUA  FORNECIMENTO E INSTALAÇÃO . AF_06/2015</v>
          </cell>
          <cell r="C4136" t="str">
            <v>UN</v>
          </cell>
          <cell r="D4136">
            <v>25.34</v>
          </cell>
        </row>
        <row r="4137">
          <cell r="A4137">
            <v>96694</v>
          </cell>
          <cell r="B4137" t="str">
            <v>JOELHO 90 GRAUS, PPR, DN 75 MM, CLASSE PN 25, INSTALADO EM PRUMADA DE ÁGUA  FORNECIMENTO E INSTALAÇÃO . AF_06/2015</v>
          </cell>
          <cell r="C4137" t="str">
            <v>UN</v>
          </cell>
          <cell r="D4137">
            <v>58.68</v>
          </cell>
        </row>
        <row r="4138">
          <cell r="A4138">
            <v>96695</v>
          </cell>
          <cell r="B4138" t="str">
            <v>JOELHO 45 GRAUS, PPR, DN 75 MM, CLASSE PN 25, INSTALADO EM PRUMADA DE ÁGUA  FORNECIMENTO E INSTALAÇÃO . AF_06/2015</v>
          </cell>
          <cell r="C4138" t="str">
            <v>UN</v>
          </cell>
          <cell r="D4138">
            <v>57.02</v>
          </cell>
        </row>
        <row r="4139">
          <cell r="A4139">
            <v>96696</v>
          </cell>
          <cell r="B4139" t="str">
            <v>JOELHO 90 GRAUS, PPR, DN 90 MM, CLASSE PN 25, INSTALADO EM PRUMADA DE ÁGUA  FORNECIMENTO E INSTALAÇÃO . AF_06/2015</v>
          </cell>
          <cell r="C4139" t="str">
            <v>UN</v>
          </cell>
          <cell r="D4139">
            <v>88.34</v>
          </cell>
        </row>
        <row r="4140">
          <cell r="A4140">
            <v>96697</v>
          </cell>
          <cell r="B4140" t="str">
            <v>JOELHO 90 GRAUS, PPR, DN 110 MM, CLASSE PN 25, INSTALADO EM PRUMADA DE ÁGUA  FORNECIMENTO E INSTALAÇÃO . AF_06/2015</v>
          </cell>
          <cell r="C4140" t="str">
            <v>UN</v>
          </cell>
          <cell r="D4140">
            <v>132.16</v>
          </cell>
        </row>
        <row r="4141">
          <cell r="A4141">
            <v>96698</v>
          </cell>
          <cell r="B4141" t="str">
            <v>LUVA, PPR, DN 25 MM, CLASSE PN 25, INSTALADO EM PRUMADA DE ÁGUA  FORNECIMENTO E INSTALAÇÃO . AF_06/2015</v>
          </cell>
          <cell r="C4141" t="str">
            <v>UN</v>
          </cell>
          <cell r="D4141">
            <v>2.8</v>
          </cell>
        </row>
        <row r="4142">
          <cell r="A4142">
            <v>96699</v>
          </cell>
          <cell r="B4142" t="str">
            <v>CONECTOR MACHO, PPR, 25 X 1/2'', CLASSE PN 25, INSTALADO EM PRUMADA DE ÁGUA   FORNECIMENTO E INSTALAÇÃO . AF_06/2015</v>
          </cell>
          <cell r="C4142" t="str">
            <v>UN</v>
          </cell>
          <cell r="D4142">
            <v>13.55</v>
          </cell>
        </row>
        <row r="4143">
          <cell r="A4143">
            <v>96700</v>
          </cell>
          <cell r="B4143" t="str">
            <v>CONECTOR FÊMEA, PPR, 25 X 1/2'', CLASSE PN 25, INSTALADO EM PRUMADA DE ÁGUA   FORNECIMENTO E INSTALAÇÃO . AF_06/2015</v>
          </cell>
          <cell r="C4143" t="str">
            <v>UN</v>
          </cell>
          <cell r="D4143">
            <v>9.7100000000000009</v>
          </cell>
        </row>
        <row r="4144">
          <cell r="A4144">
            <v>96701</v>
          </cell>
          <cell r="B4144" t="str">
            <v>LUVA, PPR, DN 32 MM, CLASSE PN 25, INSTALADO EM PRUMADA DE ÁGUA  FORNECIMENTO E INSTALAÇÃO. AF_06/2015</v>
          </cell>
          <cell r="C4144" t="str">
            <v>UN</v>
          </cell>
          <cell r="D4144">
            <v>3.84</v>
          </cell>
        </row>
        <row r="4145">
          <cell r="A4145">
            <v>96702</v>
          </cell>
          <cell r="B4145" t="str">
            <v>BUCHA DE REDUÇÃO, PPR, 32 X 25, CLASSE PN 25, INSTALADO EM PRUMADA DE ÁGUA  FORNECIMENTO E INSTALAÇÃO . AF_06/2015</v>
          </cell>
          <cell r="C4145" t="str">
            <v>UN</v>
          </cell>
          <cell r="D4145">
            <v>4.04</v>
          </cell>
        </row>
        <row r="4146">
          <cell r="A4146">
            <v>96703</v>
          </cell>
          <cell r="B4146" t="str">
            <v>LUVA, PPR, DN 40 MM, CLASSE PN 25, INSTALADO EM PRUMADA DE ÁGUA  FORNECIMENTO E INSTALAÇÃO. AF_06/2015</v>
          </cell>
          <cell r="C4146" t="str">
            <v>UN</v>
          </cell>
          <cell r="D4146">
            <v>8.0399999999999991</v>
          </cell>
        </row>
        <row r="4147">
          <cell r="A4147">
            <v>96704</v>
          </cell>
          <cell r="B4147" t="str">
            <v>BUCHA DE REDUÇÃO, PPR, 40 X 25, CLASSE PN 25, INSTALADO EM PRUMADA DE ÁGUA  FORNECIMENTO E INSTALAÇÃO . AF_06/2015</v>
          </cell>
          <cell r="C4147" t="str">
            <v>UN</v>
          </cell>
          <cell r="D4147">
            <v>9.3000000000000007</v>
          </cell>
        </row>
        <row r="4148">
          <cell r="A4148">
            <v>96705</v>
          </cell>
          <cell r="B4148" t="str">
            <v>LUVA, PPR, DN 50 MM, CLASSE PN 25, INSTALADO EM PRUMADA DE ÁGUA  FORNECIMENTO E INSTALAÇÃO. AF_06/2015</v>
          </cell>
          <cell r="C4148" t="str">
            <v>UN</v>
          </cell>
          <cell r="D4148">
            <v>12.12</v>
          </cell>
        </row>
        <row r="4149">
          <cell r="A4149">
            <v>96706</v>
          </cell>
          <cell r="B4149" t="str">
            <v>LUVA, PPR, DN 63 MM, CLASSE PN 25, INSTALADO EM PRUMADA DE ÁGUA  FORNECIMENTO E INSTALAÇÃO. AF_06/2015</v>
          </cell>
          <cell r="C4149" t="str">
            <v>UN</v>
          </cell>
          <cell r="D4149">
            <v>18.2</v>
          </cell>
        </row>
        <row r="4150">
          <cell r="A4150">
            <v>96707</v>
          </cell>
          <cell r="B4150" t="str">
            <v>LUVA, PPR, DN 75 MM, CLASSE PN 25, INSTALADO EM PRUMADA DE ÁGUA  FORNECIMENTO E INSTALAÇÃO. AF_06/2015</v>
          </cell>
          <cell r="C4150" t="str">
            <v>UN</v>
          </cell>
          <cell r="D4150">
            <v>37.72</v>
          </cell>
        </row>
        <row r="4151">
          <cell r="A4151">
            <v>96708</v>
          </cell>
          <cell r="B4151" t="str">
            <v>LUVA, PPR, DN 90 MM, CLASSE PN 25, INSTALADO EM PRUMADA DE ÁGUA  FORNECIMENTO E INSTALAÇÃO. AF_06/2015</v>
          </cell>
          <cell r="C4151" t="str">
            <v>UN</v>
          </cell>
          <cell r="D4151">
            <v>59.48</v>
          </cell>
        </row>
        <row r="4152">
          <cell r="A4152">
            <v>96709</v>
          </cell>
          <cell r="B4152" t="str">
            <v>LUVA, PPR, DN 110 MM, CLASSE PN 25, INSTALADO EM PRUMADA DE ÁGUA  FORNECIMENTO E INSTALAÇÃO. AF_06/2015</v>
          </cell>
          <cell r="C4152" t="str">
            <v>UN</v>
          </cell>
          <cell r="D4152">
            <v>93.92</v>
          </cell>
        </row>
        <row r="4153">
          <cell r="A4153">
            <v>96710</v>
          </cell>
          <cell r="B4153" t="str">
            <v>TÊ NORMAL, PPR, DN 25 MM, CLASSE PN 25, INSTALADO EM PRUMADA DE ÁGUA  FORNECIMENTO E INSTALAÇÃO . AF_06/2015</v>
          </cell>
          <cell r="C4153" t="str">
            <v>UN</v>
          </cell>
          <cell r="D4153">
            <v>4.8600000000000003</v>
          </cell>
        </row>
        <row r="4154">
          <cell r="A4154">
            <v>96711</v>
          </cell>
          <cell r="B4154" t="str">
            <v>TÊ NORMAL, PPR, DN 32 MM, CLASSE PN 25, INSTALADO EM PRUMADA DE ÁGUA  FORNECIMENTO E INSTALAÇÃO . AF_06/2015</v>
          </cell>
          <cell r="C4154" t="str">
            <v>UN</v>
          </cell>
          <cell r="D4154">
            <v>7.54</v>
          </cell>
        </row>
        <row r="4155">
          <cell r="A4155">
            <v>96712</v>
          </cell>
          <cell r="B4155" t="str">
            <v>TÊ NORMAL, PPR, DN 40 MM, CLASSE PN 25, INSTALADO EM PRUMADA DE ÁGUA  FORNECIMENTO E INSTALAÇÃO . AF_06/2015</v>
          </cell>
          <cell r="C4155" t="str">
            <v>UN</v>
          </cell>
          <cell r="D4155">
            <v>14.42</v>
          </cell>
        </row>
        <row r="4156">
          <cell r="A4156">
            <v>96713</v>
          </cell>
          <cell r="B4156" t="str">
            <v>TÊ NORMAL, PPR, DN 50 MM, CLASSE PN 25, INSTALADO EM PRUMADA DE ÁGUA  FORNECIMENTO E INSTALAÇÃO . AF_06/2015</v>
          </cell>
          <cell r="C4156" t="str">
            <v>UN</v>
          </cell>
          <cell r="D4156">
            <v>20.04</v>
          </cell>
        </row>
        <row r="4157">
          <cell r="A4157">
            <v>96714</v>
          </cell>
          <cell r="B4157" t="str">
            <v>TÊ NORMAL, PPR, DN 63 MM, CLASSE PN 25, INSTALADO EM PRUMADA DE ÁGUA  FORNECIMENTO E INSTALAÇÃO . AF_06/2015</v>
          </cell>
          <cell r="C4157" t="str">
            <v>UN</v>
          </cell>
          <cell r="D4157">
            <v>33.76</v>
          </cell>
        </row>
        <row r="4158">
          <cell r="A4158">
            <v>96715</v>
          </cell>
          <cell r="B4158" t="str">
            <v>TÊ NORMAL, PPR, DN 75 MM, CLASSE PN 25, INSTALADO EM PRUMADA DE ÁGUA  FORNECIMENTO E INSTALAÇÃO . AF_06/2015</v>
          </cell>
          <cell r="C4158" t="str">
            <v>UN</v>
          </cell>
          <cell r="D4158">
            <v>63.25</v>
          </cell>
        </row>
        <row r="4159">
          <cell r="A4159">
            <v>96716</v>
          </cell>
          <cell r="B4159" t="str">
            <v>TÊ NORMAL, PPR, DN 90 MM, CLASSE PN 25, INSTALADO EM PRUMADA DE ÁGUA  FORNECIMENTO E INSTALAÇÃO . AF_06/2015</v>
          </cell>
          <cell r="C4159" t="str">
            <v>UN</v>
          </cell>
          <cell r="D4159">
            <v>94.96</v>
          </cell>
        </row>
        <row r="4160">
          <cell r="A4160">
            <v>96717</v>
          </cell>
          <cell r="B4160" t="str">
            <v>TÊ NORMAL, PPR, DN 110 MM, CLASSE PN 25, INSTALADO EM PRUMADA DE ÁGUA  FORNECIMENTO E INSTALAÇÃO . AF_06/2015</v>
          </cell>
          <cell r="C4160" t="str">
            <v>UN</v>
          </cell>
          <cell r="D4160">
            <v>149.47</v>
          </cell>
        </row>
        <row r="4161">
          <cell r="A4161">
            <v>96736</v>
          </cell>
          <cell r="B4161" t="str">
            <v>LUVA, PPR, DN 20 MM, CLASSE PN 25, INSTALADO EM RESERVAÇÃO DE ÁGUA DE EDIFICAÇÃO QUE POSSUA RESERVATÓRIO DE FIBRA/FIBROCIMENTO  FORNECIMENTO E INSTALAÇÃO. AF_06/2016</v>
          </cell>
          <cell r="C4161" t="str">
            <v>UN</v>
          </cell>
          <cell r="D4161">
            <v>4.17</v>
          </cell>
        </row>
        <row r="4162">
          <cell r="A4162">
            <v>96737</v>
          </cell>
          <cell r="B4162" t="str">
            <v>LUVA, PPR, DN 25 MM, CLASSE PN 25, INSTALADO EM RESERVAÇÃO DE ÁGUA DE EDIFICAÇÃO QUE POSSUA RESERVATÓRIO DE FIBRA/FIBROCIMENTO  FORNECIMENTO E INSTALAÇÃO. AF_06/2016</v>
          </cell>
          <cell r="C4162" t="str">
            <v>UN</v>
          </cell>
          <cell r="D4162">
            <v>4.75</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v>15.5</v>
          </cell>
        </row>
        <row r="4164">
          <cell r="A4164">
            <v>96739</v>
          </cell>
          <cell r="B4164" t="str">
            <v>LUVA, PPR, DN 32 MM, CLASSE PN 25, INSTALADO EM RESERVAÇÃO DE ÁGUA DE EDIFICAÇÃO QUE POSSUA RESERVATÓRIO DE FIBRA/FIBROCIMENTO  FORNECIMENTO E INSTALAÇÃO. AF_06/2016</v>
          </cell>
          <cell r="C4164" t="str">
            <v>UN</v>
          </cell>
          <cell r="D4164">
            <v>6.13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v>24.06</v>
          </cell>
        </row>
        <row r="4166">
          <cell r="A4166">
            <v>96741</v>
          </cell>
          <cell r="B4166" t="str">
            <v>LUVA, PPR, DN 40 MM, CLASSE PN 25, INSTALADO EM RESERVAÇÃO DE ÁGUA DE EDIFICAÇÃO QUE POSSUA RESERVATÓRIO DE FIBRA/FIBROCIMENTO  FORNECIMENTO E INSTALAÇÃO. AF_06/2016</v>
          </cell>
          <cell r="C4166" t="str">
            <v>UN</v>
          </cell>
          <cell r="D4166">
            <v>9.6300000000000008</v>
          </cell>
        </row>
        <row r="4167">
          <cell r="A4167">
            <v>96742</v>
          </cell>
          <cell r="B4167" t="str">
            <v>LUVA, PPR, DN 50 MM, CLASSE PN 25, INSTALADO EM RESERVAÇÃO DE ÁGUA DE EDIFICAÇÃO QUE POSSUA RESERVATÓRIO DE FIBRA/FIBROCIMENTO  FORNECIMENTO E INSTALAÇÃO. AF_06/2016</v>
          </cell>
          <cell r="C4167" t="str">
            <v>UN</v>
          </cell>
          <cell r="D4167">
            <v>14.62</v>
          </cell>
        </row>
        <row r="4168">
          <cell r="A4168">
            <v>96743</v>
          </cell>
          <cell r="B4168" t="str">
            <v>LUVA, PPR, DN 63 MM, CLASSE PN 25, INSTALADO EM RESERVAÇÃO DE ÁGUA DE EDIFICAÇÃO QUE POSSUA RESERVATÓRIO DE FIBRA/FIBROCIMENTO  FORNECIMENTO E INSTALAÇÃO. AF_06/2016</v>
          </cell>
          <cell r="C4168" t="str">
            <v>UN</v>
          </cell>
          <cell r="D4168">
            <v>18.87</v>
          </cell>
        </row>
        <row r="4169">
          <cell r="A4169">
            <v>96744</v>
          </cell>
          <cell r="B4169" t="str">
            <v>LUVA, PPR, DN 75 MM, CLASSE PN 25, INSTALADO EM RESERVAÇÃO DE ÁGUA DE EDIFICAÇÃO QUE POSSUA RESERVATÓRIO DE FIBRA/FIBROCIMENTO  FORNECIMENTO E INSTALAÇÃO. AF_06/2016</v>
          </cell>
          <cell r="C4169" t="str">
            <v>UN</v>
          </cell>
          <cell r="D4169">
            <v>40.200000000000003</v>
          </cell>
        </row>
        <row r="4170">
          <cell r="A4170">
            <v>96745</v>
          </cell>
          <cell r="B4170" t="str">
            <v>LUVA, PPR, DN 90 MM, CLASSE PN 25, INSTALADO EM RESERVAÇÃO DE ÁGUA DE EDIFICAÇÃO QUE POSSUA RESERVATÓRIO DE FIBRA/FIBROCIMENTO  FORNECIMENTO E INSTALAÇÃO. AF_06/2016</v>
          </cell>
          <cell r="C4170" t="str">
            <v>UN</v>
          </cell>
          <cell r="D4170">
            <v>58.88</v>
          </cell>
        </row>
        <row r="4171">
          <cell r="A4171">
            <v>96746</v>
          </cell>
          <cell r="B4171" t="str">
            <v>LUVA, PPR, DN 110 MM, CLASSE PN 25, INSTALADO EM RESERVAÇÃO DE ÁGUA DE EDIFICAÇÃO QUE POSSUA RESERVATÓRIO DE FIBRA/FIBROCIMENTO  FORNECIMENTO E INSTALAÇÃO. AF_06/2016</v>
          </cell>
          <cell r="C4171" t="str">
            <v>UN</v>
          </cell>
          <cell r="D4171">
            <v>93.88</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v>5.89</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v>6.63</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v>9.01</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v>11.9</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v>21.43</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v>27.75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v>62.39</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v>87.42</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v>132.13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v>10.65</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v>10.27</v>
          </cell>
        </row>
        <row r="4183">
          <cell r="A4183">
            <v>96758</v>
          </cell>
          <cell r="B4183" t="str">
            <v>TÊ, PPR, DN 32 MM, CLASSE PN 25,  INSTALADO EM RESERVAÇÃO DE ÁGUA DE EDIFICAÇÃO QUE POSSUA RESERVATÓRIO DE FIBRA/FIBROCIMENTO  FORNECIMENTO E INSTALAÇÃO. AF_06/2016</v>
          </cell>
          <cell r="C4183" t="str">
            <v>UN</v>
          </cell>
          <cell r="D4183">
            <v>12.12</v>
          </cell>
        </row>
        <row r="4184">
          <cell r="A4184">
            <v>96759</v>
          </cell>
          <cell r="B4184" t="str">
            <v>TÊ, PPR, DN 40 MM, CLASSE PN 25,  INSTALADO EM RESERVAÇÃO DE ÁGUA DE EDIFICAÇÃO QUE POSSUA RESERVATÓRIO DE FIBRA/FIBROCIMENTO  FORNECIMENTO E INSTALAÇÃO. AF_06/2016</v>
          </cell>
          <cell r="C4184" t="str">
            <v>UN</v>
          </cell>
          <cell r="D4184">
            <v>17.600000000000001</v>
          </cell>
        </row>
        <row r="4185">
          <cell r="A4185">
            <v>96760</v>
          </cell>
          <cell r="B4185" t="str">
            <v>TÊ, PPR, DN 50 MM, CLASSE PN 25,  INSTALADO EM RESERVAÇÃO DE ÁGUA DE EDIFICAÇÃO QUE POSSUA RESERVATÓRIO DE FIBRA/FIBROCIMENTO  FORNECIMENTO E INSTALAÇÃO. AF_06/2016</v>
          </cell>
          <cell r="C4185" t="str">
            <v>UN</v>
          </cell>
          <cell r="D4185">
            <v>25.01</v>
          </cell>
        </row>
        <row r="4186">
          <cell r="A4186">
            <v>96761</v>
          </cell>
          <cell r="B4186" t="str">
            <v>TÊ, PPR, DN 63 MM, CLASSE PN 25,  INSTALADO EM RESERVAÇÃO DE ÁGUA DE EDIFICAÇÃO QUE POSSUA RESERVATÓRIO DE FIBRA/FIBROCIMENTO  FORNECIMENTO E INSTALAÇÃO. AF_06/2016</v>
          </cell>
          <cell r="C4186" t="str">
            <v>UN</v>
          </cell>
          <cell r="D4186">
            <v>35.1</v>
          </cell>
        </row>
        <row r="4187">
          <cell r="A4187">
            <v>96762</v>
          </cell>
          <cell r="B4187" t="str">
            <v>TÊ, PPR, DN 75 MM, CLASSE PN 25,  INSTALADO EM RESERVAÇÃO DE ÁGUA DE EDIFICAÇÃO QUE POSSUA RESERVATÓRIO DE FIBRA/FIBROCIMENTO  FORNECIMENTO E INSTALAÇÃO. AF_06/2016</v>
          </cell>
          <cell r="C4187" t="str">
            <v>UN</v>
          </cell>
          <cell r="D4187">
            <v>68.16</v>
          </cell>
        </row>
        <row r="4188">
          <cell r="A4188">
            <v>96763</v>
          </cell>
          <cell r="B4188" t="str">
            <v>TÊ, PPR, DN 90 MM, CLASSE PN 25,  INSTALADO EM RESERVAÇÃO DE ÁGUA DE EDIFICAÇÃO QUE POSSUA RESERVATÓRIO DE FIBRA/FIBROCIMENTO  FORNECIMENTO E INSTALAÇÃO. AF_06/2016</v>
          </cell>
          <cell r="C4188" t="str">
            <v>UN</v>
          </cell>
          <cell r="D4188">
            <v>93.72</v>
          </cell>
        </row>
        <row r="4189">
          <cell r="A4189">
            <v>96764</v>
          </cell>
          <cell r="B4189" t="str">
            <v>TÊ, PPR, DN 110 MM, CLASSE PN 25,  INSTALADO EM RESERVAÇÃO DE ÁGUA DE EDIFICAÇÃO QUE POSSUA RESERVATÓRIO DE FIBRA/FIBROCIMENTO  FORNECIMENTO E INSTALAÇÃO. AF_06/2016</v>
          </cell>
          <cell r="C4189" t="str">
            <v>UN</v>
          </cell>
          <cell r="D4189">
            <v>149.38999999999999</v>
          </cell>
        </row>
        <row r="4190">
          <cell r="A4190">
            <v>96802</v>
          </cell>
          <cell r="B4190" t="str">
            <v>KIT CHASSI PEX, PRÉ-FABRICADO, PARA CHUVEIRO COM REGISTROS DE PRESSÃO E CONEXÕES POR CRIMPAGEM  FORNECIMENTO E INSTALAÇÃO. AF_06/2015</v>
          </cell>
          <cell r="C4190" t="str">
            <v>UN</v>
          </cell>
          <cell r="D4190">
            <v>213.56</v>
          </cell>
        </row>
        <row r="4191">
          <cell r="A4191">
            <v>96803</v>
          </cell>
          <cell r="B4191" t="str">
            <v>KIT CHASSI PEX, PRÉ-FABRICADO, PARA COZINHA COM CUBA SIMPLES E CONEXÕES POR CRIMPAGEM  FORNECIMENTO E INSTALAÇÃO. AF_06/2015</v>
          </cell>
          <cell r="C4191" t="str">
            <v>UN</v>
          </cell>
          <cell r="D4191">
            <v>109.6</v>
          </cell>
        </row>
        <row r="4192">
          <cell r="A4192">
            <v>96804</v>
          </cell>
          <cell r="B4192" t="str">
            <v>KIT CHASSI PEX, PRÉ-FABRICADO, PARA ÁREA DE SERVIÇO COM TANQUE E MÁQUINA DE LAVAR ROUPA, E CONEXÕES POR CRIMPAGEM  FORNECIMENTO E INSTALAÇÃO. AF_06/2015</v>
          </cell>
          <cell r="C4192" t="str">
            <v>UN</v>
          </cell>
          <cell r="D4192">
            <v>196.01</v>
          </cell>
        </row>
        <row r="4193">
          <cell r="A4193">
            <v>96805</v>
          </cell>
          <cell r="B4193" t="str">
            <v>KIT CHASSI PEX, PRÉ-FABRICADO, PARA CHUVEIRO COM REGISTROS DE PRESSÃO E CONEXÕES POR ANEL DESLIZANTE  FORNECIMENTO E INSTALAÇÃO. AF_06/2015</v>
          </cell>
          <cell r="C4193" t="str">
            <v>UN</v>
          </cell>
          <cell r="D4193">
            <v>220.4</v>
          </cell>
        </row>
        <row r="4194">
          <cell r="A4194">
            <v>96806</v>
          </cell>
          <cell r="B4194" t="str">
            <v>KIT CHASSI PEX, PRÉ-FABRICADO, PARA COZINHA COM CUBA SIMPLES E CONEXÕES POR ANEL DESLIZANTE  FORNECIMENTO E INSTALAÇÃO. AF_06/2015</v>
          </cell>
          <cell r="C4194" t="str">
            <v>UN</v>
          </cell>
          <cell r="D4194">
            <v>106.83</v>
          </cell>
        </row>
        <row r="4195">
          <cell r="A4195">
            <v>96807</v>
          </cell>
          <cell r="B4195" t="str">
            <v>KIT CHASSI PEX, PRÉ-FABRICADO, PARA ÁREA DE SERVIÇO COM TANQUE E MÁQUINA DE LAVAR ROUPA, E CONEXÕES POR ANEL DESLIZANTE  FORNECIMENTO E INSTALAÇÃO. AF_06/2015</v>
          </cell>
          <cell r="C4195" t="str">
            <v>UN</v>
          </cell>
          <cell r="D4195">
            <v>178.03</v>
          </cell>
        </row>
        <row r="4196">
          <cell r="A4196">
            <v>96808</v>
          </cell>
          <cell r="B4196" t="str">
            <v>UNIÃO METÁLICA PARA INSTALAÇÕES EM PEX, DN 16 MM, FIXAÇÃO DAS CONEXÕES POR ANEL DESLIZANTE  FORNECIMENTO E INSTALAÇÃO . AF_06/2015</v>
          </cell>
          <cell r="C4196" t="str">
            <v>UN</v>
          </cell>
          <cell r="D4196">
            <v>9.98</v>
          </cell>
        </row>
        <row r="4197">
          <cell r="A4197">
            <v>96809</v>
          </cell>
          <cell r="B4197" t="str">
            <v>CONEXÃO FIXA, ROSCA FÊMEA, METÁLICA, PARA INSTALAÇÕES EM PEX, DN 16 MM X 1/2", COM ANEL DESLIZANTE. FORNECIMENTO E INSTALAÇÃO. AF_06/2015</v>
          </cell>
          <cell r="C4197" t="str">
            <v>UN</v>
          </cell>
          <cell r="D4197">
            <v>11.43</v>
          </cell>
        </row>
        <row r="4198">
          <cell r="A4198">
            <v>96810</v>
          </cell>
          <cell r="B4198" t="str">
            <v>CONEXÃO MÓVEL, ROSCA FÊMEA, METÁLICA, PARA INSTALAÇÕES EM PEX, DN 16 MM X 3/4", COM ANEL DESLIZANTE. FORNECIMENTO E INSTALAÇÃO. AF_06/2015</v>
          </cell>
          <cell r="C4198" t="str">
            <v>UN</v>
          </cell>
          <cell r="D4198">
            <v>12.4</v>
          </cell>
        </row>
        <row r="4199">
          <cell r="A4199">
            <v>96811</v>
          </cell>
          <cell r="B4199" t="str">
            <v>UNIÃO METÁLICA PARA INSTALAÇÕES EM PEX, DN 20 MM, FIXAÇÃO DAS CONEXÕES POR ANEL DESLIZANTE  FORNECIMENTO E INSTALAÇÃO . AF_06/2015</v>
          </cell>
          <cell r="C4199" t="str">
            <v>UN</v>
          </cell>
          <cell r="D4199">
            <v>13.35</v>
          </cell>
        </row>
        <row r="4200">
          <cell r="A4200">
            <v>96812</v>
          </cell>
          <cell r="B4200" t="str">
            <v>CONEXÃO FIXA, ROSCA FÊMEA, METÁLICA, PARA INSTALAÇÕES EM PEX, DN 20 MM X 1/2", COM ANEL DESLIZANTE. FORNECIMENTO E INSTALAÇÃO. AF_06/2015</v>
          </cell>
          <cell r="C4200" t="str">
            <v>UN</v>
          </cell>
          <cell r="D4200">
            <v>12.83</v>
          </cell>
        </row>
        <row r="4201">
          <cell r="A4201">
            <v>96813</v>
          </cell>
          <cell r="B4201" t="str">
            <v>CONEXÃO FIXA, ROSCA FÊMEA, METÁLICA, PARA INSTALAÇÕES EM PEX, DN 20 MM X 3/4", COM ANEL DESLIZANTE. FORNECIMENTO E INSTALAÇÃO. AF_06/2015</v>
          </cell>
          <cell r="C4201" t="str">
            <v>UN</v>
          </cell>
          <cell r="D4201">
            <v>14.77</v>
          </cell>
        </row>
        <row r="4202">
          <cell r="A4202">
            <v>96814</v>
          </cell>
          <cell r="B4202" t="str">
            <v>UNIÃO DE REDUÇÃO, METÁLICA, PARA INSTALAÇÕES EM PEX, DN 20 X 16 MM, CONEXÃO POR ANEL DESLIZANTE  FORNECIMENTO E INSTALAÇÃO. AF_06/2015</v>
          </cell>
          <cell r="C4202" t="str">
            <v>UN</v>
          </cell>
          <cell r="D4202">
            <v>12.5</v>
          </cell>
        </row>
        <row r="4203">
          <cell r="A4203">
            <v>96815</v>
          </cell>
          <cell r="B4203" t="str">
            <v>UNIÃO METÁLICA PARA INSTALAÇÕES EM PEX, DN 25 MM, FIXAÇÃO DAS CONEXÕES POR ANEL DESLIZANTE   FORNECIMENTO E INSTALAÇÃO. AF_06/2015</v>
          </cell>
          <cell r="C4203" t="str">
            <v>UN</v>
          </cell>
          <cell r="D4203">
            <v>21.02</v>
          </cell>
        </row>
        <row r="4204">
          <cell r="A4204">
            <v>96816</v>
          </cell>
          <cell r="B4204" t="str">
            <v>CONEXÃO FIXA, ROSCA FÊMEA, METÁLICA, PARA INSTALAÇÕES EM PEX, DN 25 MM X 3/4", COM ANEL DESLIZANTE. FORNECIMENTO E INSTALAÇÃO. AF_06/2015</v>
          </cell>
          <cell r="C4204" t="str">
            <v>UN</v>
          </cell>
          <cell r="D4204">
            <v>17.329999999999998</v>
          </cell>
        </row>
        <row r="4205">
          <cell r="A4205">
            <v>96817</v>
          </cell>
          <cell r="B4205" t="str">
            <v>CONEXÃO FIXA, ROSCA FÊMEA, METÁLICA, PARA INSTALAÇÕES EM PEX, DN 25 MM X 1", COM ANEL DESLIZANTE. FORNECIMENTO E INSTALAÇÃO. AF_06/2015</v>
          </cell>
          <cell r="C4205" t="str">
            <v>UN</v>
          </cell>
          <cell r="D4205">
            <v>19.68</v>
          </cell>
        </row>
        <row r="4206">
          <cell r="A4206">
            <v>96818</v>
          </cell>
          <cell r="B4206" t="str">
            <v>UNIÃO DE REDUÇÃO, METÁLICA, PEX, DN 25 X 16 MM, CONEXÃO POR ANEL DESLIZANTE  FORNECIMENTO E INSTALAÇÃO. AF_06/2015</v>
          </cell>
          <cell r="C4206" t="str">
            <v>UN</v>
          </cell>
          <cell r="D4206">
            <v>18.34</v>
          </cell>
        </row>
        <row r="4207">
          <cell r="A4207">
            <v>96819</v>
          </cell>
          <cell r="B4207" t="str">
            <v>UNIÃO DE REDUÇÃO, METÁLICA, PEX, DN 25 X 20 MM, CONEXÃO POR ANEL DESLIZANTE  FORNECIMENTO E INSTALAÇÃO. AF_06/2015</v>
          </cell>
          <cell r="C4207" t="str">
            <v>UN</v>
          </cell>
          <cell r="D4207">
            <v>18.34</v>
          </cell>
        </row>
        <row r="4208">
          <cell r="A4208">
            <v>96820</v>
          </cell>
          <cell r="B4208" t="str">
            <v>UNIÃO METÁLICA PARA INSTALAÇÕES EM PEX, DN 32 MM, FIXAÇÃO DAS CONEXÕES POR ANEL DESLIZANTE   FORNECIMENTO E INSTALAÇÃO. AF_06/2015</v>
          </cell>
          <cell r="C4208" t="str">
            <v>UN</v>
          </cell>
          <cell r="D4208">
            <v>33.26</v>
          </cell>
        </row>
        <row r="4209">
          <cell r="A4209">
            <v>96821</v>
          </cell>
          <cell r="B4209" t="str">
            <v>CONEXÃO FIXA, ROSCA FÊMEA, METÁLICA, PARA INSTALAÇÕES EM PEX, DN 32 MM X 1", COM ANEL DESLIZANTE  FORNECIMENTO E INSTALAÇÃO. AF_06/2015</v>
          </cell>
          <cell r="C4209" t="str">
            <v>UN</v>
          </cell>
          <cell r="D4209">
            <v>28.36</v>
          </cell>
        </row>
        <row r="4210">
          <cell r="A4210">
            <v>96822</v>
          </cell>
          <cell r="B4210" t="str">
            <v>UNIÃO DE REDUÇÃO, METÁLICA, PEX, DN 32 X 25 MM, CONEXÃO POR ANEL DESLIZANTE  FORNECIMENTO E INSTALAÇÃO. AF_06/2015</v>
          </cell>
          <cell r="C4210" t="str">
            <v>UN</v>
          </cell>
          <cell r="D4210">
            <v>28.74</v>
          </cell>
        </row>
        <row r="4211">
          <cell r="A4211">
            <v>96823</v>
          </cell>
          <cell r="B4211" t="str">
            <v>LUVA PARA INSTALAÇÕES EM PEX, DN 16 MM, CONEXÃO POR CRIMPAGEM  FORNECIMENTO E INSTALAÇÃO . AF_06/2015</v>
          </cell>
          <cell r="C4211" t="str">
            <v>UN</v>
          </cell>
          <cell r="D4211">
            <v>11.85</v>
          </cell>
        </row>
        <row r="4212">
          <cell r="A4212">
            <v>96824</v>
          </cell>
          <cell r="B4212" t="str">
            <v>CONEXÃO FIXA, ROSCA FÊMEA, PARA INSTALAÇÕES EM PEX, DN 16MM X 1/2", CONEXÃO POR CRIMPAGEM  FORNECIMENTO E INSTALAÇÃO. AF_06/2015</v>
          </cell>
          <cell r="C4212" t="str">
            <v>UN</v>
          </cell>
          <cell r="D4212">
            <v>13.36</v>
          </cell>
        </row>
        <row r="4213">
          <cell r="A4213">
            <v>96825</v>
          </cell>
          <cell r="B4213" t="str">
            <v>CONEXÃO FIXA, ROSCA FÊMEA, PARA INSTALAÇÕES EM PEX, DN 16MM X 3/4", CONEXÃO POR CRIMPAGEM  FORNECIMENTO E INSTALAÇÃO. AF_06/2015</v>
          </cell>
          <cell r="C4213" t="str">
            <v>UN</v>
          </cell>
          <cell r="D4213">
            <v>18.07</v>
          </cell>
        </row>
        <row r="4214">
          <cell r="A4214">
            <v>96826</v>
          </cell>
          <cell r="B4214" t="str">
            <v>LUVA PARA INSTALAÇÕES EM PEX, DN 20 MM, CONEXÃO POR CRIMPAGEM   FORNECIMENTO E INSTALAÇÃO. AF_06/2015</v>
          </cell>
          <cell r="C4214" t="str">
            <v>UN</v>
          </cell>
          <cell r="D4214">
            <v>16.43</v>
          </cell>
        </row>
        <row r="4215">
          <cell r="A4215">
            <v>96827</v>
          </cell>
          <cell r="B4215" t="str">
            <v>CONEXÃO FIXA, ROSCA FÊMEA, PARA INSTALAÇÕES EM PEX, DN 20MM X 1/2", CONEXÃO POR CRIMPAGEM  FORNECIMENTO E INSTALAÇÃO. AF_06/2015</v>
          </cell>
          <cell r="C4215" t="str">
            <v>UN</v>
          </cell>
          <cell r="D4215">
            <v>17.04</v>
          </cell>
        </row>
        <row r="4216">
          <cell r="A4216">
            <v>96828</v>
          </cell>
          <cell r="B4216" t="str">
            <v>CONEXÃO FIXA, ROSCA FÊMEA, PARA INSTALAÇÕES EM PEX, DN 20MM X 3/4", CONEXÃO POR CRIMPAGEM  FORNECIMENTO E INSTALAÇÃO. AF_06/2015</v>
          </cell>
          <cell r="C4216" t="str">
            <v>UN</v>
          </cell>
          <cell r="D4216">
            <v>21.35</v>
          </cell>
        </row>
        <row r="4217">
          <cell r="A4217">
            <v>96829</v>
          </cell>
          <cell r="B4217" t="str">
            <v>LUVA DE REDUÇÃO PARA INSTALAÇÕES EM PEX, DN 20 X 16 MM, CONEXÃO POR CRIMPAGEM  FORNECIMENTO E INSTALAÇÃO. AF_06/2015</v>
          </cell>
          <cell r="C4217" t="str">
            <v>UN</v>
          </cell>
          <cell r="D4217">
            <v>16.399999999999999</v>
          </cell>
        </row>
        <row r="4218">
          <cell r="A4218">
            <v>96830</v>
          </cell>
          <cell r="B4218" t="str">
            <v>LUVA PARA INSTALAÇÕES EM PEX, DN 25 MM, CONEXÃO POR CRIMPAGEM   FORNECIMENTO E INSTALAÇÃO. AF_06/2015</v>
          </cell>
          <cell r="C4218" t="str">
            <v>UN</v>
          </cell>
          <cell r="D4218">
            <v>23.8</v>
          </cell>
        </row>
        <row r="4219">
          <cell r="A4219">
            <v>96831</v>
          </cell>
          <cell r="B4219" t="str">
            <v>CONEXÃO FIXA, ROSCA FÊMEA, PARA INSTALAÇÕES EM PEX, DN 25MM X 1/2", CONEXÃO POR CRIMPAGEM  FORNECIMENTO E INSTALAÇÃO. AF_06/2015</v>
          </cell>
          <cell r="C4219" t="str">
            <v>UN</v>
          </cell>
          <cell r="D4219">
            <v>19.440000000000001</v>
          </cell>
        </row>
        <row r="4220">
          <cell r="A4220">
            <v>96832</v>
          </cell>
          <cell r="B4220" t="str">
            <v>CONEXÃO FIXA, ROSCA FÊMEA, PARA INSTALAÇÕES EM PEX, DN 25MM X 3/4", CONEXÃO POR CRIMPAGEM  FORNECIMENTO E INSTALAÇÃO. AF_06/2015</v>
          </cell>
          <cell r="C4220" t="str">
            <v>UN</v>
          </cell>
          <cell r="D4220">
            <v>22.44</v>
          </cell>
        </row>
        <row r="4221">
          <cell r="A4221">
            <v>96833</v>
          </cell>
          <cell r="B4221" t="str">
            <v>LUVA DE REDUÇÃO PARA INSTALAÇÕES EM PEX, DN 25 X 16 MM, CONEXÃO POR CRIMPAGEM  FORNECIMENTO E INSTALAÇÃO. AF_06/2015</v>
          </cell>
          <cell r="C4221" t="str">
            <v>UN</v>
          </cell>
          <cell r="D4221">
            <v>21.03</v>
          </cell>
        </row>
        <row r="4222">
          <cell r="A4222">
            <v>96834</v>
          </cell>
          <cell r="B4222" t="str">
            <v>LUVA PARA INSTALAÇÕES EM PEX, DN 32 MM, CONEXÃO POR CRIMPAGEM  FORNECIMENTO E INSTALAÇÃO . AF_06/2015</v>
          </cell>
          <cell r="C4222" t="str">
            <v>UN</v>
          </cell>
          <cell r="D4222">
            <v>34.659999999999997</v>
          </cell>
        </row>
        <row r="4223">
          <cell r="A4223">
            <v>96835</v>
          </cell>
          <cell r="B4223" t="str">
            <v>CONEXÃO FIXA, ROSCA FÊMEA, PARA INSTALAÇÕES EM PEX, DN 32 MM X 3/4", CONEXÃO POR CRIMPAGEM  FORNECIMENTO E INSTALAÇÃO. AF_06/2015</v>
          </cell>
          <cell r="C4223" t="str">
            <v>UN</v>
          </cell>
          <cell r="D4223">
            <v>29.99</v>
          </cell>
        </row>
        <row r="4224">
          <cell r="A4224">
            <v>96836</v>
          </cell>
          <cell r="B4224" t="str">
            <v>LUVA DE REDUÇÃO PARA INSTALAÇÕES EM PEX, DN 32 X 25 MM, CONEXÃO POR CRIMPAGEM  FORNECIMENTO E INSTALAÇÃO. AF_06/2015</v>
          </cell>
          <cell r="C4224" t="str">
            <v>UN</v>
          </cell>
          <cell r="D4224">
            <v>31.93</v>
          </cell>
        </row>
        <row r="4225">
          <cell r="A4225">
            <v>96837</v>
          </cell>
          <cell r="B4225" t="str">
            <v>JOELHO 90 GRAUS, METÁLICO, PARA INSTALAÇÕES EM PEX, DN 16 MM, CONEXÃO POR ANEL DESLIZANTE   FORNECIMENTO E INSTALAÇÃO. AF_06/2015</v>
          </cell>
          <cell r="C4225" t="str">
            <v>UN</v>
          </cell>
          <cell r="D4225">
            <v>17.420000000000002</v>
          </cell>
        </row>
        <row r="4226">
          <cell r="A4226">
            <v>96838</v>
          </cell>
          <cell r="B4226" t="str">
            <v>JOELHO 90 GRAUS, ROSCA FÊMEA TERMINAL, METÁLICO, PARA INSTALAÇÕES EM PEX, DN 16MM X 1/2", CONEXÃO POR ANEL DESLIZANTE  FORNECIMENTO E INSTALAÇÃO. AF_06/2015</v>
          </cell>
          <cell r="C4226" t="str">
            <v>UN</v>
          </cell>
          <cell r="D4226">
            <v>16.03</v>
          </cell>
        </row>
        <row r="4227">
          <cell r="A4227">
            <v>96839</v>
          </cell>
          <cell r="B4227" t="str">
            <v>JOELHO, ROSCA FÊMEA, COM BASE FIXA, METÁLICO, PARA INSTALAÇÕES EM PEX, DN 16MM X 1/2", CONEXÃO POR ANEL DESLIZANTE  FORNECIMENTO E INSTALAÇÃO. AF_06/2015</v>
          </cell>
          <cell r="C4227" t="str">
            <v>UN</v>
          </cell>
          <cell r="D4227">
            <v>15.78</v>
          </cell>
        </row>
        <row r="4228">
          <cell r="A4228">
            <v>96840</v>
          </cell>
          <cell r="B4228" t="str">
            <v>JOELHO 90 GRAUS, METÁLICO, PARA INSTALAÇÕES EM PEX, DN 20 MM, CONEXÃO POR ANEL DESLIZANTE  FORNECIMENTO E INSTALAÇÃO . AF_06/2015</v>
          </cell>
          <cell r="C4228" t="str">
            <v>UN</v>
          </cell>
          <cell r="D4228">
            <v>20.36</v>
          </cell>
        </row>
        <row r="4229">
          <cell r="A4229">
            <v>96841</v>
          </cell>
          <cell r="B4229" t="str">
            <v>JOELHO 90 GRAUS, ROSCA FÊMEA TERMINAL, METÁLICO, PARA INSTALAÇÕES EM PEX, DN 20 MM X 1/2", CONEXÃO POR ANEL DESLIZANTE  FORNECIMENTO E INSTALAÇÃO. AF_06/2015</v>
          </cell>
          <cell r="C4229" t="str">
            <v>UN</v>
          </cell>
          <cell r="D4229">
            <v>17.850000000000001</v>
          </cell>
        </row>
        <row r="4230">
          <cell r="A4230">
            <v>96842</v>
          </cell>
          <cell r="B4230" t="str">
            <v>JOELHO 90 GRAUS, ROSCA FÊMEA TERMINAL, METÁLICO, PARA INSTALAÇÕES EM PEX, DN 20 MM X 3/4", CONEXÃO POR ANEL DESLIZANTE  FORNECIMENTO E INSTALAÇÃO. AF_06/2015</v>
          </cell>
          <cell r="C4230" t="str">
            <v>UN</v>
          </cell>
          <cell r="D4230">
            <v>22.66</v>
          </cell>
        </row>
        <row r="4231">
          <cell r="A4231">
            <v>96843</v>
          </cell>
          <cell r="B4231" t="str">
            <v>JOELHO ROSCA FÊMEA, COM BASE FIXA, METÁLICO, PARA INSTALAÇÕES EM PEX, DN 20MM X 1/2", CONEXÃO POR ANEL DESLIZANTE  FORNECIMENTO E INSTALAÇÃO. AF_06/2015</v>
          </cell>
          <cell r="C4231" t="str">
            <v>UN</v>
          </cell>
          <cell r="D4231">
            <v>21.8</v>
          </cell>
        </row>
        <row r="4232">
          <cell r="A4232">
            <v>96844</v>
          </cell>
          <cell r="B4232" t="str">
            <v>JOELHO ROSCA FÊMEA, MÓVEL, METÁLICO, PARA INSTALAÇÕES EM PEX, DN 20MM X 3/4", CONEXÃO POR ANEL DESLIZANTE  FORNECIMENTO E INSTALAÇÃO. AF_06/2015</v>
          </cell>
          <cell r="C4232" t="str">
            <v>UN</v>
          </cell>
          <cell r="D4232">
            <v>29.63</v>
          </cell>
        </row>
        <row r="4233">
          <cell r="A4233">
            <v>96845</v>
          </cell>
          <cell r="B4233" t="str">
            <v>JOELHO 90 GRAUS, METÁLICO, PARA INSTALAÇÕES EM PEX, DN 25 MM, CONEXÃO POR ANEL DESLIZANTE   FORNECIMENTO E INSTALAÇÃO. AF_06/2015</v>
          </cell>
          <cell r="C4233" t="str">
            <v>UN</v>
          </cell>
          <cell r="D4233">
            <v>31.76</v>
          </cell>
        </row>
        <row r="4234">
          <cell r="A4234">
            <v>96846</v>
          </cell>
          <cell r="B4234" t="str">
            <v>JOELHO 90 GRAUS, ROSCA FÊMEA TERMINAL, METÁLICO, PARA INSTALAÇÕES EM PEX, DN 25 MM X 3/4", CONEXÃO POR ANEL DESLIZANTE  FORNECIMENTO E INSTALAÇÃO. AF_06/2015</v>
          </cell>
          <cell r="C4234" t="str">
            <v>UN</v>
          </cell>
          <cell r="D4234">
            <v>25.07</v>
          </cell>
        </row>
        <row r="4235">
          <cell r="A4235">
            <v>96847</v>
          </cell>
          <cell r="B4235" t="str">
            <v>JOELHO ROSCA FÊMEA, COM BASE FIXA, METÁLICO, PARA INSTALAÇÕES EM PEX, DN 25MM X 3/4", CONEXÃO POR ANEL DESLIZANTE  FORNECIMENTO E INSTALAÇÃO. AF_06/2015</v>
          </cell>
          <cell r="C4235" t="str">
            <v>UN</v>
          </cell>
          <cell r="D4235">
            <v>27.52</v>
          </cell>
        </row>
        <row r="4236">
          <cell r="A4236">
            <v>96848</v>
          </cell>
          <cell r="B4236" t="str">
            <v>JOELHO 90 GRAUS, METÁLICO, PARA INSTALAÇÕES EM PEX, DN 32 MM, CONEXÃO POR ANEL DESLIZANTE  FORNECIMENTO E INSTALAÇÃO . AF_06/2015</v>
          </cell>
          <cell r="C4236" t="str">
            <v>UN</v>
          </cell>
          <cell r="D4236">
            <v>41.16</v>
          </cell>
        </row>
        <row r="4237">
          <cell r="A4237">
            <v>96849</v>
          </cell>
          <cell r="B4237" t="str">
            <v>JOELHO 90 GRAUS, PARA INSTALAÇÕES EM PEX, DN 16 MM, CONEXÃO POR CRIMPAGEM   FORNECIMENTO E INSTALAÇÃO. AF_06/2015</v>
          </cell>
          <cell r="C4237" t="str">
            <v>UN</v>
          </cell>
          <cell r="D4237">
            <v>14.97</v>
          </cell>
        </row>
        <row r="4238">
          <cell r="A4238">
            <v>96850</v>
          </cell>
          <cell r="B4238" t="str">
            <v>JOELHO 90 GRAUS, ROSCA FÊMEA TERMINAL, PARA INSTALAÇÕES EM PEX, DN 16MM X 1/2", CONEXÃO POR CRIMPAGEM  FORNECIMENTO E INSTALAÇÃO. AF_06/2015</v>
          </cell>
          <cell r="C4238" t="str">
            <v>UN</v>
          </cell>
          <cell r="D4238">
            <v>17.48</v>
          </cell>
        </row>
        <row r="4239">
          <cell r="A4239">
            <v>96851</v>
          </cell>
          <cell r="B4239" t="str">
            <v>JOELHO 90 GRAUS, ROSCA FÊMEA TERMINAL, PARA INSTALAÇÕES EM PEX, DN 16MM X 3/4", CONEXÃO POR CRIMPAGEM  FORNECIMENTO E INSTALAÇÃO. AF_06/2015</v>
          </cell>
          <cell r="C4239" t="str">
            <v>UN</v>
          </cell>
          <cell r="D4239">
            <v>23.08</v>
          </cell>
        </row>
        <row r="4240">
          <cell r="A4240">
            <v>96852</v>
          </cell>
          <cell r="B4240" t="str">
            <v>JOELHO 90 GRAUS, PARA INSTALAÇÕES EM PEX, DN 20 MM, CONEXÃO POR CRIMPAGEM   FORNECIMENTO E INSTALAÇÃO. AF_06/2015</v>
          </cell>
          <cell r="C4240" t="str">
            <v>UN</v>
          </cell>
          <cell r="D4240">
            <v>19.89</v>
          </cell>
        </row>
        <row r="4241">
          <cell r="A4241">
            <v>96853</v>
          </cell>
          <cell r="B4241" t="str">
            <v>JOELHO 90 GRAUS, ROSCA FÊMEA TERMINAL, PARA INSTALAÇÕES EM PEX, DN 20MM X 1/2", CONEXÃO POR CRIMPAGEM  FORNECIMENTO E INSTALAÇÃO. AF_06/2015</v>
          </cell>
          <cell r="C4241" t="str">
            <v>UN</v>
          </cell>
          <cell r="D4241">
            <v>22.34</v>
          </cell>
        </row>
        <row r="4242">
          <cell r="A4242">
            <v>96854</v>
          </cell>
          <cell r="B4242" t="str">
            <v>JOELHO 90 GRAUS, ROSCA FÊMEA TERMINAL, PARA INSTALAÇÕES EM PEX, DN 20MM X 3/4", CONEXÃO POR CRIMPAGEM  FORNECIMENTO E INSTALAÇÃO. AF_06/2015</v>
          </cell>
          <cell r="C4242" t="str">
            <v>UN</v>
          </cell>
          <cell r="D4242">
            <v>26.67</v>
          </cell>
        </row>
        <row r="4243">
          <cell r="A4243">
            <v>96855</v>
          </cell>
          <cell r="B4243" t="str">
            <v>JOELHO 90 GRAUS, PARA INSTALAÇÕES EM PEX, DN 25 MM, CONEXÃO POR CRIMPAGEM   FORNECIMENTO E INSTALAÇÃO. AF_06/2015</v>
          </cell>
          <cell r="C4243" t="str">
            <v>UN</v>
          </cell>
          <cell r="D4243">
            <v>24.69</v>
          </cell>
        </row>
        <row r="4244">
          <cell r="A4244">
            <v>96856</v>
          </cell>
          <cell r="B4244" t="str">
            <v>JOELHO 90 GRAUS, ROSCA FÊMEA TERMINAL, PARA INSTALAÇÕES EM PEX, DN 25MM X 1/2", CONEXÃO POR CRIMPAGEM  FORNECIMENTO E INSTALAÇÃO. AF_06/2015</v>
          </cell>
          <cell r="C4244" t="str">
            <v>UN</v>
          </cell>
          <cell r="D4244">
            <v>25.05</v>
          </cell>
        </row>
        <row r="4245">
          <cell r="A4245">
            <v>96857</v>
          </cell>
          <cell r="B4245" t="str">
            <v>JOELHO 90 GRAUS, ROSCA FÊMEA TERMINAL, PARA INSTALAÇÕES EM PEX, DN 25MM X 1, CONEXÃO POR CRIMPAGEM  FORNECIMENTO E INSTALAÇÃO. AF_06/2015</v>
          </cell>
          <cell r="C4245" t="str">
            <v>UN</v>
          </cell>
          <cell r="D4245">
            <v>39.71</v>
          </cell>
        </row>
        <row r="4246">
          <cell r="A4246">
            <v>96858</v>
          </cell>
          <cell r="B4246" t="str">
            <v>JOELHO 90 GRAUS, PARA INSTALAÇÕES EM PEX, DN 32 MM, CONEXÃO POR CRIMPAGEM   FORNECIMENTO E INSTALAÇÃO. AF_06/2015</v>
          </cell>
          <cell r="C4246" t="str">
            <v>UN</v>
          </cell>
          <cell r="D4246">
            <v>40.22</v>
          </cell>
        </row>
        <row r="4247">
          <cell r="A4247">
            <v>96859</v>
          </cell>
          <cell r="B4247" t="str">
            <v>JOELHO 90 GRAUS, ROSCA FÊMEA TERMINAL, PARA INSTALAÇÕES EM PEX, DN 32 MM X 1", CONEXÃO POR CRIMPAGEM  FORNECIMENTO E INSTALAÇÃO. AF_06/2015</v>
          </cell>
          <cell r="C4247" t="str">
            <v>UN</v>
          </cell>
          <cell r="D4247">
            <v>49.75</v>
          </cell>
        </row>
        <row r="4248">
          <cell r="A4248">
            <v>96860</v>
          </cell>
          <cell r="B4248" t="str">
            <v>TÊ, METÁLICO, PARA INSTALAÇÕES EM PEX, DN 16 MM, CONEXÃO POR ANEL DESLIZANTE  FORNECIMENTO E INSTALAÇÃO. AF_06/2015</v>
          </cell>
          <cell r="C4248" t="str">
            <v>UN</v>
          </cell>
          <cell r="D4248">
            <v>20.27</v>
          </cell>
        </row>
        <row r="4249">
          <cell r="A4249">
            <v>96861</v>
          </cell>
          <cell r="B4249" t="str">
            <v>TÊ, ROSCA FÊMEA, METÁLICO, PARA INSTALAÇÕES EM PEX, DN 16 MM X ½, CONEXÃO POR ANEL DESLIZANTE   FORNECIMENTO E INSTALAÇÃO. AF_06/2015</v>
          </cell>
          <cell r="C4249" t="str">
            <v>UN</v>
          </cell>
          <cell r="D4249">
            <v>21.86</v>
          </cell>
        </row>
        <row r="4250">
          <cell r="A4250">
            <v>96862</v>
          </cell>
          <cell r="B4250" t="str">
            <v>TÊ, METÁLICO, PARA INSTALAÇÕES EM PEX, DN 20 MM, CONEXÃO POR ANEL DESLIZANTE  FORNECIMENTO E INSTALAÇÃO. AF_06/2015</v>
          </cell>
          <cell r="C4250" t="str">
            <v>UN</v>
          </cell>
          <cell r="D4250">
            <v>24.43</v>
          </cell>
        </row>
        <row r="4251">
          <cell r="A4251">
            <v>96863</v>
          </cell>
          <cell r="B4251" t="str">
            <v>TÊ, ROSCA FÊMEA, METÁLICO, PARA INSTALAÇÕES EM PEX, DN 20 MM X ½, CONEXÃO POR ANEL DESLIZANTE   FORNECIMENTO E INSTALAÇÃO. AF_06/2015</v>
          </cell>
          <cell r="C4251" t="str">
            <v>UN</v>
          </cell>
          <cell r="D4251">
            <v>24.16</v>
          </cell>
        </row>
        <row r="4252">
          <cell r="A4252">
            <v>96864</v>
          </cell>
          <cell r="B4252" t="str">
            <v>TÊ, METÁLICO, PARA INSTALAÇÕES EM PEX, DN 25 MM, CONEXÃO POR ANEL DESLIZANTE  FORNECIMENTO E INSTALAÇÃO. AF_06/2015</v>
          </cell>
          <cell r="C4252" t="str">
            <v>UN</v>
          </cell>
          <cell r="D4252">
            <v>38.090000000000003</v>
          </cell>
        </row>
        <row r="4253">
          <cell r="A4253">
            <v>96865</v>
          </cell>
          <cell r="B4253" t="str">
            <v>TÊ, ROSCA FÊMEA, METÁLICO, PARA INSTALAÇÕES EM PEX, DN 25 MM X 3/4", CONEXÃO POR ANEL DESLIZANTE  FORNECIMENTO E INSTALAÇÃO. AF_06/2015</v>
          </cell>
          <cell r="C4253" t="str">
            <v>UN</v>
          </cell>
          <cell r="D4253">
            <v>37.32</v>
          </cell>
        </row>
        <row r="4254">
          <cell r="A4254">
            <v>96866</v>
          </cell>
          <cell r="B4254" t="str">
            <v>TÊ, METÁLICO, PARA INSTALAÇÕES EM PEX, DN 32 MM, CONEXÃO POR ANEL DESLIZANTE  FORNECIMENTO E INSTALAÇÃO. AF_06/2015</v>
          </cell>
          <cell r="C4254" t="str">
            <v>UN</v>
          </cell>
          <cell r="D4254">
            <v>50.03</v>
          </cell>
        </row>
        <row r="4255">
          <cell r="A4255">
            <v>96867</v>
          </cell>
          <cell r="B4255" t="str">
            <v>TÊ, ROSCA MACHO, METÁLICO, PARA INSTALAÇÕES EM PEX, DN 32 MM X 1", CONEXÃO POR ANEL DESLIZANTE  FORNECIMENTO E INSTALAÇÃO. AF_06/2015</v>
          </cell>
          <cell r="C4255" t="str">
            <v>UN</v>
          </cell>
          <cell r="D4255">
            <v>58.03</v>
          </cell>
        </row>
        <row r="4256">
          <cell r="A4256">
            <v>96868</v>
          </cell>
          <cell r="B4256" t="str">
            <v>TÊ, PARA INSTALAÇÕES EM PEX, DN 16 MM, CONEXÃO POR CRIMPAGEM  FORNECIMENTO E INSTALAÇÃO. AF_06/2015</v>
          </cell>
          <cell r="C4256" t="str">
            <v>UN</v>
          </cell>
          <cell r="D4256">
            <v>23.15</v>
          </cell>
        </row>
        <row r="4257">
          <cell r="A4257">
            <v>96869</v>
          </cell>
          <cell r="B4257" t="str">
            <v>TÊ, PARA INSTALAÇÕES EM PEX, DN 20 MM, CONEXÃO POR CRIMPAGEM  FORNECIMENTO E INSTALAÇÃO. AF_06/2015</v>
          </cell>
          <cell r="C4257" t="str">
            <v>UN</v>
          </cell>
          <cell r="D4257">
            <v>27.66</v>
          </cell>
        </row>
        <row r="4258">
          <cell r="A4258">
            <v>96870</v>
          </cell>
          <cell r="B4258" t="str">
            <v>TÊ, PEX, DN 25 MM, CONEXÃO POR CRIMPAGEM  FORNECIMENTO E INSTALAÇÃO. AF_06/2015</v>
          </cell>
          <cell r="C4258" t="str">
            <v>UN</v>
          </cell>
          <cell r="D4258">
            <v>43.56</v>
          </cell>
        </row>
        <row r="4259">
          <cell r="A4259">
            <v>96871</v>
          </cell>
          <cell r="B4259" t="str">
            <v>TÊ, PARA INSTALAÇÕES EM PEX, DN 32 MM, CONEXÃO POR CRIMPAGEM  FORNECIMENTO E INSTALAÇÃO. AF_06/2015</v>
          </cell>
          <cell r="C4259" t="str">
            <v>UN</v>
          </cell>
          <cell r="D4259">
            <v>63.05</v>
          </cell>
        </row>
        <row r="4260">
          <cell r="A4260">
            <v>96872</v>
          </cell>
          <cell r="B4260" t="str">
            <v>DISTRIBUIDOR 2 SAÍDAS, METÁLICO, PARA INSTALAÇÕES EM PEX, ENTRADA DE 3/4" X 2 SAÍDAS DE 1/2", CONEXÃO POR ANEL DESLIZANTE  FORNECIMENTO E INSTALAÇÃO. AF_06/2015</v>
          </cell>
          <cell r="C4260" t="str">
            <v>UN</v>
          </cell>
          <cell r="D4260">
            <v>60.03</v>
          </cell>
        </row>
        <row r="4261">
          <cell r="A4261">
            <v>96873</v>
          </cell>
          <cell r="B4261" t="str">
            <v>DISTRIBUIDOR 2 SAÍDAS, METÁLICO, PARA INSTALAÇÕES EM PEX, ENTRADA DE 1" X 2 SAÍDAS DE 1/2", CONEXÃO POR ANEL DESLIZANTE  FORNECIMENTO E INSTALAÇÃO. AF_06/2015</v>
          </cell>
          <cell r="C4261" t="str">
            <v>UN</v>
          </cell>
          <cell r="D4261">
            <v>68.849999999999994</v>
          </cell>
        </row>
        <row r="4262">
          <cell r="A4262">
            <v>96874</v>
          </cell>
          <cell r="B4262" t="str">
            <v>DISTRIBUIDOR 3 SAÍDAS, METÁLICO, PARA INSTALAÇÕES EM PEX, ENTRADA DE 3/4" X 3 SAÍDAS DE 1/2", CONEXÃO POR ANEL DESLIZANTE  FORNECIMENTO E INSTALAÇÃO . AF_06/2015</v>
          </cell>
          <cell r="C4262" t="str">
            <v>UN</v>
          </cell>
          <cell r="D4262">
            <v>72.78</v>
          </cell>
        </row>
        <row r="4263">
          <cell r="A4263">
            <v>96875</v>
          </cell>
          <cell r="B4263" t="str">
            <v>DISTRIBUIDOR 3 SAÍDAS, METÁLICO, PARA INSTALAÇÕES EM PEX, ENTRADA DE 1 X 3 SAÍDAS DE 1/2, CONEXÃO POR ANEL DESLIZANTE   FORNECIMENTO E INSTALAÇÃO. AF_06/2015</v>
          </cell>
          <cell r="C4263" t="str">
            <v>UN</v>
          </cell>
          <cell r="D4263">
            <v>86.97</v>
          </cell>
        </row>
        <row r="4264">
          <cell r="A4264">
            <v>96876</v>
          </cell>
          <cell r="B4264" t="str">
            <v>DISTRIBUIDOR 2 SAÍDAS, PARA INSTALAÇÕES EM PEX, ENTRADA DE 32 MM X 2 SAÍDAS DE 16 MM, CONEXÃO POR CRIMPAGEM FORNECIMENTO E INSTALAÇÃO. AF_06/2015</v>
          </cell>
          <cell r="C4264" t="str">
            <v>UN</v>
          </cell>
          <cell r="D4264">
            <v>150.69999999999999</v>
          </cell>
        </row>
        <row r="4265">
          <cell r="A4265">
            <v>96877</v>
          </cell>
          <cell r="B4265" t="str">
            <v>DISTRIBUIDOR 2 SAÍDAS, PARA INSTALAÇÕES EM PEX, ENTRADA DE 32 MM X 2 SAÍDAS DE 20 MM, CONEXÃO POR CRIMPAGEM  FORNECIMENTO E INSTALAÇÃO. AF_06/2015</v>
          </cell>
          <cell r="C4265" t="str">
            <v>UN</v>
          </cell>
          <cell r="D4265">
            <v>161</v>
          </cell>
        </row>
        <row r="4266">
          <cell r="A4266">
            <v>96878</v>
          </cell>
          <cell r="B4266" t="str">
            <v>DISTRIBUIDOR 2 SAÍDAS, PARA INSTALAÇÕES EM PEX, ENTRADA DE 32 MM X 2 SAÍDAS DE 25 MM, CONEXÃO POR CRIMPAGEM  FORNECIMENTO E INSTALAÇÃO. AF_06/2015</v>
          </cell>
          <cell r="C4266" t="str">
            <v>UN</v>
          </cell>
          <cell r="D4266">
            <v>162.91999999999999</v>
          </cell>
        </row>
        <row r="4267">
          <cell r="A4267">
            <v>96879</v>
          </cell>
          <cell r="B4267" t="str">
            <v>DISTRIBUIDOR 3 SAÍDAS, PARA INSTALAÇÕES EM PEX, ENTRADA DE 32 MM X 3 SAÍDAS DE 16 MM, CONEXÃO POR CRIMPAGEM  FORNECIMENTO E INSTALAÇÃO. AF_06/2015</v>
          </cell>
          <cell r="C4267" t="str">
            <v>UN</v>
          </cell>
          <cell r="D4267">
            <v>163.76</v>
          </cell>
        </row>
        <row r="4268">
          <cell r="A4268">
            <v>96880</v>
          </cell>
          <cell r="B4268" t="str">
            <v>DISTRIBUIDOR 3 SAÍDAS, PARA INSTALAÇÕES EM PEX, ENTRADA DE 32 MM X 3 SAÍDAS DE 20 MM, CONEXÃO POR CRIMPAGEM  FORNECIMENTO E INSTALAÇÃO. AF_06/2015</v>
          </cell>
          <cell r="C4268" t="str">
            <v>UN</v>
          </cell>
          <cell r="D4268">
            <v>186.83</v>
          </cell>
        </row>
        <row r="4269">
          <cell r="A4269">
            <v>96881</v>
          </cell>
          <cell r="B4269" t="str">
            <v>DISTRIBUIDOR 3 SAÍDAS, PARA INSTALAÇÕES EM PEX, ENTRADA DE 32 MM X 3 SAÍDAS DE 25 MM, CONEXÃO POR CRIMPAGEM  FORNECIMENTO E INSTALAÇÃO. AF_06/2015</v>
          </cell>
          <cell r="C4269" t="str">
            <v>UN</v>
          </cell>
          <cell r="D4269">
            <v>197.29</v>
          </cell>
        </row>
        <row r="4270">
          <cell r="A4270">
            <v>97425</v>
          </cell>
          <cell r="B4270" t="str">
            <v>FLANGE EM AÇO, DN 15 MM X 1/2'', INSTALADO EM RESERVAÇÃO DE ÁGUA DE EDIFICAÇÃO QUE POSSUA RESERVATÓRIO DE FIBRA/FIBROCIMENTO - FORNECIMENTO E INSTALAÇÃO. AF_06/2016</v>
          </cell>
          <cell r="C4270" t="str">
            <v>UN</v>
          </cell>
          <cell r="D4270">
            <v>19.760000000000002</v>
          </cell>
        </row>
        <row r="4271">
          <cell r="A4271">
            <v>97426</v>
          </cell>
          <cell r="B4271" t="str">
            <v>FLANGE EM AÇO, DN 20 MM X 3/4'', INSTALADO EM RESERVAÇÃO DE ÁGUA DE EDIFICAÇÃO QUE POSSUA RESERVATÓRIO DE FIBRA/FIBROCIMENTO - FORNECIMENTO E INSTALAÇÃO. AF_06/2016</v>
          </cell>
          <cell r="C4271" t="str">
            <v>UN</v>
          </cell>
          <cell r="D4271">
            <v>23.53</v>
          </cell>
        </row>
        <row r="4272">
          <cell r="A4272">
            <v>97427</v>
          </cell>
          <cell r="B4272" t="str">
            <v>FLANGE EM AÇO, DN 25 MM X 1'', INSTALADO EM RESERVAÇÃO DE ÁGUA DE EDIFICAÇÃO QUE POSSUA RESERVATÓRIO DE FIBRA/FIBROCIMENTO - FORNECIMENTO E INSTALAÇÃO. AF_06/2016</v>
          </cell>
          <cell r="C4272" t="str">
            <v>UN</v>
          </cell>
          <cell r="D4272">
            <v>26.37</v>
          </cell>
        </row>
        <row r="4273">
          <cell r="A4273">
            <v>97428</v>
          </cell>
          <cell r="B4273" t="str">
            <v>FLANGE EM AÇO, DN 32 MM X 1 1/4'', INSTALADO EM RESERVAÇÃO DE ÁGUA DE EDIFICAÇÃO QUE POSSUA RESERVATÓRIO DE FIBRA/FIBROCIMENTO - FORNECIMENTO E INSTALAÇÃO. AF_06/2016</v>
          </cell>
          <cell r="C4273" t="str">
            <v>UN</v>
          </cell>
          <cell r="D4273">
            <v>32.979999999999997</v>
          </cell>
        </row>
        <row r="4274">
          <cell r="A4274">
            <v>97429</v>
          </cell>
          <cell r="B4274" t="str">
            <v>FLANGE EM AÇO, DN 40 MM X 1 1/2'', INSTALADO EM RESERVAÇÃO DE ÁGUA DE EDIFICAÇÃO QUE POSSUA RESERVATÓRIO DE FIBRA/FIBROCIMENTO - FORNECIMENTO E INSTALAÇÃO. AF_06/2016</v>
          </cell>
          <cell r="C4274" t="str">
            <v>UN</v>
          </cell>
          <cell r="D4274">
            <v>39.06</v>
          </cell>
        </row>
        <row r="4275">
          <cell r="A4275">
            <v>97430</v>
          </cell>
          <cell r="B4275" t="str">
            <v>ACOPLAMENTO RÍGIDO EM AÇO, CONEXÃO RANHURADA, DN 50 (2"), INSTALADO EM PRUMADAS - FORNECIMENTO E INSTALAÇÃO. AF_12/2015</v>
          </cell>
          <cell r="C4275" t="str">
            <v>UN</v>
          </cell>
          <cell r="D4275">
            <v>33.450000000000003</v>
          </cell>
        </row>
        <row r="4276">
          <cell r="A4276">
            <v>97431</v>
          </cell>
          <cell r="B4276" t="str">
            <v>ACOPLAMENTO RÍGIDO EM AÇO, CONEXÃO RANHURADA, DN 65 (2 1/2"), INSTALADO EM PRUMADAS - FORNECIMENTO E INSTALAÇÃO. AF_12/2015</v>
          </cell>
          <cell r="C4276" t="str">
            <v>UN</v>
          </cell>
          <cell r="D4276">
            <v>37.22</v>
          </cell>
        </row>
        <row r="4277">
          <cell r="A4277">
            <v>97432</v>
          </cell>
          <cell r="B4277" t="str">
            <v>ACOPLAMENTO RÍGIDO EM AÇO, CONEXÃO RANHURADA, DN 80 (3"), INSTALADO EM PRUMADAS - FORNECIMENTO E INSTALAÇÃO. AF_12/2015</v>
          </cell>
          <cell r="C4277" t="str">
            <v>UN</v>
          </cell>
          <cell r="D4277">
            <v>42</v>
          </cell>
        </row>
        <row r="4278">
          <cell r="A4278">
            <v>97433</v>
          </cell>
          <cell r="B4278" t="str">
            <v>CURVA 45 GRAUS, EM AÇO, CONEXÃO RANHURADA, DN 50 (2), INSTALADO EM PRUMADAS - FORNECIMENTO E INSTALAÇÃO. AF_12/2015</v>
          </cell>
          <cell r="C4278" t="str">
            <v>UN</v>
          </cell>
          <cell r="D4278">
            <v>78.650000000000006</v>
          </cell>
        </row>
        <row r="4279">
          <cell r="A4279">
            <v>97434</v>
          </cell>
          <cell r="B4279" t="str">
            <v>CURVA 90 GRAUS, EM AÇO, CONEXÃO RANHURADA, DN 50 (2"), INSTALADO EM PRUMADAS - FORNECIMENTO E INSTALAÇÃO. AF_12/2015</v>
          </cell>
          <cell r="C4279" t="str">
            <v>UN</v>
          </cell>
          <cell r="D4279">
            <v>80.209999999999994</v>
          </cell>
        </row>
        <row r="4280">
          <cell r="A4280">
            <v>97435</v>
          </cell>
          <cell r="B4280" t="str">
            <v>CURVA 45 GRAUS, EM AÇO, CONEXÃO RANHURADA, DN 65 (2 1/2"), INSTALADO EM PRUMADAS - FORNECIMENTO E INSTALAÇÃO. AF_12/2015</v>
          </cell>
          <cell r="C4280" t="str">
            <v>UN</v>
          </cell>
          <cell r="D4280">
            <v>92.11</v>
          </cell>
        </row>
        <row r="4281">
          <cell r="A4281">
            <v>97436</v>
          </cell>
          <cell r="B4281" t="str">
            <v>CURVA 90 GRAUS, EM AÇO, CONEXÃO RANHURADA, DN 65 (2 1/2), INSTALADO EM PRUMADAS - FORNECIMENTO E INSTALAÇÃO. AF_12/2015</v>
          </cell>
          <cell r="C4281" t="str">
            <v>UN</v>
          </cell>
          <cell r="D4281">
            <v>95.11</v>
          </cell>
        </row>
        <row r="4282">
          <cell r="A4282">
            <v>97437</v>
          </cell>
          <cell r="B4282" t="str">
            <v>CURVA 45 GRAUS, EM AÇO, CONEXÃO RANHURADA, DN 80 (3"), INSTALADO EM PRUMADAS - FORNECIMENTO E INSTALAÇÃO. AF_12/2015</v>
          </cell>
          <cell r="C4282" t="str">
            <v>UN</v>
          </cell>
          <cell r="D4282">
            <v>105.49</v>
          </cell>
        </row>
        <row r="4283">
          <cell r="A4283">
            <v>97438</v>
          </cell>
          <cell r="B4283" t="str">
            <v>CURVA 90 GRAUS, EM AÇO, CONEXÃO RANHURADA, DN 80 (3"), INSTALADO EM PRUMADAS - FORNECIMENTO E INSTALAÇÃO. AF_12/2015</v>
          </cell>
          <cell r="C4283" t="str">
            <v>UN</v>
          </cell>
          <cell r="D4283">
            <v>108.7</v>
          </cell>
        </row>
        <row r="4284">
          <cell r="A4284">
            <v>97439</v>
          </cell>
          <cell r="B4284" t="str">
            <v>TÊ, EM AÇO, CONEXÃO RANHURADA, DN 50 (2"), INSTALADO EM PRUMADAS - FORNECIMENTO E INSTALAÇÃO. AF_12/2015</v>
          </cell>
          <cell r="C4284" t="str">
            <v>UN</v>
          </cell>
          <cell r="D4284">
            <v>119.81</v>
          </cell>
        </row>
        <row r="4285">
          <cell r="A4285">
            <v>97440</v>
          </cell>
          <cell r="B4285" t="str">
            <v>TÊ, EM AÇO, CONEXÃO RANHURADA, DN 65 (2 1/2"), INSTALADO EM PRUMADAS - FORNECIMENTO E INSTALAÇÃO. AF_12/2015</v>
          </cell>
          <cell r="C4285" t="str">
            <v>UN</v>
          </cell>
          <cell r="D4285">
            <v>143.94999999999999</v>
          </cell>
        </row>
        <row r="4286">
          <cell r="A4286">
            <v>97442</v>
          </cell>
          <cell r="B4286" t="str">
            <v>TÊ, EM AÇO, CONEXÃO RANHURADA, DN 80 (3"), INSTALADO EM PRUMADAS - FORNECIMENTO E INSTALAÇÃO. AF_12/2015</v>
          </cell>
          <cell r="C4286" t="str">
            <v>UN</v>
          </cell>
          <cell r="D4286">
            <v>158.75</v>
          </cell>
        </row>
        <row r="4287">
          <cell r="A4287">
            <v>97443</v>
          </cell>
          <cell r="B4287" t="str">
            <v>LUVA, EM AÇO, CONEXÃO SOLDADA, DN 50 (2"), INSTALADO EM PRUMADAS - FORNECIMENTO E INSTALAÇÃO. AF_12/2015</v>
          </cell>
          <cell r="C4287" t="str">
            <v>UN</v>
          </cell>
          <cell r="D4287">
            <v>69.650000000000006</v>
          </cell>
        </row>
        <row r="4288">
          <cell r="A4288">
            <v>97444</v>
          </cell>
          <cell r="B4288" t="str">
            <v>LUVA COM REDUÇÃO, EM AÇO, CONEXÃO SOLDADA, DN 50 X 40 MM (2 X 1 1/2), INSTALADO EM PRUMADAS - FORNECIMENTO E INSTALAÇÃO. AF_12/2015</v>
          </cell>
          <cell r="C4288" t="str">
            <v>UN</v>
          </cell>
          <cell r="D4288">
            <v>81.23</v>
          </cell>
        </row>
        <row r="4289">
          <cell r="A4289">
            <v>97446</v>
          </cell>
          <cell r="B4289" t="str">
            <v>LUVA, EM AÇO, CONEXÃO SOLDADA, DN 65 (2 1/2"), INSTALADO EM PRUMADAS - FORNECIMENTO E INSTALAÇÃO. AF_12/2015</v>
          </cell>
          <cell r="C4289" t="str">
            <v>UN</v>
          </cell>
          <cell r="D4289">
            <v>137.75</v>
          </cell>
        </row>
        <row r="4290">
          <cell r="A4290">
            <v>97447</v>
          </cell>
          <cell r="B4290" t="str">
            <v>LUVA COM REDUÇÃO, EM AÇO, CONEXÃO SOLDADA, DN 65 X 50 MM (2 1/2" X 2"), INSTALADO EM PRUMADAS - FORNECIMENTO E INSTALAÇÃO. AF_12/2015</v>
          </cell>
          <cell r="C4290" t="str">
            <v>UN</v>
          </cell>
          <cell r="D4290">
            <v>137.75</v>
          </cell>
        </row>
        <row r="4291">
          <cell r="A4291">
            <v>97449</v>
          </cell>
          <cell r="B4291" t="str">
            <v>LUVA, EM AÇO, CONEXÃO SOLDADA, DN 80 (3), INSTALADO EM PRUMADAS - FORNECIMENTO E INSTALAÇÃO. AF_12/2015</v>
          </cell>
          <cell r="C4291" t="str">
            <v>UN</v>
          </cell>
          <cell r="D4291">
            <v>146.76</v>
          </cell>
        </row>
        <row r="4292">
          <cell r="A4292">
            <v>97450</v>
          </cell>
          <cell r="B4292" t="str">
            <v>LUVA COM REDUÇÃO, EM AÇO, CONEXÃO SOLDADA, DN 80 X 65 MM (3" X 2 1/2"), INSTALADO EM PRUMADAS - FORNECIMENTO E INSTALAÇÃO. AF_12/2015</v>
          </cell>
          <cell r="C4292" t="str">
            <v>UN</v>
          </cell>
          <cell r="D4292">
            <v>178.31</v>
          </cell>
        </row>
        <row r="4293">
          <cell r="A4293">
            <v>97452</v>
          </cell>
          <cell r="B4293" t="str">
            <v>CURVA 45 GRAUS, EM AÇO, CONEXÃO SOLDADA, DN 50 (2), INSTALADO EM PRUMADAS - FORNECIMENTO E INSTALAÇÃO. AF_12/2015</v>
          </cell>
          <cell r="C4293" t="str">
            <v>UN</v>
          </cell>
          <cell r="D4293">
            <v>114.11</v>
          </cell>
        </row>
        <row r="4294">
          <cell r="A4294">
            <v>97453</v>
          </cell>
          <cell r="B4294" t="str">
            <v>CURVA 90 GRAUS, EM AÇO, CONEXÃO SOLDADA, DN 50 (2), INSTALADO EM PRUMADAS - FORNECIMENTO E INSTALAÇÃO. AF_12/2015</v>
          </cell>
          <cell r="C4294" t="str">
            <v>UN</v>
          </cell>
          <cell r="D4294">
            <v>120.73</v>
          </cell>
        </row>
        <row r="4295">
          <cell r="A4295">
            <v>97454</v>
          </cell>
          <cell r="B4295" t="str">
            <v>CURVA 45 GRAUS, EM AÇO, CONEXÃO SOLDADA, DN 65 (2 1/2), INSTALADO EM PRUMADAS - FORNECIMENTO E INSTALAÇÃO. AF_12/2015</v>
          </cell>
          <cell r="C4295" t="str">
            <v>UN</v>
          </cell>
          <cell r="D4295">
            <v>190.16</v>
          </cell>
        </row>
        <row r="4296">
          <cell r="A4296">
            <v>97455</v>
          </cell>
          <cell r="B4296" t="str">
            <v>CURVA 90 GRAUS, EM AÇO, CONEXÃO SOLDADA, DN 65 (2 1/2), INSTALADO EM PRUMADAS - FORNECIMENTO E INSTALAÇÃO. AF_12/2015</v>
          </cell>
          <cell r="C4296" t="str">
            <v>UN</v>
          </cell>
          <cell r="D4296">
            <v>200.74</v>
          </cell>
        </row>
        <row r="4297">
          <cell r="A4297">
            <v>97456</v>
          </cell>
          <cell r="B4297" t="str">
            <v>CURVA 45 GRAUS, EM AÇO, CONEXÃO SOLDADA, DN 80 (3), INSTALADO EM PRUMADAS - FORNECIMENTO E INSTALAÇÃO. AF_12/2015</v>
          </cell>
          <cell r="C4297" t="str">
            <v>UN</v>
          </cell>
          <cell r="D4297">
            <v>422.32</v>
          </cell>
        </row>
        <row r="4298">
          <cell r="A4298">
            <v>97457</v>
          </cell>
          <cell r="B4298" t="str">
            <v>CURVA 90 GRAUS, EM AÇO, CONEXÃO SOLDADA, DN 80 (3), INSTALADO EM PRUMADAS - FORNECIMENTO E INSTALAÇÃO. AF_12/2015</v>
          </cell>
          <cell r="C4298" t="str">
            <v>UN</v>
          </cell>
          <cell r="D4298">
            <v>374.86</v>
          </cell>
        </row>
        <row r="4299">
          <cell r="A4299">
            <v>97458</v>
          </cell>
          <cell r="B4299" t="str">
            <v>TÊ, EM AÇO, CONEXÃO SOLDADA, DN 50 (2"), INSTALADO EM PRUMADAS - FORNECIMENTO E INSTALAÇÃO. AF_12/2015</v>
          </cell>
          <cell r="C4299" t="str">
            <v>UN</v>
          </cell>
          <cell r="D4299">
            <v>178.67</v>
          </cell>
        </row>
        <row r="4300">
          <cell r="A4300">
            <v>97459</v>
          </cell>
          <cell r="B4300" t="str">
            <v>TÊ, EM AÇO, CONEXÃO SOLDADA, DN 65 (2 1/2"), INSTALADO EM PRUMADAS - FORNECIMENTO E INSTALAÇÃO. AF_12/2015</v>
          </cell>
          <cell r="C4300" t="str">
            <v>UN</v>
          </cell>
          <cell r="D4300">
            <v>300.99</v>
          </cell>
        </row>
        <row r="4301">
          <cell r="A4301">
            <v>97460</v>
          </cell>
          <cell r="B4301" t="str">
            <v>TÊ, EM AÇO, CONEXÃO SOLDADA, DN 80 (3"), INSTALADO EM PRUMADAS - FORNECIMENTO E INSTALAÇÃO. AF_12/2015</v>
          </cell>
          <cell r="C4301" t="str">
            <v>UN</v>
          </cell>
          <cell r="D4301">
            <v>458.32</v>
          </cell>
        </row>
        <row r="4302">
          <cell r="A4302">
            <v>97461</v>
          </cell>
          <cell r="B4302" t="str">
            <v>LUVA, EM AÇO, CONEXÃO SOLDADA, DN 25 (1), INSTALADO EM REDE DE ALIMENTAÇÃO PARA HIDRANTE - FORNECIMENTO E INSTALAÇÃO. AF_12/2015</v>
          </cell>
          <cell r="C4302" t="str">
            <v>UN</v>
          </cell>
          <cell r="D4302">
            <v>21.81</v>
          </cell>
        </row>
        <row r="4303">
          <cell r="A4303">
            <v>97462</v>
          </cell>
          <cell r="B4303" t="str">
            <v>LUVA COM REDUÇÃO, EM AÇO, CONEXÃO SOLDADA, DN 25 X 20 MM (1 X 3/4), INSTALADO EM REDE DE ALIMENTAÇÃO PARA HIDRANTE - FORNECIMENTO E INSTALAÇÃO. AF_12/2015</v>
          </cell>
          <cell r="C4303" t="str">
            <v>UN</v>
          </cell>
          <cell r="D4303">
            <v>18.420000000000002</v>
          </cell>
        </row>
        <row r="4304">
          <cell r="A4304">
            <v>97464</v>
          </cell>
          <cell r="B4304" t="str">
            <v>LUVA, EM AÇO, CONEXÃO SOLDADA, DN 32 (1 1/4), INSTALADO EM REDE DE ALIMENTAÇÃO PARA HIDRANTE - FORNECIMENTO E INSTALAÇÃO. AF_12/2015</v>
          </cell>
          <cell r="C4304" t="str">
            <v>UN</v>
          </cell>
          <cell r="D4304">
            <v>31.23</v>
          </cell>
        </row>
        <row r="4305">
          <cell r="A4305">
            <v>97465</v>
          </cell>
          <cell r="B4305" t="str">
            <v>LUVA COM REDUÇÃO, EM AÇO, CONEXÃO SOLDADA, DN 32 X 25 MM (1 1/4  X 1), INSTALADO EM REDE DE ALIMENTAÇÃO PARA HIDRANTE - FORNECIMENTO E INSTALAÇÃO. AF_12/2015</v>
          </cell>
          <cell r="C4305" t="str">
            <v>UN</v>
          </cell>
          <cell r="D4305">
            <v>36.950000000000003</v>
          </cell>
        </row>
        <row r="4306">
          <cell r="A4306">
            <v>97467</v>
          </cell>
          <cell r="B4306" t="str">
            <v>LUVA, EM AÇO, CONEXÃO SOLDADA, DN 40 (1 1/2), INSTALADO EM REDE DE ALIMENTAÇÃO PARA HIDRANTE - FORNECIMENTO E INSTALAÇÃO. AF_12/2015</v>
          </cell>
          <cell r="C4306" t="str">
            <v>UN</v>
          </cell>
          <cell r="D4306">
            <v>39.6</v>
          </cell>
        </row>
        <row r="4307">
          <cell r="A4307">
            <v>97468</v>
          </cell>
          <cell r="B4307" t="str">
            <v>LUVA COM REDUÇÃO, EM AÇO, CONEXÃO SOLDADA, DN 40  X 32 MM (1 1/2 X 1 1/4), INSTALADO EM REDE DE ALIMENTAÇÃO PARA HIDRANTE - FORNECIMENTO E INSTALAÇÃO. AF_12/2015</v>
          </cell>
          <cell r="C4307" t="str">
            <v>UN</v>
          </cell>
          <cell r="D4307">
            <v>46.93</v>
          </cell>
        </row>
        <row r="4308">
          <cell r="A4308">
            <v>97470</v>
          </cell>
          <cell r="B4308" t="str">
            <v>LUVA, EM AÇO, CONEXÃO SOLDADA, DN 50 (2), INSTALADO EM REDE DE ALIMENTAÇÃO PARA HIDRANTE - FORNECIMENTO E INSTALAÇÃO. AF_12/2015</v>
          </cell>
          <cell r="C4308" t="str">
            <v>UN</v>
          </cell>
          <cell r="D4308">
            <v>58.01</v>
          </cell>
        </row>
        <row r="4309">
          <cell r="A4309">
            <v>97471</v>
          </cell>
          <cell r="B4309" t="str">
            <v>LUVA COM REDUÇÃO, EM AÇO, CONEXÃO SOLDADA, DN 50 X 40 MM (2 X 1 1/2), INSTALADO EM REDE DE ALIMENTAÇÃO PARA HIDRANTE - FORNECIMENTO E INSTALAÇÃO. AF_12/2015</v>
          </cell>
          <cell r="C4309" t="str">
            <v>UN</v>
          </cell>
          <cell r="D4309">
            <v>69.59</v>
          </cell>
        </row>
        <row r="4310">
          <cell r="A4310">
            <v>97474</v>
          </cell>
          <cell r="B4310" t="str">
            <v>LUVA, EM AÇO, CONEXÃO SOLDADA, DN 65 (2 1/2), INSTALADO EM REDE DE ALIMENTAÇÃO PARA HIDRANTE - FORNECIMENTO E INSTALAÇÃO. AF_12/2015</v>
          </cell>
          <cell r="C4310" t="str">
            <v>UN</v>
          </cell>
          <cell r="D4310">
            <v>104.66</v>
          </cell>
        </row>
        <row r="4311">
          <cell r="A4311">
            <v>97475</v>
          </cell>
          <cell r="B4311" t="str">
            <v>LUVA COM REDUÇÃO, EM AÇO, CONEXÃO SOLDADA, DN 65 X 50 MM (2 1/2 X 2), INSTALADO EM REDE DE ALIMENTAÇÃO PARA HIDRANTE - FORNECIMENTO E INSTALAÇÃO. AF_12/2015</v>
          </cell>
          <cell r="C4311" t="str">
            <v>UN</v>
          </cell>
          <cell r="D4311">
            <v>128.09</v>
          </cell>
        </row>
        <row r="4312">
          <cell r="A4312">
            <v>97477</v>
          </cell>
          <cell r="B4312" t="str">
            <v>LUVA, EM AÇO, CONEXÃO SOLDADA, DN 80 (3), INSTALADO EM REDE DE ALIMENTAÇÃO PARA HIDRANTE - FORNECIMENTO E INSTALAÇÃO. AF_12/2015</v>
          </cell>
          <cell r="C4312" t="str">
            <v>UN</v>
          </cell>
          <cell r="D4312">
            <v>139.09</v>
          </cell>
        </row>
        <row r="4313">
          <cell r="A4313">
            <v>97478</v>
          </cell>
          <cell r="B4313" t="str">
            <v>LUVA COM REDUÇÃO, EM AÇO, CONEXÃO SOLDADA, DN 80 X 65 MM (3 X 2 1/2), INSTALADO EM REDE DE ALIMENTAÇÃO PARA HIDRANTE - FORNECIMENTO E INSTALAÇÃO. AF_12/2015</v>
          </cell>
          <cell r="C4313" t="str">
            <v>UN</v>
          </cell>
          <cell r="D4313">
            <v>170.64</v>
          </cell>
        </row>
        <row r="4314">
          <cell r="A4314">
            <v>97479</v>
          </cell>
          <cell r="B4314" t="str">
            <v>CURVA 45 GRAUS, EM AÇO, CONEXÃO SOLDADA, DN 25 (1), INSTALADO EM REDE DE ALIMENTAÇÃO PARA HIDRANTE - FORNECIMENTO E INSTALAÇÃO. AF_12/2015</v>
          </cell>
          <cell r="C4314" t="str">
            <v>UN</v>
          </cell>
          <cell r="D4314">
            <v>35.11</v>
          </cell>
        </row>
        <row r="4315">
          <cell r="A4315">
            <v>97480</v>
          </cell>
          <cell r="B4315" t="str">
            <v>CURVA 90 GRAUS, EM AÇO, CONEXÃO SOLDADA, DN 25 (1), INSTALADO EM REDE DE ALIMENTAÇÃO PARA HIDRANTE - FORNECIMENTO E INSTALAÇÃO. AF_12/2015</v>
          </cell>
          <cell r="C4315" t="str">
            <v>UN</v>
          </cell>
          <cell r="D4315">
            <v>35.11</v>
          </cell>
        </row>
        <row r="4316">
          <cell r="A4316">
            <v>97481</v>
          </cell>
          <cell r="B4316" t="str">
            <v>CURVA 45 GRAUS, EM AÇO, CONEXÃO SOLDADA, DN 32 (1 1/4), INSTALADO EM REDE DE ALIMENTAÇÃO PARA HIDRANTE - FORNECIMENTO E INSTALAÇÃO. AF_12/2015</v>
          </cell>
          <cell r="C4316" t="str">
            <v>UN</v>
          </cell>
          <cell r="D4316">
            <v>50.53</v>
          </cell>
        </row>
        <row r="4317">
          <cell r="A4317">
            <v>97482</v>
          </cell>
          <cell r="B4317" t="str">
            <v>CURVA 90 GRAUS, EM AÇO, CONEXÃO SOLDADA, DN 32 (1 1/4), INSTALADO EM REDE DE ALIMENTAÇÃO PARA HIDRANTE - FORNECIMENTO E INSTALAÇÃO. AF_12/2015</v>
          </cell>
          <cell r="C4317" t="str">
            <v>UN</v>
          </cell>
          <cell r="D4317">
            <v>50.53</v>
          </cell>
        </row>
        <row r="4318">
          <cell r="A4318">
            <v>97483</v>
          </cell>
          <cell r="B4318" t="str">
            <v>CURVA 45 GRAUS, EM AÇO, CONEXÃO SOLDADA, DN 40 (1 1/2"), INSTALADO EM REDE DE ALIMENTAÇÃO PARA HIDRANTE - FORNECIMENTO E INSTALAÇÃO. AF_12/2015</v>
          </cell>
          <cell r="C4318" t="str">
            <v>UN</v>
          </cell>
          <cell r="D4318">
            <v>70.39</v>
          </cell>
        </row>
        <row r="4319">
          <cell r="A4319">
            <v>97484</v>
          </cell>
          <cell r="B4319" t="str">
            <v>CURVA 90 GRAUS, EM AÇO, CONEXÃO SOLDADA, DN 40 (1 1/2"), INSTALADO EM REDE DE ALIMENTAÇÃO PARA HIDRANTE - FORNECIMENTO E INSTALAÇÃO. AF_12/2015</v>
          </cell>
          <cell r="C4319" t="str">
            <v>UN</v>
          </cell>
          <cell r="D4319">
            <v>70.39</v>
          </cell>
        </row>
        <row r="4320">
          <cell r="A4320">
            <v>97485</v>
          </cell>
          <cell r="B4320" t="str">
            <v>CURVA 45 GRAUS, EM AÇO, CONEXÃO SOLDADA, DN 50 (2"), INSTALADO EM REDE DE ALIMENTAÇÃO PARA HIDRANTE - FORNECIMENTO E INSTALAÇÃO. AF_12/2015</v>
          </cell>
          <cell r="C4320" t="str">
            <v>UN</v>
          </cell>
          <cell r="D4320">
            <v>96.66</v>
          </cell>
        </row>
        <row r="4321">
          <cell r="A4321">
            <v>97486</v>
          </cell>
          <cell r="B4321" t="str">
            <v>CURVA 90 GRAUS, EM AÇO, CONEXÃO SOLDADA, DN 50 (2"), INSTALADO EM REDE DE ALIMENTAÇÃO PARA HIDRANTE - FORNECIMENTO E INSTALAÇÃO. AF_12/2015</v>
          </cell>
          <cell r="C4321" t="str">
            <v>UN</v>
          </cell>
          <cell r="D4321">
            <v>103.28</v>
          </cell>
        </row>
        <row r="4322">
          <cell r="A4322">
            <v>97487</v>
          </cell>
          <cell r="B4322" t="str">
            <v>CURVA 45 GRAUS, EM AÇO, CONEXÃO SOLDADA, DN 65 (2 1/2"), INSTALADO EM REDE DE ALIMENTAÇÃO PARA HIDRANTE - FORNECIMENTO E INSTALAÇÃO. AF_12/2015</v>
          </cell>
          <cell r="C4322" t="str">
            <v>UN</v>
          </cell>
          <cell r="D4322">
            <v>175.69</v>
          </cell>
        </row>
        <row r="4323">
          <cell r="A4323">
            <v>97488</v>
          </cell>
          <cell r="B4323" t="str">
            <v>CURVA 90 GRAUS, EM AÇO, CONEXÃO SOLDADA, DN 65 (2 1/2"), INSTALADO EM REDE DE ALIMENTAÇÃO PARA HIDRANTE - FORNECIMENTO E INSTALAÇÃO. AF_12/2015</v>
          </cell>
          <cell r="C4323" t="str">
            <v>UN</v>
          </cell>
          <cell r="D4323">
            <v>186.27</v>
          </cell>
        </row>
        <row r="4324">
          <cell r="A4324">
            <v>97489</v>
          </cell>
          <cell r="B4324" t="str">
            <v>CURVA 45 GRAUS, EM AÇO, CONEXÃO SOLDADA, DN 80 (3"), INSTALADO EM REDE DE ALIMENTAÇÃO PARA HIDRANTE - FORNECIMENTO E INSTALAÇÃO. AF_12/2015</v>
          </cell>
          <cell r="C4324" t="str">
            <v>UN</v>
          </cell>
          <cell r="D4324">
            <v>410.77</v>
          </cell>
        </row>
        <row r="4325">
          <cell r="A4325">
            <v>97490</v>
          </cell>
          <cell r="B4325" t="str">
            <v>CURVA 90 GRAUS, EM AÇO, CONEXÃO SOLDADA, DN 80 (3"), INSTALADO EM REDE DE ALIMENTAÇÃO PARA HIDRANTE - FORNECIMENTO E INSTALAÇÃO. AF_12/2015</v>
          </cell>
          <cell r="C4325" t="str">
            <v>UN</v>
          </cell>
          <cell r="D4325">
            <v>363.31</v>
          </cell>
        </row>
        <row r="4326">
          <cell r="A4326">
            <v>97491</v>
          </cell>
          <cell r="B4326" t="str">
            <v>TÊ, EM AÇO, CONEXÃO SOLDADA, DN 25 (1"), INSTALADO EM REDE DE ALIMENTAÇÃO PARA HIDRANTE - FORNECIMENTO E INSTALAÇÃO. AF_12/2015</v>
          </cell>
          <cell r="C4326" t="str">
            <v>UN</v>
          </cell>
          <cell r="D4326">
            <v>53.79</v>
          </cell>
        </row>
        <row r="4327">
          <cell r="A4327">
            <v>97492</v>
          </cell>
          <cell r="B4327" t="str">
            <v>TÊ, EM AÇO, CONEXÃO SOLDADA, DN 32 (1 1/4"), INSTALADO EM REDE DE ALIMENTAÇÃO PARA HIDRANTE - FORNECIMENTO E INSTALAÇÃO. AF_12/2015</v>
          </cell>
          <cell r="C4327" t="str">
            <v>UN</v>
          </cell>
          <cell r="D4327">
            <v>78.41</v>
          </cell>
        </row>
        <row r="4328">
          <cell r="A4328">
            <v>97493</v>
          </cell>
          <cell r="B4328" t="str">
            <v>TÊ, EM AÇO, CONEXÃO SOLDADA, DN 40 (1 1/2"), INSTALADO EM REDE DE ALIMENTAÇÃO PARA HIDRANTE - FORNECIMENTO E INSTALAÇÃO. AF_12/2015</v>
          </cell>
          <cell r="C4328" t="str">
            <v>UN</v>
          </cell>
          <cell r="D4328">
            <v>101.01</v>
          </cell>
        </row>
        <row r="4329">
          <cell r="A4329">
            <v>97494</v>
          </cell>
          <cell r="B4329" t="str">
            <v>TÊ, EM AÇO, CONEXÃO SOLDADA, DN 50 (2"), INSTALADO EM REDE DE ALIMENTAÇÃO PARA HIDRANTE - FORNECIMENTO E INSTALAÇÃO. AF_12/2015</v>
          </cell>
          <cell r="C4329" t="str">
            <v>UN</v>
          </cell>
          <cell r="D4329">
            <v>155.37</v>
          </cell>
        </row>
        <row r="4330">
          <cell r="A4330">
            <v>97495</v>
          </cell>
          <cell r="B4330" t="str">
            <v>TÊ, EM AÇO, CONEXÃO SOLDADA, DN 65 (2 1/2"), INSTALADO EM REDE DE ALIMENTAÇÃO PARA HIDRANTE - FORNECIMENTO E INSTALAÇÃO. AF_12/2015</v>
          </cell>
          <cell r="C4330" t="str">
            <v>UN</v>
          </cell>
          <cell r="D4330">
            <v>281.66000000000003</v>
          </cell>
        </row>
        <row r="4331">
          <cell r="A4331">
            <v>97496</v>
          </cell>
          <cell r="B4331" t="str">
            <v>TÊ, EM AÇO, CONEXÃO SOLDADA, DN 80 (3"), INSTALADO EM REDE DE ALIMENTAÇÃO PARA HIDRANTE - FORNECIMENTO E INSTALAÇÃO. AF_12/2015</v>
          </cell>
          <cell r="C4331" t="str">
            <v>UN</v>
          </cell>
          <cell r="D4331">
            <v>442.96</v>
          </cell>
        </row>
        <row r="4332">
          <cell r="A4332">
            <v>97499</v>
          </cell>
          <cell r="B4332" t="str">
            <v>LUVA, EM AÇO, CONEXÃO SOLDADA, DN 25 (1"), INSTALADO EM REDE DE ALIMENTAÇÃO PARA SPRINKLER - FORNECIMENTO E INSTALAÇÃO. AF_12/2015</v>
          </cell>
          <cell r="C4332" t="str">
            <v>UN</v>
          </cell>
          <cell r="D4332">
            <v>19.93</v>
          </cell>
        </row>
        <row r="4333">
          <cell r="A4333">
            <v>97500</v>
          </cell>
          <cell r="B4333" t="str">
            <v>LUVA COM REDUÇÃO, EM AÇO, CONEXÃO SOLDADA, DN 25 X 20 MM (1" X 3/4"), INSTALADO EM REDE DE ALIMENTAÇÃO PARA SPRINKLER - FORNECIMENTO E INSTALAÇÃO. AF_12/2015</v>
          </cell>
          <cell r="C4333" t="str">
            <v>UN</v>
          </cell>
          <cell r="D4333">
            <v>16.54</v>
          </cell>
        </row>
        <row r="4334">
          <cell r="A4334">
            <v>97502</v>
          </cell>
          <cell r="B4334" t="str">
            <v>LUVA, EM AÇO, CONEXÃO SOLDADA, DN 32 (1 1/4"), INSTALADO EM REDE DE ALIMENTAÇÃO PARA SPRINKLER - FORNECIMENTO E INSTALAÇÃO. AF_12/2015</v>
          </cell>
          <cell r="C4334" t="str">
            <v>UN</v>
          </cell>
          <cell r="D4334">
            <v>27.73</v>
          </cell>
        </row>
        <row r="4335">
          <cell r="A4335">
            <v>97503</v>
          </cell>
          <cell r="B4335" t="str">
            <v>LUVA COM REDUÇÃO, EM AÇO, CONEXÃO SOLDADA, DN 32 X 25 MM (1 1/4"  X 1"), INSTALADO EM REDE DE ALIMENTAÇÃO PARA SPRINKLER - FORNECIMENTO E INSTALAÇÃO. AF_12/2015</v>
          </cell>
          <cell r="C4335" t="str">
            <v>UN</v>
          </cell>
          <cell r="D4335">
            <v>33.630000000000003</v>
          </cell>
        </row>
        <row r="4336">
          <cell r="A4336">
            <v>97505</v>
          </cell>
          <cell r="B4336" t="str">
            <v>LUVA, EM AÇO, CONEXÃO SOLDADA, DN 40 (1 1/2"), INSTALADO EM REDE DE ALIMENTAÇÃO PARA SPRINKLER - FORNECIMENTO E INSTALAÇÃO. AF_12/2015</v>
          </cell>
          <cell r="C4336" t="str">
            <v>UN</v>
          </cell>
          <cell r="D4336">
            <v>34.68</v>
          </cell>
        </row>
        <row r="4337">
          <cell r="A4337">
            <v>97506</v>
          </cell>
          <cell r="B4337" t="str">
            <v>LUVA COM REDUÇÃO, EM AÇO, CONEXÃO SOLDADA, DN 40  X 32 MM (1 1/2" X 1 1/4"), INSTALADO EM REDE DE ALIMENTAÇÃO PARA SPRINKLER - FORNECIMENTO E INSTALAÇÃO. AF_12/2015</v>
          </cell>
          <cell r="C4337" t="str">
            <v>UN</v>
          </cell>
          <cell r="D4337">
            <v>42.01</v>
          </cell>
        </row>
        <row r="4338">
          <cell r="A4338">
            <v>97508</v>
          </cell>
          <cell r="B4338" t="str">
            <v>LUVA, EM AÇO, CONEXÃO SOLDADA, DN 50 (2"), INSTALADO EM REDE DE ALIMENTAÇÃO PARA SPRINKLER - FORNECIMENTO E INSTALAÇÃO. AF_12/2015</v>
          </cell>
          <cell r="C4338" t="str">
            <v>UN</v>
          </cell>
          <cell r="D4338">
            <v>51.05</v>
          </cell>
        </row>
        <row r="4339">
          <cell r="A4339">
            <v>97509</v>
          </cell>
          <cell r="B4339" t="str">
            <v>LUVA COM REDUÇÃO, EM AÇO, CONEXÃO SOLDADA, DN 50 X 40 MM (2" X 1 1/2"), INSTALADO EM REDE DE ALIMENTAÇÃO PARA SPRINKLER - FORNECIMENTO E INSTALAÇÃO. AF_12/2015</v>
          </cell>
          <cell r="C4339" t="str">
            <v>UN</v>
          </cell>
          <cell r="D4339">
            <v>62.63</v>
          </cell>
        </row>
        <row r="4340">
          <cell r="A4340">
            <v>97511</v>
          </cell>
          <cell r="B4340" t="str">
            <v>LUVA, EM AÇO, CONEXÃO SOLDADA, DN 65 (2 1/2"), INSTALADO EM REDE DE ALIMENTAÇÃO PARA SPRINKLER - FORNECIMENTO E INSTALAÇÃO. AF_12/2015</v>
          </cell>
          <cell r="C4340" t="str">
            <v>UN</v>
          </cell>
          <cell r="D4340">
            <v>94.66</v>
          </cell>
        </row>
        <row r="4341">
          <cell r="A4341">
            <v>97512</v>
          </cell>
          <cell r="B4341" t="str">
            <v>LUVA COM REDUÇÃO, EM AÇO, CONEXÃO SOLDADA, DN 65 X 50 MM (2 1/2" X 2"), INSTALADO EM REDE DE ALIMENTAÇÃO PARA SPRINKLER - FORNECIMENTO E INSTALAÇÃO. AF_12/2015</v>
          </cell>
          <cell r="C4341" t="str">
            <v>UN</v>
          </cell>
          <cell r="D4341">
            <v>118.09</v>
          </cell>
        </row>
        <row r="4342">
          <cell r="A4342">
            <v>97514</v>
          </cell>
          <cell r="B4342" t="str">
            <v>LUVA, EM AÇO, CONEXÃO SOLDADA, DN 80 (3"), INSTALADO EM REDE DE ALIMENTAÇÃO PARA SPRINKLER - FORNECIMENTO E INSTALAÇÃO. AF_12/2015</v>
          </cell>
          <cell r="C4342" t="str">
            <v>UN</v>
          </cell>
          <cell r="D4342">
            <v>125.94</v>
          </cell>
        </row>
        <row r="4343">
          <cell r="A4343">
            <v>97515</v>
          </cell>
          <cell r="B4343" t="str">
            <v>LUVA COM REDUÇÃO, EM AÇO, CONEXÃO SOLDADA, DN 80 X 65 MM (3" X 2 1/2"), INSTALADO EM REDE DE ALIMENTAÇÃO PARA SPRINKLER - FORNECIMENTO E INSTALAÇÃO. AF_12/2015</v>
          </cell>
          <cell r="C4343" t="str">
            <v>UN</v>
          </cell>
          <cell r="D4343">
            <v>157.49</v>
          </cell>
        </row>
        <row r="4344">
          <cell r="A4344">
            <v>97517</v>
          </cell>
          <cell r="B4344" t="str">
            <v>CURVA 45 GRAUS, EM AÇO, CONEXÃO SOLDADA, DN 25 (1"), INSTALADO EM REDE DE ALIMENTAÇÃO PARA SPRINKLER - FORNECIMENTO E INSTALAÇÃO. AF_12/2015</v>
          </cell>
          <cell r="C4344" t="str">
            <v>UN</v>
          </cell>
          <cell r="D4344">
            <v>32.29</v>
          </cell>
        </row>
        <row r="4345">
          <cell r="A4345">
            <v>97518</v>
          </cell>
          <cell r="B4345" t="str">
            <v>CURVA 90 GRAUS, EM AÇO, CONEXÃO SOLDADA, DN 25 (1"), INSTALADO EM REDE DE ALIMENTAÇÃO PARA SPRINKLER - FORNECIMENTO E INSTALAÇÃO. AF_12/2015</v>
          </cell>
          <cell r="C4345" t="str">
            <v>UN</v>
          </cell>
          <cell r="D4345">
            <v>32.29</v>
          </cell>
        </row>
        <row r="4346">
          <cell r="A4346">
            <v>97519</v>
          </cell>
          <cell r="B4346" t="str">
            <v>CURVA 45 GRAUS, EM AÇO, CONEXÃO SOLDADA, DN 32 (1 1/4"), INSTALADO EM REDE DE ALIMENTAÇÃO PARA SPRINKLER - FORNECIMENTO E INSTALAÇÃO. AF_12/2015</v>
          </cell>
          <cell r="C4346" t="str">
            <v>UN</v>
          </cell>
          <cell r="D4346">
            <v>45.57</v>
          </cell>
        </row>
        <row r="4347">
          <cell r="A4347">
            <v>97520</v>
          </cell>
          <cell r="B4347" t="str">
            <v>CURVA 90 GRAUS, EM AÇO, CONEXÃO SOLDADA, DN 32 (1 1/4"), INSTALADO EM REDE DE ALIMENTAÇÃO PARA SPRINKLER - FORNECIMENTO E INSTALAÇÃO. AF_12/2015</v>
          </cell>
          <cell r="C4347" t="str">
            <v>UN</v>
          </cell>
          <cell r="D4347">
            <v>45.57</v>
          </cell>
        </row>
        <row r="4348">
          <cell r="A4348">
            <v>97521</v>
          </cell>
          <cell r="B4348" t="str">
            <v>CURVA 45 GRAUS, EM AÇO, CONEXÃO SOLDADA, DN 40 (1 1/2"), INSTALADO EM REDE DE ALIMENTAÇÃO PARA SPRINKLER - FORNECIMENTO E INSTALAÇÃO. AF_12/2015</v>
          </cell>
          <cell r="C4348" t="str">
            <v>UN</v>
          </cell>
          <cell r="D4348">
            <v>62.99</v>
          </cell>
        </row>
        <row r="4349">
          <cell r="A4349">
            <v>97522</v>
          </cell>
          <cell r="B4349" t="str">
            <v>CURVA 90 GRAUS, EM AÇO, CONEXÃO SOLDADA, DN 40 (1 1/2"), INSTALADO EM REDE DE ALIMENTAÇÃO PARA SPRINKLER - FORNECIMENTO E INSTALAÇÃO. AF_12/2015</v>
          </cell>
          <cell r="C4349" t="str">
            <v>UN</v>
          </cell>
          <cell r="D4349">
            <v>62.99</v>
          </cell>
        </row>
        <row r="4350">
          <cell r="A4350">
            <v>97523</v>
          </cell>
          <cell r="B4350" t="str">
            <v>CURVA 45 GRAUS, EM AÇO, CONEXÃO SOLDADA, DN 50 (2"), INSTALADO EM REDE DE ALIMENTAÇÃO PARA SPRINKLER - FORNECIMENTO E INSTALAÇÃO. AF_12/2015</v>
          </cell>
          <cell r="C4350" t="str">
            <v>UN</v>
          </cell>
          <cell r="D4350">
            <v>86.21</v>
          </cell>
        </row>
        <row r="4351">
          <cell r="A4351">
            <v>97524</v>
          </cell>
          <cell r="B4351" t="str">
            <v>CURVA 90 GRAUS, EM AÇO, CONEXÃO SOLDADA, DN 50 (2"), INSTALADO EM REDE DE ALIMENTAÇÃO PARA SPRINKLER - FORNECIMENTO E INSTALAÇÃO. AF_12/2015</v>
          </cell>
          <cell r="C4351" t="str">
            <v>UN</v>
          </cell>
          <cell r="D4351">
            <v>92.83</v>
          </cell>
        </row>
        <row r="4352">
          <cell r="A4352">
            <v>97525</v>
          </cell>
          <cell r="B4352" t="str">
            <v>CURVA 45 GRAUS, EM AÇO, CONEXÃO SOLDADA, DN 65 (2 1/2"), INSTALADO EM REDE DE ALIMENTAÇÃO PARA SPRINKLER - FORNECIMENTO E INSTALAÇÃO. AF_12/2015</v>
          </cell>
          <cell r="C4352" t="str">
            <v>UN</v>
          </cell>
          <cell r="D4352">
            <v>160.6</v>
          </cell>
        </row>
        <row r="4353">
          <cell r="A4353">
            <v>97526</v>
          </cell>
          <cell r="B4353" t="str">
            <v>CURVA 90 GRAUS, EM AÇO, CONEXÃO SOLDADA, DN 65 (2 1/2"), INSTALADO EM REDE DE ALIMENTAÇÃO PARA SPRINKLER - FORNECIMENTO E INSTALAÇÃO. AF_12/2015</v>
          </cell>
          <cell r="C4353" t="str">
            <v>UN</v>
          </cell>
          <cell r="D4353">
            <v>171.18</v>
          </cell>
        </row>
        <row r="4354">
          <cell r="A4354">
            <v>97527</v>
          </cell>
          <cell r="B4354" t="str">
            <v>CURVA 45 GRAUS, EM AÇO, CONEXÃO SOLDADA, DN 80 (3"), INSTALADO EM REDE DE ALIMENTAÇÃO PARA SPRINKLER - FORNECIMENTO E INSTALAÇÃO. AF_12/2015</v>
          </cell>
          <cell r="C4354" t="str">
            <v>UN</v>
          </cell>
          <cell r="D4354">
            <v>391.11</v>
          </cell>
        </row>
        <row r="4355">
          <cell r="A4355">
            <v>97528</v>
          </cell>
          <cell r="B4355" t="str">
            <v>CURVA 90 GRAUS, EM AÇO, CONEXÃO SOLDADA, DN 80 (3"), INSTALADO EM REDE DE ALIMENTAÇÃO PARA SPRINKLER - FORNECIMENTO E INSTALAÇÃO. AF_12/2015</v>
          </cell>
          <cell r="C4355" t="str">
            <v>UN</v>
          </cell>
          <cell r="D4355">
            <v>343.65</v>
          </cell>
        </row>
        <row r="4356">
          <cell r="A4356">
            <v>97529</v>
          </cell>
          <cell r="B4356" t="str">
            <v>TÊ, EM AÇO, CONEXÃO SOLDADA, DN 25 (1"), INSTALADO EM REDE DE ALIMENTAÇÃO PARA SPRINKLER - FORNECIMENTO E INSTALAÇÃO. AF_12/2015</v>
          </cell>
          <cell r="C4356" t="str">
            <v>UN</v>
          </cell>
          <cell r="D4356">
            <v>50.09</v>
          </cell>
        </row>
        <row r="4357">
          <cell r="A4357">
            <v>97530</v>
          </cell>
          <cell r="B4357" t="str">
            <v>TÊ, EM AÇO, CONEXÃO SOLDADA, DN 32 (1 1/4"), INSTALADO EM REDE DE ALIMENTAÇÃO PARA SPRINKLER - FORNECIMENTO E INSTALAÇÃO. AF_12/2015</v>
          </cell>
          <cell r="C4357" t="str">
            <v>UN</v>
          </cell>
          <cell r="D4357">
            <v>71.78</v>
          </cell>
        </row>
        <row r="4358">
          <cell r="A4358">
            <v>97531</v>
          </cell>
          <cell r="B4358" t="str">
            <v>TÊ, EM AÇO, CONEXÃO SOLDADA, DN 40 (1 1/2"), INSTALADO EM REDE DE ALIMENTAÇÃO PARA SPRINKLER - FORNECIMENTO E INSTALAÇÃO. AF_12/2015</v>
          </cell>
          <cell r="C4358" t="str">
            <v>UN</v>
          </cell>
          <cell r="D4358">
            <v>91.1</v>
          </cell>
        </row>
        <row r="4359">
          <cell r="A4359">
            <v>97532</v>
          </cell>
          <cell r="B4359" t="str">
            <v>TÊ, EM AÇO, CONEXÃO SOLDADA, DN 50 (2"), INSTALADO EM REDE DE ALIMENTAÇÃO PARA SPRINKLER - FORNECIMENTO E INSTALAÇÃO. AF_12/2015</v>
          </cell>
          <cell r="C4359" t="str">
            <v>UN</v>
          </cell>
          <cell r="D4359">
            <v>141.44999999999999</v>
          </cell>
        </row>
        <row r="4360">
          <cell r="A4360">
            <v>97533</v>
          </cell>
          <cell r="B4360" t="str">
            <v>TÊ, EM AÇO, CONEXÃO SOLDADA, DN 65 (2 1/2"), INSTALADO EM REDE DE ALIMENTAÇÃO PARA SPRINKLER - FORNECIMENTO E INSTALAÇÃO. AF_12/2015</v>
          </cell>
          <cell r="C4360" t="str">
            <v>UN</v>
          </cell>
          <cell r="D4360">
            <v>264.54000000000002</v>
          </cell>
        </row>
        <row r="4361">
          <cell r="A4361">
            <v>97534</v>
          </cell>
          <cell r="B4361" t="str">
            <v>TÊ, EM AÇO, CONEXÃO SOLDADA, DN 80 (3"), INSTALADO EM REDE DE ALIMENTAÇÃO PARA SPRINKLER - FORNECIMENTO E INSTALAÇÃO. AF_12/2015</v>
          </cell>
          <cell r="C4361" t="str">
            <v>UN</v>
          </cell>
          <cell r="D4361">
            <v>416.73</v>
          </cell>
        </row>
        <row r="4362">
          <cell r="A4362">
            <v>97537</v>
          </cell>
          <cell r="B4362" t="str">
            <v>LUVA, EM AÇO, CONEXÃO SOLDADA, DN 15 (1/2"), INSTALADO EM RAMAIS E SUB-RAMAIS DE GÁS - FORNECIMENTO E INSTALAÇÃO. AF_12/2015</v>
          </cell>
          <cell r="C4362" t="str">
            <v>UN</v>
          </cell>
          <cell r="D4362">
            <v>15.24</v>
          </cell>
        </row>
        <row r="4363">
          <cell r="A4363">
            <v>97540</v>
          </cell>
          <cell r="B4363" t="str">
            <v>LUVA, EM AÇO, CONEXÃO SOLDADA, DN 20 (3/4"), INSTALADO EM RAMAIS E SUB-RAMAIS DE GÁS - FORNECIMENTO E INSTALAÇÃO. AF_12/2015</v>
          </cell>
          <cell r="C4363" t="str">
            <v>UN</v>
          </cell>
          <cell r="D4363">
            <v>20.9</v>
          </cell>
        </row>
        <row r="4364">
          <cell r="A4364">
            <v>97541</v>
          </cell>
          <cell r="B4364" t="str">
            <v>LUVA COM REDUÇÃO, EM AÇO, CONEXÃO SOLDADA, DN 20 X 15 MM (3/4 " X 1/2"), INSTALADO EM RAMAIS E SUB-RAMAIS DE GÁS - FORNECIMENTO E INSTALAÇÃO. AF_12/2015</v>
          </cell>
          <cell r="C4364" t="str">
            <v>UN</v>
          </cell>
          <cell r="D4364">
            <v>18.079999999999998</v>
          </cell>
        </row>
        <row r="4365">
          <cell r="A4365">
            <v>97543</v>
          </cell>
          <cell r="B4365" t="str">
            <v>LUVA, EM AÇO, CONEXÃO SOLDADA, DN 25 (1"), INSTALADO EM RAMAIS E SUB-RAMAIS DE GÁS - FORNECIMENTO E INSTALAÇÃO. AF_12/2015</v>
          </cell>
          <cell r="C4365" t="str">
            <v>UN</v>
          </cell>
          <cell r="D4365">
            <v>34.57</v>
          </cell>
        </row>
        <row r="4366">
          <cell r="A4366">
            <v>97544</v>
          </cell>
          <cell r="B4366" t="str">
            <v>LUVA COM REDUÇÃO, EM AÇO, CONEXÃO SOLDADA, DN 25 X 20 MM (1" X 3/4"), INSTALADO EM RAMAIS E SUB-RAMAIS DE GÁS - FORNECIMENTO E INSTALAÇÃO. AF_12/2015</v>
          </cell>
          <cell r="C4366" t="str">
            <v>UN</v>
          </cell>
          <cell r="D4366">
            <v>31.18</v>
          </cell>
        </row>
        <row r="4367">
          <cell r="A4367">
            <v>97546</v>
          </cell>
          <cell r="B4367" t="str">
            <v>CURVA 45 GRAUS, EM AÇO, CONEXÃO SOLDADA, DN 15 (1/2"), INSTALADO EM RAMAIS E SUB-RAMAIS DE GÁS - FORNECIMENTO E INSTALAÇÃO. AF_12/2015</v>
          </cell>
          <cell r="C4367" t="str">
            <v>UN</v>
          </cell>
          <cell r="D4367">
            <v>21.47</v>
          </cell>
        </row>
        <row r="4368">
          <cell r="A4368">
            <v>97547</v>
          </cell>
          <cell r="B4368" t="str">
            <v>CURVA 90 GRAUS, EM AÇO, CONEXÃO SOLDADA, DN 15 (1/2"), INSTALADO EM RAMAIS E SUB-RAMAIS DE GÁS - FORNECIMENTO E INSTALAÇÃO. AF_12/2015</v>
          </cell>
          <cell r="C4368" t="str">
            <v>UN</v>
          </cell>
          <cell r="D4368">
            <v>21.47</v>
          </cell>
        </row>
        <row r="4369">
          <cell r="A4369">
            <v>97548</v>
          </cell>
          <cell r="B4369" t="str">
            <v>CURVA 45 GRAUS, EM AÇO, CONEXÃO SOLDADA, DN 20 (3/4"), INSTALADO EM RAMAIS E SUB-RAMAIS DE GÁS - FORNECIMENTO E INSTALAÇÃO. AF_12/2015</v>
          </cell>
          <cell r="C4369" t="str">
            <v>UN</v>
          </cell>
          <cell r="D4369">
            <v>32.21</v>
          </cell>
        </row>
        <row r="4370">
          <cell r="A4370">
            <v>97549</v>
          </cell>
          <cell r="B4370" t="str">
            <v>CURVA 90 GRAUS, EM AÇO, CONEXÃO SOLDADA, DN 20 (3/4"), INSTALADO EM RAMAIS E SUB-RAMAIS DE GÁS - FORNECIMENTO E INSTALAÇÃO. AF_12/2015</v>
          </cell>
          <cell r="C4370" t="str">
            <v>UN</v>
          </cell>
          <cell r="D4370">
            <v>32.21</v>
          </cell>
        </row>
        <row r="4371">
          <cell r="A4371">
            <v>97550</v>
          </cell>
          <cell r="B4371" t="str">
            <v>CURVA 45 GRAUS, EM AÇO, CONEXÃO SOLDADA, DN 25 (1"), INSTALADO EM RAMAIS E SUB-RAMAIS DE GÁS - FORNECIMENTO E INSTALAÇÃO. AF_12/2015</v>
          </cell>
          <cell r="C4371" t="str">
            <v>UN</v>
          </cell>
          <cell r="D4371">
            <v>54.27</v>
          </cell>
        </row>
        <row r="4372">
          <cell r="A4372">
            <v>97551</v>
          </cell>
          <cell r="B4372" t="str">
            <v>CURVA 90 GRAUS, EM AÇO, CONEXÃO SOLDADA, DN 25 (1"), INSTALADO EM RAMAIS E SUB-RAMAIS DE GÁS - FORNECIMENTO E INSTALAÇÃO. AF_12/2015</v>
          </cell>
          <cell r="C4372" t="str">
            <v>UN</v>
          </cell>
          <cell r="D4372">
            <v>54.27</v>
          </cell>
        </row>
        <row r="4373">
          <cell r="A4373">
            <v>97552</v>
          </cell>
          <cell r="B4373" t="str">
            <v>TÊ, EM AÇO, CONEXÃO SOLDADA, DN 15 (1/2"), INSTALADO EM RAMAIS E SUB-RAMAIS DE GÁS - FORNECIMENTO E INSTALAÇÃO. AF_12/2015</v>
          </cell>
          <cell r="C4373" t="str">
            <v>UN</v>
          </cell>
          <cell r="D4373">
            <v>31.07</v>
          </cell>
        </row>
        <row r="4374">
          <cell r="A4374">
            <v>97553</v>
          </cell>
          <cell r="B4374" t="str">
            <v>TÊ, EM AÇO, CONEXÃO SOLDADA, DN 20 (3/4"), INSTALADO EM RAMAIS E SUB-RAMAIS DE GÁS - FORNECIMENTO E INSTALAÇÃO. AF_12/2015</v>
          </cell>
          <cell r="C4374" t="str">
            <v>UN</v>
          </cell>
          <cell r="D4374">
            <v>45.38</v>
          </cell>
        </row>
        <row r="4375">
          <cell r="A4375">
            <v>97554</v>
          </cell>
          <cell r="B4375" t="str">
            <v>TÊ, EM AÇO, CONEXÃO SOLDADA, DN 25 (1"), INSTALADO EM RAMAIS E SUB-RAMAIS DE GÁS - FORNECIMENTO E INSTALAÇÃO. AF_12/2015</v>
          </cell>
          <cell r="C4375" t="str">
            <v>UN</v>
          </cell>
          <cell r="D4375">
            <v>79.42</v>
          </cell>
        </row>
        <row r="4376">
          <cell r="A4376">
            <v>98602</v>
          </cell>
          <cell r="B4376" t="str">
            <v>CONECTOR EM BRONZE/LATÃO, DN 22 MM X 1/2", SEM ANEL DE SOLDA, BOLSA X ROSCA F, INSTALADO EM PRUMADA  FORNECIMENTO E INSTALAÇÃO. AF_01/2016</v>
          </cell>
          <cell r="C4376" t="str">
            <v>UN</v>
          </cell>
          <cell r="D4376">
            <v>12.91</v>
          </cell>
        </row>
        <row r="4377">
          <cell r="A4377">
            <v>6171</v>
          </cell>
          <cell r="B4377" t="str">
            <v>TAMPA DE CONCRETO ARMADO 60X60X5CM PARA CAIXA</v>
          </cell>
          <cell r="C4377" t="str">
            <v>UN</v>
          </cell>
          <cell r="D4377">
            <v>24.67</v>
          </cell>
        </row>
        <row r="4378">
          <cell r="A4378">
            <v>88503</v>
          </cell>
          <cell r="B4378" t="str">
            <v>CAIXA D´ÁGUA EM POLIETILENO, 1000 LITROS, COM ACESSÓRIOS</v>
          </cell>
          <cell r="C4378" t="str">
            <v>UN</v>
          </cell>
          <cell r="D4378">
            <v>677.78</v>
          </cell>
        </row>
        <row r="4379">
          <cell r="A4379">
            <v>88504</v>
          </cell>
          <cell r="B4379" t="str">
            <v>CAIXA D´AGUA EM POLIETILENO, 500 LITROS, COM ACESSÓRIOS</v>
          </cell>
          <cell r="C4379" t="str">
            <v>UN</v>
          </cell>
          <cell r="D4379">
            <v>552.15</v>
          </cell>
        </row>
        <row r="4380">
          <cell r="A4380">
            <v>97900</v>
          </cell>
          <cell r="B4380" t="str">
            <v>CAIXA ENTERRADA HIDRÁULICA RETANGULAR EM ALVENARIA COM TIJOLOS CERÂMICOS MACIÇOS, DIMENSÕES INTERNAS: 0,3X0,3X0,3 M PARA REDE DE ESGOTO. AF_05/2018</v>
          </cell>
          <cell r="C4380" t="str">
            <v>UN</v>
          </cell>
          <cell r="D4380">
            <v>146.75</v>
          </cell>
        </row>
        <row r="4381">
          <cell r="A4381">
            <v>97901</v>
          </cell>
          <cell r="B4381" t="str">
            <v>CAIXA ENTERRADA HIDRÁULICA RETANGULAR EM ALVENARIA COM TIJOLOS CERÂMICOS MACIÇOS, DIMENSÕES INTERNAS: 0,4X0,4X0,4 M PARA REDE DE ESGOTO. AF_05/2018</v>
          </cell>
          <cell r="C4381" t="str">
            <v>UN</v>
          </cell>
          <cell r="D4381">
            <v>233.45</v>
          </cell>
        </row>
        <row r="4382">
          <cell r="A4382">
            <v>97902</v>
          </cell>
          <cell r="B4382" t="str">
            <v>CAIXA ENTERRADA HIDRÁULICA RETANGULAR EM ALVENARIA COM TIJOLOS CERÂMICOS MACIÇOS, DIMENSÕES INTERNAS: 0,6X0,6X0,6 M PARA REDE DE ESGOTO. AF_05/2018</v>
          </cell>
          <cell r="C4382" t="str">
            <v>UN</v>
          </cell>
          <cell r="D4382">
            <v>462.11</v>
          </cell>
        </row>
        <row r="4383">
          <cell r="A4383">
            <v>97903</v>
          </cell>
          <cell r="B4383" t="str">
            <v>CAIXA ENTERRADA HIDRÁULICA RETANGULAR EM ALVENARIA COM TIJOLOS CERÂMICOS MACIÇOS, DIMENSÕES INTERNAS: 0,8X0,8X0,6 M PARA REDE DE ESGOTO. AF_05/2018</v>
          </cell>
          <cell r="C4383" t="str">
            <v>UN</v>
          </cell>
          <cell r="D4383">
            <v>635.12</v>
          </cell>
        </row>
        <row r="4384">
          <cell r="A4384">
            <v>97904</v>
          </cell>
          <cell r="B4384" t="str">
            <v>CAIXA ENTERRADA HIDRÁULICA RETANGULAR EM ALVENARIA COM TIJOLOS CERÂMICOS MACIÇOS, DIMENSÕES INTERNAS: 1X1X0,6 M PARA REDE DE ESGOTO. AF_05/2018</v>
          </cell>
          <cell r="C4384" t="str">
            <v>UN</v>
          </cell>
          <cell r="D4384">
            <v>749.48</v>
          </cell>
        </row>
        <row r="4385">
          <cell r="A4385">
            <v>97905</v>
          </cell>
          <cell r="B4385" t="str">
            <v>CAIXA ENTERRADA HIDRÁULICA RETANGULAR, EM ALVENARIA COM BLOCOS DE CONCRETO, DIMENSÕES INTERNAS: 0,4X0,4X0,4 M PARA REDE DE ESGOTO. AF_05/2018</v>
          </cell>
          <cell r="C4385" t="str">
            <v>UN</v>
          </cell>
          <cell r="D4385">
            <v>179.68</v>
          </cell>
        </row>
        <row r="4386">
          <cell r="A4386">
            <v>97906</v>
          </cell>
          <cell r="B4386" t="str">
            <v>CAIXA ENTERRADA HIDRÁULICA RETANGULAR, EM ALVENARIA COM BLOCOS DE CONCRETO, DIMENSÕES INTERNAS: 0,6X0,6X0,6 M PARA REDE DE ESGOTO. AF_05/2018</v>
          </cell>
          <cell r="C4386" t="str">
            <v>UN</v>
          </cell>
          <cell r="D4386">
            <v>335.46</v>
          </cell>
        </row>
        <row r="4387">
          <cell r="A4387">
            <v>97907</v>
          </cell>
          <cell r="B4387" t="str">
            <v>CAIXA ENTERRADA HIDRÁULICA RETANGULAR, EM ALVENARIA COM BLOCOS DE CONCRETO, DIMENSÕES INTERNAS: 0,8X0,8X0,6 M PARA REDE DE ESGOTO. AF_05/2018</v>
          </cell>
          <cell r="C4387" t="str">
            <v>UN</v>
          </cell>
          <cell r="D4387">
            <v>473.5</v>
          </cell>
        </row>
        <row r="4388">
          <cell r="A4388">
            <v>97908</v>
          </cell>
          <cell r="B4388" t="str">
            <v>CAIXA ENTERRADA HIDRÁULICA RETANGULAR, EM ALVENARIA COM BLOCOS DE CONCRETO, DIMENSÕES INTERNAS: 1X1X0,6 M PARA REDE DE ESGOTO. AF_05/2018</v>
          </cell>
          <cell r="C4388" t="str">
            <v>UN</v>
          </cell>
          <cell r="D4388">
            <v>558.24</v>
          </cell>
        </row>
        <row r="4389">
          <cell r="A4389">
            <v>98102</v>
          </cell>
          <cell r="B4389" t="str">
            <v>CAIXA DE GORDURA SIMPLES, CIRCULAR, EM CONCRETO PRÉ-MOLDADO, DIÂMETRO INTERNO = 0,4 M, ALTURA INTERNA = 0,4 M. AF_05/2018</v>
          </cell>
          <cell r="C4389" t="str">
            <v>UN</v>
          </cell>
          <cell r="D4389">
            <v>95.36</v>
          </cell>
        </row>
        <row r="4390">
          <cell r="A4390">
            <v>98104</v>
          </cell>
          <cell r="B4390" t="str">
            <v>CAIXA DE GORDURA SIMPLES (CAPACIDADE: 36L), RETANGULAR, EM ALVENARIA COM TIJOLOS CERÂMICOS MACIÇOS, DIMENSÕES INTERNAS = 0,2X0,4 M, ALTURA INTERNA = 0,8 M. AF_05/2018</v>
          </cell>
          <cell r="C4390" t="str">
            <v>UN</v>
          </cell>
          <cell r="D4390">
            <v>314.25</v>
          </cell>
        </row>
        <row r="4391">
          <cell r="A4391">
            <v>98105</v>
          </cell>
          <cell r="B4391" t="str">
            <v>CAIXA DE GORDURA DUPLA (CAPACIDADE: 126 L), RETANGULAR, EM ALVENARIA COM TIJOLOS CERÂMICOS MACIÇOS, DIMENSÕES INTERNAS = 0,4X0,7 M, ALTURA INTERNA = 0,8 M. AF_05/2018</v>
          </cell>
          <cell r="C4391" t="str">
            <v>UN</v>
          </cell>
          <cell r="D4391">
            <v>541.67999999999995</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v>898.17</v>
          </cell>
        </row>
        <row r="4393">
          <cell r="A4393">
            <v>98107</v>
          </cell>
          <cell r="B4393" t="str">
            <v>CAIXA DE GORDURA SIMPLES (CAPACIDADE: 36 L), RETANGULAR, EM ALVENARIA COM BLOCOS DE CONCRETO, DIMENSÕES INTERNAS = 0,2X0,4 M, ALTURA INTERNA = 0,8 M. AF_05/2018</v>
          </cell>
          <cell r="C4393" t="str">
            <v>UN</v>
          </cell>
          <cell r="D4393">
            <v>215.69</v>
          </cell>
        </row>
        <row r="4394">
          <cell r="A4394">
            <v>98108</v>
          </cell>
          <cell r="B4394" t="str">
            <v>CAIXA DE GORDURA DUPLA (CAPACIDADE: 126 L), RETANGULAR, EM ALVENARIA COM BLOCOS DE CONCRETO, DIMENSÕES INTERNAS = 0,4X0,7 M, ALTURA INTERNA = 0,8 M. AF_05/2018</v>
          </cell>
          <cell r="C4394" t="str">
            <v>UN</v>
          </cell>
          <cell r="D4394">
            <v>382.81</v>
          </cell>
        </row>
        <row r="4395">
          <cell r="A4395">
            <v>99250</v>
          </cell>
          <cell r="B4395" t="str">
            <v>CAIXA ENTERRADA HIDRÁULICA RETANGULAR EM ALVENARIA COM TIJOLOS CERÂMICOS MACIÇOS, DIMENSÕES INTERNAS: 0,3X0,3X0,3 M PARA REDE DE DRENAGEM. AF_05/2018</v>
          </cell>
          <cell r="C4395" t="str">
            <v>UN</v>
          </cell>
          <cell r="D4395">
            <v>143.61000000000001</v>
          </cell>
        </row>
        <row r="4396">
          <cell r="A4396">
            <v>99251</v>
          </cell>
          <cell r="B4396" t="str">
            <v>CAIXA ENTERRADA HIDRÁULICA RETANGULAR EM ALVENARIA COM TIJOLOS CERÂMICOS MACIÇOS, DIMENSÕES INTERNAS: 0,4X0,4X0,4 M PARA REDE DE DRENAGEM. AF_05/2018</v>
          </cell>
          <cell r="C4396" t="str">
            <v>UN</v>
          </cell>
          <cell r="D4396">
            <v>228.06</v>
          </cell>
        </row>
        <row r="4397">
          <cell r="A4397">
            <v>99253</v>
          </cell>
          <cell r="B4397" t="str">
            <v>CAIXA ENTERRADA HIDRÁULICA RETANGULAR EM ALVENARIA COM TIJOLOS CERÂMICOS MACIÇOS, DIMENSÕES INTERNAS: 0,6X0,6X0,6 M PARA REDE DE DRENAGEM. AF_05/2018</v>
          </cell>
          <cell r="C4397" t="str">
            <v>UN</v>
          </cell>
          <cell r="D4397">
            <v>450.02</v>
          </cell>
        </row>
        <row r="4398">
          <cell r="A4398">
            <v>99255</v>
          </cell>
          <cell r="B4398" t="str">
            <v>CAIXA ENTERRADA HIDRÁULICA RETANGULAR EM ALVENARIA COM TIJOLOS CERÂMICOS MACIÇOS, DIMENSÕES INTERNAS: 0,8X0,8X0,6 M PARA REDE DE DRENAGEM. AF_05/2018</v>
          </cell>
          <cell r="C4398" t="str">
            <v>UN</v>
          </cell>
          <cell r="D4398">
            <v>618.54</v>
          </cell>
        </row>
        <row r="4399">
          <cell r="A4399">
            <v>99257</v>
          </cell>
          <cell r="B4399" t="str">
            <v>CAIXA ENTERRADA HIDRÁULICA RETANGULAR EM ALVENARIA COM TIJOLOS CERÂMICOS MACIÇOS, DIMENSÕES INTERNAS: 1X1X0,6 M PARA REDE DE DRENAGEM. AF_05/2018</v>
          </cell>
          <cell r="C4399" t="str">
            <v>UN</v>
          </cell>
          <cell r="D4399">
            <v>728.03</v>
          </cell>
        </row>
        <row r="4400">
          <cell r="A4400">
            <v>99258</v>
          </cell>
          <cell r="B4400" t="str">
            <v>CAIXA ENTERRADA HIDRÁULICA RETANGULAR, EM ALVENARIA COM BLOCOS DE CONCRETO, DIMENSÕES INTERNAS: 0,4X0,4X0,4 M PARA REDE DE DRENAGEM. AF_05/2018</v>
          </cell>
          <cell r="C4400" t="str">
            <v>UN</v>
          </cell>
          <cell r="D4400">
            <v>175.23</v>
          </cell>
        </row>
        <row r="4401">
          <cell r="A4401">
            <v>99260</v>
          </cell>
          <cell r="B4401" t="str">
            <v>CAIXA ENTERRADA HIDRÁULICA RETANGULAR, EM ALVENARIA COM BLOCOS DE CONCRETO, DIMENSÕES INTERNAS: 0,6X0,6X0,6 M PARA REDE DE DRENAGEM. AF_05/2018</v>
          </cell>
          <cell r="C4401" t="str">
            <v>UN</v>
          </cell>
          <cell r="D4401">
            <v>327.84</v>
          </cell>
        </row>
        <row r="4402">
          <cell r="A4402">
            <v>99262</v>
          </cell>
          <cell r="B4402" t="str">
            <v>CAIXA ENTERRADA HIDRÁULICA RETANGULAR, EM ALVENARIA COM BLOCOS DE CONCRETO, DIMENSÕES INTERNAS: 0,8X0,8X0,6 M PARA REDE DE DRENAGEM. AF_05/2018</v>
          </cell>
          <cell r="C4402" t="str">
            <v>UN</v>
          </cell>
          <cell r="D4402">
            <v>462.63</v>
          </cell>
        </row>
        <row r="4403">
          <cell r="A4403">
            <v>99264</v>
          </cell>
          <cell r="B4403" t="str">
            <v>CAIXA ENTERRADA HIDRÁULICA RETANGULAR, EM ALVENARIA COM BLOCOS DE CONCRETO, DIMENSÕES INTERNAS: 1X1X0,6 M PARA REDE DE DRENAGEM. AF_05/2018</v>
          </cell>
          <cell r="C4403" t="str">
            <v>UN</v>
          </cell>
          <cell r="D4403">
            <v>543.54999999999995</v>
          </cell>
        </row>
        <row r="4404">
          <cell r="A4404">
            <v>89482</v>
          </cell>
          <cell r="B4404" t="str">
            <v>CAIXA SIFONADA, PVC, DN 100 X 100 X 50 MM, FORNECIDA E INSTALADA EM RAMAIS DE ENCAMINHAMENTO DE ÁGUA PLUVIAL. AF_12/2014</v>
          </cell>
          <cell r="C4404" t="str">
            <v>UN</v>
          </cell>
          <cell r="D4404">
            <v>21.5</v>
          </cell>
        </row>
        <row r="4405">
          <cell r="A4405">
            <v>89491</v>
          </cell>
          <cell r="B4405" t="str">
            <v>CAIXA SIFONADA, PVC, DN 150 X 185 X 75 MM, FORNECIDA E INSTALADA EM RAMAIS DE ENCAMINHAMENTO DE ÁGUA PLUVIAL. AF_12/2014</v>
          </cell>
          <cell r="C4405" t="str">
            <v>UN</v>
          </cell>
          <cell r="D4405">
            <v>50.69</v>
          </cell>
        </row>
        <row r="4406">
          <cell r="A4406">
            <v>89495</v>
          </cell>
          <cell r="B4406" t="str">
            <v>RALO SIFONADO, PVC, DN 100 X 40 MM, JUNTA SOLDÁVEL, FORNECIDO E INSTALADO EM RAMAIS DE ENCAMINHAMENTO DE ÁGUA PLUVIAL. AF_12/2014</v>
          </cell>
          <cell r="C4406" t="str">
            <v>UN</v>
          </cell>
          <cell r="D4406">
            <v>8.14</v>
          </cell>
        </row>
        <row r="4407">
          <cell r="A4407">
            <v>89707</v>
          </cell>
          <cell r="B4407" t="str">
            <v>CAIXA SIFONADA, PVC, DN 100 X 100 X 50 MM, JUNTA ELÁSTICA, FORNECIDA E INSTALADA EM RAMAL DE DESCARGA OU EM RAMAL DE ESGOTO SANITÁRIO. AF_12/2014</v>
          </cell>
          <cell r="C4407" t="str">
            <v>UN</v>
          </cell>
          <cell r="D4407">
            <v>25.81</v>
          </cell>
        </row>
        <row r="4408">
          <cell r="A4408">
            <v>89708</v>
          </cell>
          <cell r="B4408" t="str">
            <v>CAIXA SIFONADA, PVC, DN 150 X 185 X 75 MM, JUNTA ELÁSTICA, FORNECIDA E INSTALADA EM RAMAL DE DESCARGA OU EM RAMAL DE ESGOTO SANITÁRIO. AF_12/2014</v>
          </cell>
          <cell r="C4408" t="str">
            <v>UN</v>
          </cell>
          <cell r="D4408">
            <v>56.36</v>
          </cell>
        </row>
        <row r="4409">
          <cell r="A4409">
            <v>89709</v>
          </cell>
          <cell r="B4409" t="str">
            <v>RALO SIFONADO, PVC, DN 100 X 40 MM, JUNTA SOLDÁVEL, FORNECIDO E INSTALADO EM RAMAL DE DESCARGA OU EM RAMAL DE ESGOTO SANITÁRIO. AF_12/2014</v>
          </cell>
          <cell r="C4409" t="str">
            <v>UN</v>
          </cell>
          <cell r="D4409">
            <v>9.39</v>
          </cell>
        </row>
        <row r="4410">
          <cell r="A4410">
            <v>89710</v>
          </cell>
          <cell r="B4410" t="str">
            <v>RALO SECO, PVC, DN 100 X 40 MM, JUNTA SOLDÁVEL, FORNECIDO E INSTALADO EM RAMAL DE DESCARGA OU EM RAMAL DE ESGOTO SANITÁRIO. AF_12/2014</v>
          </cell>
          <cell r="C4410" t="str">
            <v>UN</v>
          </cell>
          <cell r="D4410">
            <v>9.2100000000000009</v>
          </cell>
        </row>
        <row r="4411">
          <cell r="A4411">
            <v>86872</v>
          </cell>
          <cell r="B4411" t="str">
            <v>TANQUE DE LOUÇA BRANCA COM COLUNA, 30L OU EQUIVALENTE - FORNECIMENTO E INSTALAÇÃO. AF_01/2020</v>
          </cell>
          <cell r="C4411" t="str">
            <v>UN</v>
          </cell>
          <cell r="D4411">
            <v>601.29</v>
          </cell>
        </row>
        <row r="4412">
          <cell r="A4412">
            <v>86874</v>
          </cell>
          <cell r="B4412" t="str">
            <v>TANQUE DE LOUÇA BRANCA SUSPENSO, 18L OU EQUIVALENTE - FORNECIMENTO E INSTALAÇÃO. AF_01/2020</v>
          </cell>
          <cell r="C4412" t="str">
            <v>UN</v>
          </cell>
          <cell r="D4412">
            <v>368.78</v>
          </cell>
        </row>
        <row r="4413">
          <cell r="A4413">
            <v>86875</v>
          </cell>
          <cell r="B4413" t="str">
            <v>TANQUE DE MÁRMORE SINTÉTICO COM COLUNA, 22L OU EQUIVALENTE   FORNECIMENTO E INSTALAÇÃO. AF_01/2020</v>
          </cell>
          <cell r="C4413" t="str">
            <v>UN</v>
          </cell>
          <cell r="D4413">
            <v>331.73</v>
          </cell>
        </row>
        <row r="4414">
          <cell r="A4414">
            <v>86876</v>
          </cell>
          <cell r="B4414" t="str">
            <v>TANQUE DE MÁRMORE SINTÉTICO SUSPENSO, 22L OU EQUIVALENTE - FORNECIMENTO E INSTALAÇÃO. AF_01/2020</v>
          </cell>
          <cell r="C4414" t="str">
            <v>UN</v>
          </cell>
          <cell r="D4414">
            <v>191.25</v>
          </cell>
        </row>
        <row r="4415">
          <cell r="A4415">
            <v>86877</v>
          </cell>
          <cell r="B4415" t="str">
            <v>VÁLVULA EM METAL CROMADO 1.1/2 X 1.1/2 PARA TANQUE OU LAVATÓRIO, COM OU SEM LADRÃO - FORNECIMENTO E INSTALAÇÃO. AF_01/2020</v>
          </cell>
          <cell r="C4415" t="str">
            <v>UN</v>
          </cell>
          <cell r="D4415">
            <v>26.22</v>
          </cell>
        </row>
        <row r="4416">
          <cell r="A4416">
            <v>86878</v>
          </cell>
          <cell r="B4416" t="str">
            <v>VÁLVULA EM METAL CROMADO TIPO AMERICANA 3.1/2 X 1.1/2 PARA PIA - FORNECIMENTO E INSTALAÇÃO. AF_01/2020</v>
          </cell>
          <cell r="C4416" t="str">
            <v>UN</v>
          </cell>
          <cell r="D4416">
            <v>55.54</v>
          </cell>
        </row>
        <row r="4417">
          <cell r="A4417">
            <v>86879</v>
          </cell>
          <cell r="B4417" t="str">
            <v>VÁLVULA EM PLÁSTICO 1 PARA PIA, TANQUE OU LAVATÓRIO, COM OU SEM LADRÃO - FORNECIMENTO E INSTALAÇÃO. AF_01/2020</v>
          </cell>
          <cell r="C4417" t="str">
            <v>UN</v>
          </cell>
          <cell r="D4417">
            <v>6.08</v>
          </cell>
        </row>
        <row r="4418">
          <cell r="A4418">
            <v>86880</v>
          </cell>
          <cell r="B4418" t="str">
            <v>VÁLVULA EM PLÁSTICO CROMADO TIPO AMERICANA 3.1/2 X 1.1/2 SEM ADAPTADOR PARA PIA - FORNECIMENTO E INSTALAÇÃO. AF_01/2020</v>
          </cell>
          <cell r="C4418" t="str">
            <v>UN</v>
          </cell>
          <cell r="D4418">
            <v>17.47</v>
          </cell>
        </row>
        <row r="4419">
          <cell r="A4419">
            <v>86881</v>
          </cell>
          <cell r="B4419" t="str">
            <v>SIFÃO DO TIPO GARRAFA EM METAL CROMADO 1 X 1.1/2 - FORNECIMENTO E INSTALAÇÃO. AF_01/2020</v>
          </cell>
          <cell r="C4419" t="str">
            <v>UN</v>
          </cell>
          <cell r="D4419">
            <v>156.33000000000001</v>
          </cell>
        </row>
        <row r="4420">
          <cell r="A4420">
            <v>86882</v>
          </cell>
          <cell r="B4420" t="str">
            <v>SIFÃO DO TIPO GARRAFA/COPO EM PVC 1.1/4  X 1.1/2 - FORNECIMENTO E INSTALAÇÃO. AF_01/2020</v>
          </cell>
          <cell r="C4420" t="str">
            <v>UN</v>
          </cell>
          <cell r="D4420">
            <v>17.89</v>
          </cell>
        </row>
        <row r="4421">
          <cell r="A4421">
            <v>86883</v>
          </cell>
          <cell r="B4421" t="str">
            <v>SIFÃO DO TIPO FLEXÍVEL EM PVC 1  X 1.1/2  - FORNECIMENTO E INSTALAÇÃO. AF_01/2020</v>
          </cell>
          <cell r="C4421" t="str">
            <v>UN</v>
          </cell>
          <cell r="D4421">
            <v>10.24</v>
          </cell>
        </row>
        <row r="4422">
          <cell r="A4422">
            <v>86884</v>
          </cell>
          <cell r="B4422" t="str">
            <v>ENGATE FLEXÍVEL EM PLÁSTICO BRANCO, 1/2 X 30CM - FORNECIMENTO E INSTALAÇÃO. AF_01/2020</v>
          </cell>
          <cell r="C4422" t="str">
            <v>UN</v>
          </cell>
          <cell r="D4422">
            <v>7.47</v>
          </cell>
        </row>
        <row r="4423">
          <cell r="A4423">
            <v>86885</v>
          </cell>
          <cell r="B4423" t="str">
            <v>ENGATE FLEXÍVEL EM PLÁSTICO BRANCO, 1/2 X 40CM - FORNECIMENTO E INSTALAÇÃO. AF_01/2020</v>
          </cell>
          <cell r="C4423" t="str">
            <v>UN</v>
          </cell>
          <cell r="D4423">
            <v>9.89</v>
          </cell>
        </row>
        <row r="4424">
          <cell r="A4424">
            <v>86886</v>
          </cell>
          <cell r="B4424" t="str">
            <v>ENGATE FLEXÍVEL EM INOX, 1/2  X 30CM - FORNECIMENTO E INSTALAÇÃO. AF_01/2020</v>
          </cell>
          <cell r="C4424" t="str">
            <v>UN</v>
          </cell>
          <cell r="D4424">
            <v>38.119999999999997</v>
          </cell>
        </row>
        <row r="4425">
          <cell r="A4425">
            <v>86887</v>
          </cell>
          <cell r="B4425" t="str">
            <v>ENGATE FLEXÍVEL EM INOX, 1/2  X 40CM - FORNECIMENTO E INSTALAÇÃO. AF_01/2020</v>
          </cell>
          <cell r="C4425" t="str">
            <v>UN</v>
          </cell>
          <cell r="D4425">
            <v>41.36</v>
          </cell>
        </row>
        <row r="4426">
          <cell r="A4426">
            <v>86888</v>
          </cell>
          <cell r="B4426" t="str">
            <v>VASO SANITÁRIO SIFONADO COM CAIXA ACOPLADA LOUÇA BRANCA - FORNECIMENTO E INSTALAÇÃO. AF_01/2020</v>
          </cell>
          <cell r="C4426" t="str">
            <v>UN</v>
          </cell>
          <cell r="D4426">
            <v>355.57</v>
          </cell>
        </row>
        <row r="4427">
          <cell r="A4427">
            <v>86889</v>
          </cell>
          <cell r="B4427" t="str">
            <v>BANCADA DE GRANITO CINZA POLIDO, DE 1,50 X 0,60 M, PARA PIA DE COZINHA - FORNECIMENTO E INSTALAÇÃO. AF_01/2020</v>
          </cell>
          <cell r="C4427" t="str">
            <v>UN</v>
          </cell>
          <cell r="D4427">
            <v>639.77</v>
          </cell>
        </row>
        <row r="4428">
          <cell r="A4428">
            <v>86893</v>
          </cell>
          <cell r="B4428" t="str">
            <v>BANCADA DE MÁRMORE BRANCO POLIDO, DE 1,50 X 0,60 M, PARA PIA DE COZINHA - FORNECIMENTO E INSTALAÇÃO. AF_01/2020</v>
          </cell>
          <cell r="C4428" t="str">
            <v>UN</v>
          </cell>
          <cell r="D4428">
            <v>485.33</v>
          </cell>
        </row>
        <row r="4429">
          <cell r="A4429">
            <v>86894</v>
          </cell>
          <cell r="B4429" t="str">
            <v>BANCADA DE MÁRMORE SINTÉTICO, DE 120 X 60CM, COM CUBA INTEGRADA - FORNECIMENTO E INSTALAÇÃO. AF_01/2020</v>
          </cell>
          <cell r="C4429" t="str">
            <v>UN</v>
          </cell>
          <cell r="D4429">
            <v>187.14</v>
          </cell>
        </row>
        <row r="4430">
          <cell r="A4430">
            <v>86895</v>
          </cell>
          <cell r="B4430" t="str">
            <v>BANCADA DE GRANITO CINZA POLIDO, DE 0,50 X 0,60 M, PARA LAVATÓRIO - FORNECIMENTO E INSTALAÇÃO. AF_01/2020</v>
          </cell>
          <cell r="C4430" t="str">
            <v>UN</v>
          </cell>
          <cell r="D4430">
            <v>297.48</v>
          </cell>
        </row>
        <row r="4431">
          <cell r="A4431">
            <v>86899</v>
          </cell>
          <cell r="B4431" t="str">
            <v>BANCADA DE MÁRMORE BRANCO POLIDO, DE 0,50 X 0,60 M, PARA LAVATÓRIO - FORNECIMENTO E INSTALAÇÃO. AF_01/2020</v>
          </cell>
          <cell r="C4431" t="str">
            <v>UN</v>
          </cell>
          <cell r="D4431">
            <v>239.55</v>
          </cell>
        </row>
        <row r="4432">
          <cell r="A4432">
            <v>86900</v>
          </cell>
          <cell r="B4432" t="str">
            <v>CUBA DE EMBUTIR RETANGULAR DE AÇO INOXIDÁVEL, 46 X 30 X 12 CM - FORNECIMENTO E INSTALAÇÃO. AF_01/2020</v>
          </cell>
          <cell r="C4432" t="str">
            <v>UN</v>
          </cell>
          <cell r="D4432">
            <v>155.74</v>
          </cell>
        </row>
        <row r="4433">
          <cell r="A4433">
            <v>86901</v>
          </cell>
          <cell r="B4433" t="str">
            <v>CUBA DE EMBUTIR OVAL EM LOUÇA BRANCA, 35 X 50CM OU EQUIVALENTE - FORNECIMENTO E INSTALAÇÃO. AF_01/2020</v>
          </cell>
          <cell r="C4433" t="str">
            <v>UN</v>
          </cell>
          <cell r="D4433">
            <v>111.21</v>
          </cell>
        </row>
        <row r="4434">
          <cell r="A4434">
            <v>86902</v>
          </cell>
          <cell r="B4434" t="str">
            <v>LAVATÓRIO LOUÇA BRANCA COM COLUNA, *44 X 35,5* CM, PADRÃO POPULAR - FORNECIMENTO E INSTALAÇÃO. AF_01/2020</v>
          </cell>
          <cell r="C4434" t="str">
            <v>UN</v>
          </cell>
          <cell r="D4434">
            <v>212.9</v>
          </cell>
        </row>
        <row r="4435">
          <cell r="A4435">
            <v>86903</v>
          </cell>
          <cell r="B4435" t="str">
            <v>LAVATÓRIO LOUÇA BRANCA COM COLUNA, 45 X 55CM OU EQUIVALENTE, PADRÃO MÉDIO - FORNECIMENTO E INSTALAÇÃO. AF_01/2020</v>
          </cell>
          <cell r="C4435" t="str">
            <v>UN</v>
          </cell>
          <cell r="D4435">
            <v>278.43</v>
          </cell>
        </row>
        <row r="4436">
          <cell r="A4436">
            <v>86904</v>
          </cell>
          <cell r="B4436" t="str">
            <v>LAVATÓRIO LOUÇA BRANCA SUSPENSO, 29,5 X 39CM OU EQUIVALENTE, PADRÃO POPULAR - FORNECIMENTO E INSTALAÇÃO. AF_01/2020</v>
          </cell>
          <cell r="C4436" t="str">
            <v>UN</v>
          </cell>
          <cell r="D4436">
            <v>107.96</v>
          </cell>
        </row>
        <row r="4437">
          <cell r="A4437">
            <v>86905</v>
          </cell>
          <cell r="B4437" t="str">
            <v>APARELHO MISTURADOR DE MESA PARA LAVATÓRIO, PADRÃO MÉDIO - FORNECIMENTO E INSTALAÇÃO. AF_01/2020</v>
          </cell>
          <cell r="C4437" t="str">
            <v>UN</v>
          </cell>
          <cell r="D4437">
            <v>216.11</v>
          </cell>
        </row>
        <row r="4438">
          <cell r="A4438">
            <v>86906</v>
          </cell>
          <cell r="B4438" t="str">
            <v>TORNEIRA CROMADA DE MESA, 1/2 OU 3/4, PARA LAVATÓRIO, PADRÃO POPULAR - FORNECIMENTO E INSTALAÇÃO. AF_01/2020</v>
          </cell>
          <cell r="C4438" t="str">
            <v>UN</v>
          </cell>
          <cell r="D4438">
            <v>50.46</v>
          </cell>
        </row>
        <row r="4439">
          <cell r="A4439">
            <v>86908</v>
          </cell>
          <cell r="B4439" t="str">
            <v>APARELHO MISTURADOR DE MESA PARA PIA DE COZINHA, PADRÃO MÉDIO - FORNECIMENTO E INSTALAÇÃO. AF_01/2020</v>
          </cell>
          <cell r="C4439" t="str">
            <v>UN</v>
          </cell>
          <cell r="D4439">
            <v>259.33999999999997</v>
          </cell>
        </row>
        <row r="4440">
          <cell r="A4440">
            <v>86909</v>
          </cell>
          <cell r="B4440" t="str">
            <v>TORNEIRA CROMADA TUBO MÓVEL, DE MESA, 1/2 OU 3/4, PARA PIA DE COZINHA, PADRÃO ALTO - FORNECIMENTO E INSTALAÇÃO. AF_01/2020</v>
          </cell>
          <cell r="C4440" t="str">
            <v>UN</v>
          </cell>
          <cell r="D4440">
            <v>100.98</v>
          </cell>
        </row>
        <row r="4441">
          <cell r="A4441">
            <v>86910</v>
          </cell>
          <cell r="B4441" t="str">
            <v>TORNEIRA CROMADA TUBO MÓVEL, DE PAREDE, 1/2 OU 3/4, PARA PIA DE COZINHA, PADRÃO MÉDIO - FORNECIMENTO E INSTALAÇÃO. AF_01/2020</v>
          </cell>
          <cell r="C4441" t="str">
            <v>UN</v>
          </cell>
          <cell r="D4441">
            <v>95.35</v>
          </cell>
        </row>
        <row r="4442">
          <cell r="A4442">
            <v>86911</v>
          </cell>
          <cell r="B4442" t="str">
            <v>TORNEIRA CROMADA LONGA, DE PAREDE, 1/2 OU 3/4, PARA PIA DE COZINHA, PADRÃO POPULAR - FORNECIMENTO E INSTALAÇÃO. AF_01/2020</v>
          </cell>
          <cell r="C4442" t="str">
            <v>UN</v>
          </cell>
          <cell r="D4442">
            <v>42.71</v>
          </cell>
        </row>
        <row r="4443">
          <cell r="A4443">
            <v>86913</v>
          </cell>
          <cell r="B4443" t="str">
            <v>TORNEIRA CROMADA 1/2 OU 3/4 PARA TANQUE, PADRÃO POPULAR - FORNECIMENTO E INSTALAÇÃO. AF_01/2020</v>
          </cell>
          <cell r="C4443" t="str">
            <v>UN</v>
          </cell>
          <cell r="D4443">
            <v>19.05</v>
          </cell>
        </row>
        <row r="4444">
          <cell r="A4444">
            <v>86914</v>
          </cell>
          <cell r="B4444" t="str">
            <v>TORNEIRA CROMADA 1/2 OU 3/4 PARA TANQUE, PADRÃO MÉDIO - FORNECIMENTO E INSTALAÇÃO. AF_01/2020</v>
          </cell>
          <cell r="C4444" t="str">
            <v>UN</v>
          </cell>
          <cell r="D4444">
            <v>38.93</v>
          </cell>
        </row>
        <row r="4445">
          <cell r="A4445">
            <v>86915</v>
          </cell>
          <cell r="B4445" t="str">
            <v>TORNEIRA CROMADA DE MESA, 1/2 OU 3/4, PARA LAVATÓRIO, PADRÃO MÉDIO - FORNECIMENTO E INSTALAÇÃO. AF_01/2020</v>
          </cell>
          <cell r="C4445" t="str">
            <v>UN</v>
          </cell>
          <cell r="D4445">
            <v>85.03</v>
          </cell>
        </row>
        <row r="4446">
          <cell r="A4446">
            <v>86916</v>
          </cell>
          <cell r="B4446" t="str">
            <v>TORNEIRA PLÁSTICA 3/4 PARA TANQUE - FORNECIMENTO E INSTALAÇÃO. AF_01/2020</v>
          </cell>
          <cell r="C4446" t="str">
            <v>UN</v>
          </cell>
          <cell r="D4446">
            <v>30.58</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v>676.68</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v>636.66</v>
          </cell>
        </row>
        <row r="4449">
          <cell r="A4449">
            <v>86921</v>
          </cell>
          <cell r="B4449" t="str">
            <v>TANQUE DE LOUÇA BRANCA COM COLUNA, 30L OU EQUIVALENTE, INCLUSO SIFÃO FLEXÍVEL EM PVC, VÁLVULA PLÁSTICA E TORNEIRA DE PLÁSTICO - FORNECIMENTO E INSTALAÇÃO. AF_01/2020</v>
          </cell>
          <cell r="C4449" t="str">
            <v>UN</v>
          </cell>
          <cell r="D4449">
            <v>648.19000000000005</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v>590.26</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v>411.8</v>
          </cell>
        </row>
        <row r="4452">
          <cell r="A4452">
            <v>86924</v>
          </cell>
          <cell r="B4452" t="str">
            <v>TANQUE DE LOUÇA BRANCA SUSPENSO, 18L OU EQUIVALENTE, INCLUSO SIFÃO TIPO GARRAFA EM PVC, VÁLVULA PLÁSTICA E TORNEIRA DE PLÁSTICO - FORNECIMENTO E INSTALAÇÃO. AF_01/2020</v>
          </cell>
          <cell r="C4452" t="str">
            <v>UN</v>
          </cell>
          <cell r="D4452">
            <v>423.33</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v>367.1</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v>378.63</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v>234.27</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v>245.8</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v>226.62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v>238.15</v>
          </cell>
        </row>
        <row r="4459">
          <cell r="A4459">
            <v>86931</v>
          </cell>
          <cell r="B4459" t="str">
            <v>VASO SANITÁRIO SIFONADO COM CAIXA ACOPLADA LOUÇA BRANCA, INCLUSO ENGATE FLEXÍVEL EM PLÁSTICO BRANCO, 1/2  X 40CM - FORNECIMENTO E INSTALAÇÃO. AF_01/2020</v>
          </cell>
          <cell r="C4459" t="str">
            <v>UN</v>
          </cell>
          <cell r="D4459">
            <v>365.46</v>
          </cell>
        </row>
        <row r="4460">
          <cell r="A4460">
            <v>86932</v>
          </cell>
          <cell r="B4460" t="str">
            <v>VASO SANITÁRIO SIFONADO COM CAIXA ACOPLADA LOUÇA BRANCA - PADRÃO MÉDIO, INCLUSO ENGATE FLEXÍVEL EM METAL CROMADO, 1/2  X 40CM - FORNECIMENTO E INSTALAÇÃO. AF_01/2020</v>
          </cell>
          <cell r="C4460" t="str">
            <v>UN</v>
          </cell>
          <cell r="D4460">
            <v>396.93</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v>265.20999999999998</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v>257.56</v>
          </cell>
        </row>
        <row r="4463">
          <cell r="A4463">
            <v>86935</v>
          </cell>
          <cell r="B4463" t="str">
            <v>CUBA DE EMBUTIR DE AÇO INOXIDÁVEL MÉDIA, INCLUSO VÁLVULA TIPO AMERICANA EM METAL CROMADO E SIFÃO FLEXÍVEL EM PVC - FORNECIMENTO E INSTALAÇÃO. AF_01/2020</v>
          </cell>
          <cell r="C4463" t="str">
            <v>UN</v>
          </cell>
          <cell r="D4463">
            <v>221.52</v>
          </cell>
        </row>
        <row r="4464">
          <cell r="A4464">
            <v>86936</v>
          </cell>
          <cell r="B4464" t="str">
            <v>CUBA DE EMBUTIR DE AÇO INOXIDÁVEL MÉDIA, INCLUSO VÁLVULA TIPO AMERICANA E SIFÃO TIPO GARRAFA EM METAL CROMADO - FORNECIMENTO E INSTALAÇÃO. AF_01/2020</v>
          </cell>
          <cell r="C4464" t="str">
            <v>UN</v>
          </cell>
          <cell r="D4464">
            <v>367.61</v>
          </cell>
        </row>
        <row r="4465">
          <cell r="A4465">
            <v>86937</v>
          </cell>
          <cell r="B4465" t="str">
            <v>CUBA DE EMBUTIR OVAL EM LOUÇA BRANCA, 35 X 50CM OU EQUIVALENTE, INCLUSO VÁLVULA EM METAL CROMADO E SIFÃO FLEXÍVEL EM PVC - FORNECIMENTO E INSTALAÇÃO. AF_01/2020</v>
          </cell>
          <cell r="C4465" t="str">
            <v>UN</v>
          </cell>
          <cell r="D4465">
            <v>147.66999999999999</v>
          </cell>
        </row>
        <row r="4466">
          <cell r="A4466">
            <v>86938</v>
          </cell>
          <cell r="B4466" t="str">
            <v>CUBA DE EMBUTIR OVAL EM LOUÇA BRANCA, 35 X 50CM OU EQUIVALENTE, INCLUSO VÁLVULA E SIFÃO TIPO GARRAFA EM METAL CROMADO - FORNECIMENTO E INSTALAÇÃO. AF_01/2020</v>
          </cell>
          <cell r="C4466" t="str">
            <v>UN</v>
          </cell>
          <cell r="D4466">
            <v>293.76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v>287.14999999999998</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v>759.81</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v>587.37</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v>189.86</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v>182.21</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v>832.14</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v>503.08</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v>911.47</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v>961.39</v>
          </cell>
        </row>
        <row r="4476">
          <cell r="A4476">
            <v>95469</v>
          </cell>
          <cell r="B4476" t="str">
            <v>VASO SANITARIO SIFONADO CONVENCIONAL COM  LOUÇA BRANCA - FORNECIMENTO E INSTALAÇÃO. AF_01/2020</v>
          </cell>
          <cell r="C4476" t="str">
            <v>UN</v>
          </cell>
          <cell r="D4476">
            <v>165.41</v>
          </cell>
        </row>
        <row r="4477">
          <cell r="A4477">
            <v>95470</v>
          </cell>
          <cell r="B4477" t="str">
            <v>VASO SANITARIO SIFONADO CONVENCIONAL COM LOUÇA BRANCA, INCLUSO CONJUNTO DE LIGAÇÃO PARA BACIA SANITÁRIA AJUSTÁVEL - FORNECIMENTO E INSTALAÇÃO. AF_10/2016</v>
          </cell>
          <cell r="C4477" t="str">
            <v>UN</v>
          </cell>
          <cell r="D4477">
            <v>171.83</v>
          </cell>
        </row>
        <row r="4478">
          <cell r="A4478">
            <v>95471</v>
          </cell>
          <cell r="B4478" t="str">
            <v>VASO SANITARIO SIFONADO CONVENCIONAL PARA PCD SEM FURO FRONTAL COM  LOUÇA BRANCA SEM ASSENTO -  FORNECIMENTO E INSTALAÇÃO. AF_01/2020</v>
          </cell>
          <cell r="C4478" t="str">
            <v>UN</v>
          </cell>
          <cell r="D4478">
            <v>619.41</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v>625.83000000000004</v>
          </cell>
        </row>
        <row r="4480">
          <cell r="A4480">
            <v>95542</v>
          </cell>
          <cell r="B4480" t="str">
            <v>PORTA TOALHA ROSTO EM METAL CROMADO, TIPO ARGOLA, INCLUSO FIXAÇÃO. AF_01/2020</v>
          </cell>
          <cell r="C4480" t="str">
            <v>UN</v>
          </cell>
          <cell r="D4480">
            <v>25.56</v>
          </cell>
        </row>
        <row r="4481">
          <cell r="A4481">
            <v>95543</v>
          </cell>
          <cell r="B4481" t="str">
            <v>PORTA TOALHA BANHO EM METAL CROMADO, TIPO BARRA, INCLUSO FIXAÇÃO. AF_01/2020</v>
          </cell>
          <cell r="C4481" t="str">
            <v>UN</v>
          </cell>
          <cell r="D4481">
            <v>43.29</v>
          </cell>
        </row>
        <row r="4482">
          <cell r="A4482">
            <v>95544</v>
          </cell>
          <cell r="B4482" t="str">
            <v>PAPELEIRA DE PAREDE EM METAL CROMADO SEM TAMPA, INCLUSO FIXAÇÃO. AF_01/2020</v>
          </cell>
          <cell r="C4482" t="str">
            <v>UN</v>
          </cell>
          <cell r="D4482">
            <v>31.03</v>
          </cell>
        </row>
        <row r="4483">
          <cell r="A4483">
            <v>95545</v>
          </cell>
          <cell r="B4483" t="str">
            <v>SABONETEIRA DE PAREDE EM METAL CROMADO, INCLUSO FIXAÇÃO. AF_01/2020</v>
          </cell>
          <cell r="C4483" t="str">
            <v>UN</v>
          </cell>
          <cell r="D4483">
            <v>30.45</v>
          </cell>
        </row>
        <row r="4484">
          <cell r="A4484">
            <v>95546</v>
          </cell>
          <cell r="B4484" t="str">
            <v>KIT DE ACESSORIOS PARA BANHEIRO EM METAL CROMADO, 5 PECAS, INCLUSO FIXAÇÃO. AF_01/2020</v>
          </cell>
          <cell r="C4484" t="str">
            <v>UN</v>
          </cell>
          <cell r="D4484">
            <v>106.77</v>
          </cell>
        </row>
        <row r="4485">
          <cell r="A4485">
            <v>95547</v>
          </cell>
          <cell r="B4485" t="str">
            <v>SABONETEIRA PLASTICA TIPO DISPENSER PARA SABONETE LIQUIDO COM RESERVATORIO 800 A 1500 ML, INCLUSO FIXAÇÃO. AF_01/2020</v>
          </cell>
          <cell r="C4485" t="str">
            <v>UN</v>
          </cell>
          <cell r="D4485">
            <v>58.82</v>
          </cell>
        </row>
        <row r="4486">
          <cell r="A4486">
            <v>100848</v>
          </cell>
          <cell r="B4486" t="str">
            <v>VASO SANITÁRIO INFANTIL LOUÇA BRANCA - FORNECIMENTO E INSTALACAO. AF_01/2020</v>
          </cell>
          <cell r="C4486" t="str">
            <v>UN</v>
          </cell>
          <cell r="D4486">
            <v>303.04000000000002</v>
          </cell>
        </row>
        <row r="4487">
          <cell r="A4487">
            <v>100849</v>
          </cell>
          <cell r="B4487" t="str">
            <v>ASSENTO SANITÁRIO CONVENCIONAL - FORNECIMENTO E INSTALACAO. AF_01/2020</v>
          </cell>
          <cell r="C4487" t="str">
            <v>UN</v>
          </cell>
          <cell r="D4487">
            <v>31.45</v>
          </cell>
        </row>
        <row r="4488">
          <cell r="A4488">
            <v>100851</v>
          </cell>
          <cell r="B4488" t="str">
            <v>ASSENTO SANITÁRIO INFANTIL - FORNECIMENTO E INSTALACAO. AF_01/2020</v>
          </cell>
          <cell r="C4488" t="str">
            <v>UN</v>
          </cell>
          <cell r="D4488">
            <v>62.62</v>
          </cell>
        </row>
        <row r="4489">
          <cell r="A4489">
            <v>100852</v>
          </cell>
          <cell r="B4489" t="str">
            <v>CUBA DE EMBUTIR RETANGULAR DE AÇO INOXIDÁVEL, 56 X 33 X 12 CM - FORNECIMENTO E INSTALAÇÃO. AF_01/2020</v>
          </cell>
          <cell r="C4489" t="str">
            <v>UN</v>
          </cell>
          <cell r="D4489">
            <v>170.74</v>
          </cell>
        </row>
        <row r="4490">
          <cell r="A4490">
            <v>100854</v>
          </cell>
          <cell r="B4490" t="str">
            <v>TORNEIRA CROMADA DE MESA PARA LAVATÓRIO COM SENSOR DE PRESENCA. AF_01/2020</v>
          </cell>
          <cell r="C4490" t="str">
            <v>UN</v>
          </cell>
          <cell r="D4490">
            <v>638.5</v>
          </cell>
        </row>
        <row r="4491">
          <cell r="A4491">
            <v>100855</v>
          </cell>
          <cell r="B4491" t="str">
            <v>SABONETEIRA DE PAREDE EM PLASTICO ABS COM ACABAMENTO CROMADO E ACRILICO, INCLUSO FIXAÇÃO. AF_01/2020</v>
          </cell>
          <cell r="C4491" t="str">
            <v>UN</v>
          </cell>
          <cell r="D4491">
            <v>30.45</v>
          </cell>
        </row>
        <row r="4492">
          <cell r="A4492">
            <v>100856</v>
          </cell>
          <cell r="B4492" t="str">
            <v>MANOPLA E CANOPLA CROMADA  FORNECIMENTO E INSTALAÇÃO. AF_01/2020</v>
          </cell>
          <cell r="C4492" t="str">
            <v>UN</v>
          </cell>
          <cell r="D4492">
            <v>24.06</v>
          </cell>
        </row>
        <row r="4493">
          <cell r="A4493">
            <v>100857</v>
          </cell>
          <cell r="B4493" t="str">
            <v>ACABAMENTO MONOCOMANDO PARA CHUVEIRO  FORNECIMENTO E INSTALAÇÃO. AF_01/2020</v>
          </cell>
          <cell r="C4493" t="str">
            <v>UN</v>
          </cell>
          <cell r="D4493">
            <v>239.18</v>
          </cell>
        </row>
        <row r="4494">
          <cell r="A4494">
            <v>100858</v>
          </cell>
          <cell r="B4494" t="str">
            <v>MICTÓRIO SIFONADO LOUÇA BRANCA  PADRÃO MÉDIO  FORNECIMENTO E INSTALAÇÃO. AF_01/2020</v>
          </cell>
          <cell r="C4494" t="str">
            <v>UN</v>
          </cell>
          <cell r="D4494">
            <v>445.45</v>
          </cell>
        </row>
        <row r="4495">
          <cell r="A4495">
            <v>100860</v>
          </cell>
          <cell r="B4495" t="str">
            <v>CHUVEIRO ELÉTRICO COMUM CORPO PLÁSTICO, TIPO DUCHA  FORNECIMENTO E INSTALAÇÃO. AF_01/2020</v>
          </cell>
          <cell r="C4495" t="str">
            <v>UN</v>
          </cell>
          <cell r="D4495">
            <v>74.94</v>
          </cell>
        </row>
        <row r="4496">
          <cell r="A4496">
            <v>100861</v>
          </cell>
          <cell r="B4496" t="str">
            <v>SUPORTE MÃO FRANCESA EM AÇO, ABAS IGUAIS 30 CM, CAPACIDADE MINIMA 60 KG, BRANCO - FORNECIMENTO E INSTALAÇÃO. AF_01/2020</v>
          </cell>
          <cell r="C4496" t="str">
            <v>UN</v>
          </cell>
          <cell r="D4496">
            <v>23.31</v>
          </cell>
        </row>
        <row r="4497">
          <cell r="A4497">
            <v>100862</v>
          </cell>
          <cell r="B4497" t="str">
            <v>SUPORTE MÃO FRANCESA EM ACO, ABAS IGUAIS 40 CM, CAPACIDADE MINIMA 70 KG, BRANCO - FORNECIMENTO E INSTALAÇÃO. AF_01/2020</v>
          </cell>
          <cell r="C4497" t="str">
            <v>UN</v>
          </cell>
          <cell r="D4497">
            <v>25.3</v>
          </cell>
        </row>
        <row r="4498">
          <cell r="A4498">
            <v>100863</v>
          </cell>
          <cell r="B4498" t="str">
            <v>BARRA DE APOIO EM "L", EM ACO INOX POLIDO 70 X 70 CM, FIXADA NA PAREDE - FORNECIMENTO E INSTALACAO. AF_01/2020</v>
          </cell>
          <cell r="C4498" t="str">
            <v>UN</v>
          </cell>
          <cell r="D4498">
            <v>605.47</v>
          </cell>
        </row>
        <row r="4499">
          <cell r="A4499">
            <v>100864</v>
          </cell>
          <cell r="B4499" t="str">
            <v>BARRA DE APOIO EM "L", EM ACO INOX POLIDO 80 X 80 CM, FIXADA NA PAREDE - FORNECIMENTO E INSTALACAO. AF_01/2020</v>
          </cell>
          <cell r="C4499" t="str">
            <v>UN</v>
          </cell>
          <cell r="D4499">
            <v>674.28</v>
          </cell>
        </row>
        <row r="4500">
          <cell r="A4500">
            <v>100865</v>
          </cell>
          <cell r="B4500" t="str">
            <v>BARRA DE APOIO LATERAL ARTICULADA, COM TRAVA, EM ACO INOX POLIDO, FIXADA NA PAREDE - FORNECIMENTO E INSTALAÇÃO. AF_01/2020</v>
          </cell>
          <cell r="C4500" t="str">
            <v>UN</v>
          </cell>
          <cell r="D4500">
            <v>640.67999999999995</v>
          </cell>
        </row>
        <row r="4501">
          <cell r="A4501">
            <v>100866</v>
          </cell>
          <cell r="B4501" t="str">
            <v>BARRA DE APOIO RETA, EM ACO INOX POLIDO, COMPRIMENTO 60CM, FIXADA NA PAREDE - FORNECIMENTO E INSTALAÇÃO. AF_01/2020</v>
          </cell>
          <cell r="C4501" t="str">
            <v>UN</v>
          </cell>
          <cell r="D4501">
            <v>298.12</v>
          </cell>
        </row>
        <row r="4502">
          <cell r="A4502">
            <v>100867</v>
          </cell>
          <cell r="B4502" t="str">
            <v>BARRA DE APOIO RETA, EM ACO INOX POLIDO, COMPRIMENTO 70 CM,  FIXADA NA PAREDE - FORNECIMENTO E INSTALAÇÃO. AF_01/2020</v>
          </cell>
          <cell r="C4502" t="str">
            <v>UN</v>
          </cell>
          <cell r="D4502">
            <v>320.81</v>
          </cell>
        </row>
        <row r="4503">
          <cell r="A4503">
            <v>100868</v>
          </cell>
          <cell r="B4503" t="str">
            <v>BARRA DE APOIO RETA, EM ACO INOX POLIDO, COMPRIMENTO 80 CM,  FIXADA NA PAREDE - FORNECIMENTO E INSTALAÇÃO. AF_01/2020</v>
          </cell>
          <cell r="C4503" t="str">
            <v>UN</v>
          </cell>
          <cell r="D4503">
            <v>335.91</v>
          </cell>
        </row>
        <row r="4504">
          <cell r="A4504">
            <v>100869</v>
          </cell>
          <cell r="B4504" t="str">
            <v>BARRA DE APOIO RETA, EM ACO INOX POLIDO, COMPRIMENTO 90 CM,  FIXADA NA PAREDE - FORNECIMENTO E INSTALAÇÃO. AF_01/2020</v>
          </cell>
          <cell r="C4504" t="str">
            <v>UN</v>
          </cell>
          <cell r="D4504">
            <v>347.49</v>
          </cell>
        </row>
        <row r="4505">
          <cell r="A4505">
            <v>100870</v>
          </cell>
          <cell r="B4505" t="str">
            <v>BARRA DE APOIO RETA, EM ALUMINIO, COMPRIMENTO 60 CM,  FIXADA NA PAREDE - FORNECIMENTO E INSTALAÇÃO. AF_01/2020</v>
          </cell>
          <cell r="C4505" t="str">
            <v>UN</v>
          </cell>
          <cell r="D4505">
            <v>197.81</v>
          </cell>
        </row>
        <row r="4506">
          <cell r="A4506">
            <v>100871</v>
          </cell>
          <cell r="B4506" t="str">
            <v>BARRA DE APOIO RETA, EM ALUMINIO, COMPRIMENTO 70 CM,  FIXADA NA PAREDE - FORNECIMENTO E INSTALAÇÃO. AF_01/2020</v>
          </cell>
          <cell r="C4506" t="str">
            <v>UN</v>
          </cell>
          <cell r="D4506">
            <v>213.2</v>
          </cell>
        </row>
        <row r="4507">
          <cell r="A4507">
            <v>100872</v>
          </cell>
          <cell r="B4507" t="str">
            <v>BARRA DE APOIO RETA, EM ALUMINIO, COMPRIMENTO 80 CM,  FIXADA NA PAREDE - FORNECIMENTO E INSTALAÇÃO. AF_01/2020</v>
          </cell>
          <cell r="C4507" t="str">
            <v>UN</v>
          </cell>
          <cell r="D4507">
            <v>223.02</v>
          </cell>
        </row>
        <row r="4508">
          <cell r="A4508">
            <v>100873</v>
          </cell>
          <cell r="B4508" t="str">
            <v>BARRA DE APOIO RETA, EM ALUMINIO, COMPRIMENTO 90 CM,  FIXADA NA PAREDE - FORNECIMENTO E INSTALAÇÃO. AF_01/2020</v>
          </cell>
          <cell r="C4508" t="str">
            <v>UN</v>
          </cell>
          <cell r="D4508">
            <v>229.15</v>
          </cell>
        </row>
        <row r="4509">
          <cell r="A4509">
            <v>100874</v>
          </cell>
          <cell r="B4509" t="str">
            <v>PUXADOR PARA PCD, FIXADO NA PORTA - FORNECIMENTO E INSTALAÇÃO. AF_01/2020</v>
          </cell>
          <cell r="C4509" t="str">
            <v>UN</v>
          </cell>
          <cell r="D4509">
            <v>298.12</v>
          </cell>
        </row>
        <row r="4510">
          <cell r="A4510">
            <v>100875</v>
          </cell>
          <cell r="B4510" t="str">
            <v>BANCO ARTICULADO, EM ACO INOX, PARA PCD, FIXADO NA PAREDE - FORNECIMENTO E INSTALAÇÃO. AF_01/2020</v>
          </cell>
          <cell r="C4510" t="str">
            <v>UN</v>
          </cell>
          <cell r="D4510">
            <v>1176.1500000000001</v>
          </cell>
        </row>
        <row r="4511">
          <cell r="A4511">
            <v>6087</v>
          </cell>
          <cell r="B4511" t="str">
            <v>TAMPA EM CONCRETO ARMADO 60X60X5CM P/CX INSPECAO/FOSSA SEPTICA</v>
          </cell>
          <cell r="C4511" t="str">
            <v>UN</v>
          </cell>
          <cell r="D4511">
            <v>24.46</v>
          </cell>
        </row>
        <row r="4512">
          <cell r="A4512">
            <v>98052</v>
          </cell>
          <cell r="B4512" t="str">
            <v>TANQUE SÉPTICO CIRCULAR, EM CONCRETO PRÉ-MOLDADO, DIÂMETRO INTERNO = 1,10 M, ALTURA INTERNA = 2,50 M, VOLUME ÚTIL: 2138,2 L (PARA 5 CONTRIBUINTES). AF_05/2018</v>
          </cell>
          <cell r="C4512" t="str">
            <v>UN</v>
          </cell>
          <cell r="D4512">
            <v>1295.1199999999999</v>
          </cell>
        </row>
        <row r="4513">
          <cell r="A4513">
            <v>98053</v>
          </cell>
          <cell r="B4513" t="str">
            <v>TANQUE SÉPTICO CIRCULAR, EM CONCRETO PRÉ-MOLDADO, DIÂMETRO INTERNO = 1,40 M, ALTURA INTERNA = 2,50 M, VOLUME ÚTIL: 3463,6 L (PARA 13 CONTRIBUINTES). AF_05/2018</v>
          </cell>
          <cell r="C4513" t="str">
            <v>UN</v>
          </cell>
          <cell r="D4513">
            <v>1769.87</v>
          </cell>
        </row>
        <row r="4514">
          <cell r="A4514">
            <v>98054</v>
          </cell>
          <cell r="B4514" t="str">
            <v>TANQUE SÉPTICO CIRCULAR, EM CONCRETO PRÉ-MOLDADO, DIÂMETRO INTERNO = 1,88 M, ALTURA INTERNA = 2,50 M, VOLUME ÚTIL: 6245,8 L (PARA 32 CONTRIBUINTES). AF_05/2018</v>
          </cell>
          <cell r="C4514" t="str">
            <v>UN</v>
          </cell>
          <cell r="D4514">
            <v>2796.7</v>
          </cell>
        </row>
        <row r="4515">
          <cell r="A4515">
            <v>98055</v>
          </cell>
          <cell r="B4515" t="str">
            <v>TANQUE SÉPTICO CIRCULAR, EM CONCRETO PRÉ-MOLDADO, DIÂMETRO INTERNO = 2,38 M, ALTURA INTERNA = 2,50 M, VOLUME ÚTIL: 10009,8 L (PARA 69 CONTRIBUINTES). AF_05/2018</v>
          </cell>
          <cell r="C4515" t="str">
            <v>UN</v>
          </cell>
          <cell r="D4515">
            <v>3786.81</v>
          </cell>
        </row>
        <row r="4516">
          <cell r="A4516">
            <v>98056</v>
          </cell>
          <cell r="B4516" t="str">
            <v>TANQUE SÉPTICO CIRCULAR, EM CONCRETO PRÉ-MOLDADO, DIÂMETRO INTERNO = 2,38 M, ALTURA INTERNA = 3,0 M, VOLUME ÚTIL: 12234,2 L (PARA 86 CONTRIBUINTES). AF_05/2018</v>
          </cell>
          <cell r="C4516" t="str">
            <v>UN</v>
          </cell>
          <cell r="D4516">
            <v>4397.7</v>
          </cell>
        </row>
        <row r="4517">
          <cell r="A4517">
            <v>98057</v>
          </cell>
          <cell r="B4517" t="str">
            <v>TANQUE SÉPTICO CIRCULAR, EM CONCRETO PRÉ-MOLDADO, DIÂMETRO INTERNO = 2,88 M, ALTURA INTERNA = 2,50 M, VOLUME ÚTIL: 14657,4 L (PARA 105 CONTRIBUINTES). AF_05/2018</v>
          </cell>
          <cell r="C4517" t="str">
            <v>UN</v>
          </cell>
          <cell r="D4517">
            <v>5201.3599999999997</v>
          </cell>
        </row>
        <row r="4518">
          <cell r="A4518">
            <v>98059</v>
          </cell>
          <cell r="B4518" t="str">
            <v>FILTRO ANAERÓBIO CIRCULAR, EM CONCRETO PRÉ-MOLDADO, DIÂMETRO INTERNO = 1,88 M, ALTURA INTERNA = 1,50 M, VOLUME ÚTIL: 3331,1 L (PARA 19 CONTRIBUINTES). AF_05/2018</v>
          </cell>
          <cell r="C4518" t="str">
            <v>UN</v>
          </cell>
          <cell r="D4518">
            <v>2445.4699999999998</v>
          </cell>
        </row>
        <row r="4519">
          <cell r="A4519">
            <v>98060</v>
          </cell>
          <cell r="B4519" t="str">
            <v>FILTRO ANAERÓBIO CIRCULAR, EM CONCRETO PRÉ-MOLDADO, DIÂMETRO INTERNO = 2,38 M, ALTURA INTERNA = 1,50 M, VOLUME ÚTIL: 5338,6 L (PARA 34 CONTRIBUINTES). AF_05/2018</v>
          </cell>
          <cell r="C4519" t="str">
            <v>UN</v>
          </cell>
          <cell r="D4519">
            <v>3424.9</v>
          </cell>
        </row>
        <row r="4520">
          <cell r="A4520">
            <v>98061</v>
          </cell>
          <cell r="B4520" t="str">
            <v>FILTRO ANAERÓBIO CIRCULAR, EM CONCRETO PRÉ-MOLDADO, DIÂMETRO INTERNO = 2,88 M, ALTURA INTERNA = 1,50 M, VOLUME ÚTIL: 7817,3 L (PARA 75 CONTRIBUINTES). AF_05/2018</v>
          </cell>
          <cell r="C4520" t="str">
            <v>UN</v>
          </cell>
          <cell r="D4520">
            <v>4746.75</v>
          </cell>
        </row>
        <row r="4521">
          <cell r="A4521">
            <v>98066</v>
          </cell>
          <cell r="B4521" t="str">
            <v>TANQUE SÉPTICO RETANGULAR, EM ALVENARIA COM TIJOLOS CERÂMICOS MACIÇOS, DIMENSÕES INTERNAS: 1,0 X 2,0 X 1,4 M, VOLUME ÚTIL: 2000 L (PARA 5 CONTRIBUINTES). AF_05/2018</v>
          </cell>
          <cell r="C4521" t="str">
            <v>UN</v>
          </cell>
          <cell r="D4521">
            <v>4026.52</v>
          </cell>
        </row>
        <row r="4522">
          <cell r="A4522">
            <v>98067</v>
          </cell>
          <cell r="B4522" t="str">
            <v>TANQUE SÉPTICO RETANGULAR, EM ALVENARIA COM TIJOLOS CERÂMICOS MACIÇOS, DIMENSÕES INTERNAS: 1,2 X 2,4 X 1,6 M, VOLUME ÚTIL: 3456 L (PARA 13 CONTRIBUINTES). AF_05/2018</v>
          </cell>
          <cell r="C4522" t="str">
            <v>UN</v>
          </cell>
          <cell r="D4522">
            <v>5388.43</v>
          </cell>
        </row>
        <row r="4523">
          <cell r="A4523">
            <v>98068</v>
          </cell>
          <cell r="B4523" t="str">
            <v>TANQUE SÉPTICO RETANGULAR, EM ALVENARIA COM TIJOLOS CERÂMICOS MACIÇOS, DIMENSÕES INTERNAS: 1,4 X 3,2 X 1,8 M, VOLUME ÚTIL: 6272 L (PARA 32 CONTRIBUINTES). AF_05/2018</v>
          </cell>
          <cell r="C4523" t="str">
            <v>UN</v>
          </cell>
          <cell r="D4523">
            <v>7622.92</v>
          </cell>
        </row>
        <row r="4524">
          <cell r="A4524">
            <v>98069</v>
          </cell>
          <cell r="B4524" t="str">
            <v>TANQUE SÉPTICO RETANGULAR, EM ALVENARIA COM TIJOLOS CERÂMICOS MACIÇOS, DIMENSÕES INTERNAS: 1,6 X 4,4 X 1,8 M, VOLUME ÚTIL: 9856 L (PARA 68 CONTRIBUINTES). AF_05/2018</v>
          </cell>
          <cell r="C4524" t="str">
            <v>UN</v>
          </cell>
          <cell r="D4524">
            <v>10182.120000000001</v>
          </cell>
        </row>
        <row r="4525">
          <cell r="A4525">
            <v>98070</v>
          </cell>
          <cell r="B4525" t="str">
            <v>TANQUE SÉPTICO RETANGULAR, EM ALVENARIA COM TIJOLOS CERÂMICOS MACIÇOS, DIMENSÕES INTERNAS: 1,6 X 4,8 X 2,0 M, VOLUME ÚTIL: 12288 L (PARA 86 CONTRIBUINTES). AF_05/2018</v>
          </cell>
          <cell r="C4525" t="str">
            <v>UN</v>
          </cell>
          <cell r="D4525">
            <v>11703.92</v>
          </cell>
        </row>
        <row r="4526">
          <cell r="A4526">
            <v>98071</v>
          </cell>
          <cell r="B4526" t="str">
            <v>TANQUE SÉPTICO RETANGULAR, EM ALVENARIA COM TIJOLOS CERÂMICOS MACIÇOS, DIMENSÕES INTERNAS: 1,6 X 4,6 X 2,4 M, VOLUME ÚTIL: 14720 L (PARA 105 CONTRIBUINTES). AF_05/2018</v>
          </cell>
          <cell r="C4526" t="str">
            <v>UN</v>
          </cell>
          <cell r="D4526">
            <v>12922.21</v>
          </cell>
        </row>
        <row r="4527">
          <cell r="A4527">
            <v>98072</v>
          </cell>
          <cell r="B4527" t="str">
            <v>FILTRO ANAERÓBIO RETANGULAR, EM ALVENARIA COM TIJOLOS CERÂMICOS MACIÇOS, DIMENSÕES INTERNAS: 0,8 X 1,2 X 1,67 M, VOLUME ÚTIL: 1152 L (PARA 5 CONTRIBUINTES). AF_05/2018</v>
          </cell>
          <cell r="C4527" t="str">
            <v>UN</v>
          </cell>
          <cell r="D4527">
            <v>3333.16</v>
          </cell>
        </row>
        <row r="4528">
          <cell r="A4528">
            <v>98073</v>
          </cell>
          <cell r="B4528" t="str">
            <v>FILTRO ANAERÓBIO RETANGULAR, EM ALVENARIA COM TIJOLOS CERÂMICOS MACIÇOS, DIMENSÕES INTERNAS: 1,2 X 1,8 X 1,67 M, VOLUME ÚTIL: 2592 L (PARA 13 CONTRIBUINTES). AF_05/2018</v>
          </cell>
          <cell r="C4528" t="str">
            <v>UN</v>
          </cell>
          <cell r="D4528">
            <v>5173.13</v>
          </cell>
        </row>
        <row r="4529">
          <cell r="A4529">
            <v>98074</v>
          </cell>
          <cell r="B4529" t="str">
            <v>FILTRO ANAERÓBIO RETANGULAR, EM ALVENARIA COM TIJOLOS CERÂMICOS MACIÇOS, DIMENSÕES INTERNAS: 1,4 X 3,0 X 1,67 M, VOLUME ÚTIL: 5040 L (PARA 32 CONTRIBUINTES). AF_05/2018</v>
          </cell>
          <cell r="C4529" t="str">
            <v>UN</v>
          </cell>
          <cell r="D4529">
            <v>7980.56</v>
          </cell>
        </row>
        <row r="4530">
          <cell r="A4530">
            <v>98075</v>
          </cell>
          <cell r="B4530" t="str">
            <v>FILTRO ANAERÓBIO RETANGULAR, EM ALVENARIA COM TIJOLOS CERÂMICOS MACIÇOS, DIMENSÕES INTERNAS: 1,4 X 4,2 X 1,67 M, VOLUME ÚTIL: 7056 L (PARA 67 CONTRIBUINTES). AF_05/2018</v>
          </cell>
          <cell r="C4530" t="str">
            <v>UN</v>
          </cell>
          <cell r="D4530">
            <v>10351.89</v>
          </cell>
        </row>
        <row r="4531">
          <cell r="A4531">
            <v>98076</v>
          </cell>
          <cell r="B4531" t="str">
            <v>FILTRO ANAERÓBIO RETANGULAR, EM ALVENARIA COM TIJOLOS CERÂMICOS MACIÇOS, DIMENSÕES INTERNAS: 1,6 X 4,6 X 1,67 M, VOLUME ÚTIL: 8832 L (PARA 84 CONTRIBUINTES). AF_05/2018</v>
          </cell>
          <cell r="C4531" t="str">
            <v>UN</v>
          </cell>
          <cell r="D4531">
            <v>11894.97</v>
          </cell>
        </row>
        <row r="4532">
          <cell r="A4532">
            <v>98077</v>
          </cell>
          <cell r="B4532" t="str">
            <v>FILTRO ANAERÓBIO RETANGULAR, EM ALVENARIA COM TIJOLOS CERÂMICOS MACIÇOS, DIMENSÕES INTERNAS: 1,6 X 5,6 X 1,67 M, VOLUME ÚTIL: 10752 L (PARA 103 CONTRIBUINTES). AF_05/2018</v>
          </cell>
          <cell r="C4532" t="str">
            <v>UN</v>
          </cell>
          <cell r="D4532">
            <v>13986.02</v>
          </cell>
        </row>
        <row r="4533">
          <cell r="A4533">
            <v>98078</v>
          </cell>
          <cell r="B4533" t="str">
            <v>SUMIDOURO RETANGULAR, EM ALVENARIA COM TIJOLOS CERÂMICOS MACIÇOS, DIMENSÕES INTERNAS: 0,8 X 1,4 X 3,0 M, ÁREA DE INFILTRAÇÃO: 13,2 M² (PARA 5 CONTRIBUINTES). AF_05/2018</v>
          </cell>
          <cell r="C4533" t="str">
            <v>UN</v>
          </cell>
          <cell r="D4533">
            <v>3555.99</v>
          </cell>
        </row>
        <row r="4534">
          <cell r="A4534">
            <v>98079</v>
          </cell>
          <cell r="B4534" t="str">
            <v>SUMIDOURO RETANGULAR, EM ALVENARIA COM TIJOLOS CERÂMICOS MACIÇOS, DIMENSÕES INTERNAS: 1,0 X 3,0 X 3,0 M, ÁREA DE INFILTRAÇÃO: 25 M² (PARA 10 CONTRIBUINTES). AF_05/2018</v>
          </cell>
          <cell r="C4534" t="str">
            <v>UN</v>
          </cell>
          <cell r="D4534">
            <v>6207.15</v>
          </cell>
        </row>
        <row r="4535">
          <cell r="A4535">
            <v>98080</v>
          </cell>
          <cell r="B4535" t="str">
            <v>SUMIDOURO RETANGULAR, EM ALVENARIA COM TIJOLOS CERÂMICOS MACIÇOS, DIMENSÕES INTERNAS: 1,6 X 3,4 X 3,0 M, ÁREA DE INFILTRAÇÃO: 32,9 M² (PARA 13 CONTRIBUINTES). AF_05/2018</v>
          </cell>
          <cell r="C4535" t="str">
            <v>UN</v>
          </cell>
          <cell r="D4535">
            <v>7943.3</v>
          </cell>
        </row>
        <row r="4536">
          <cell r="A4536">
            <v>98081</v>
          </cell>
          <cell r="B4536" t="str">
            <v>SUMIDOURO RETANGULAR, EM ALVENARIA COM TIJOLOS CERÂMICOS MACIÇOS, DIMENSÕES INTERNAS: 1,6 X 5,8 X 3,0 M, ÁREA DE INFILTRAÇÃO: 50 M² (PARA 20 CONTRIBUINTES). AF_05/2018</v>
          </cell>
          <cell r="C4536" t="str">
            <v>UN</v>
          </cell>
          <cell r="D4536">
            <v>11737.77</v>
          </cell>
        </row>
        <row r="4537">
          <cell r="A4537">
            <v>98082</v>
          </cell>
          <cell r="B4537" t="str">
            <v>TANQUE SÉPTICO RETANGULAR, EM ALVENARIA COM BLOCOS DE CONCRETO, DIMENSÕES INTERNAS: 1,0 X 2,0 X 1,4 M, VOLUME ÚTIL: 2000 L (PARA 5 CONTRIBUINTES). AF_05/2018</v>
          </cell>
          <cell r="C4537" t="str">
            <v>UN</v>
          </cell>
          <cell r="D4537">
            <v>2925.32</v>
          </cell>
        </row>
        <row r="4538">
          <cell r="A4538">
            <v>98083</v>
          </cell>
          <cell r="B4538" t="str">
            <v>TANQUE SÉPTICO RETANGULAR, EM ALVENARIA COM BLOCOS DE CONCRETO, DIMENSÕES INTERNAS: 1,2 X 2,4 X 1,6 M, VOLUME ÚTIL: 3456 L (PARA 13 CONTRIBUINTES). AF_05/2018</v>
          </cell>
          <cell r="C4538" t="str">
            <v>UN</v>
          </cell>
          <cell r="D4538">
            <v>3871.27</v>
          </cell>
        </row>
        <row r="4539">
          <cell r="A4539">
            <v>98084</v>
          </cell>
          <cell r="B4539" t="str">
            <v>TANQUE SÉPTICO RETANGULAR, EM ALVENARIA COM BLOCOS DE CONCRETO, DIMENSÕES INTERNAS: 1,4 X 3,2 X 1,8 M, VOLUME ÚTIL: 6272 L (PARA 32 CONTRIBUINTES). AF_05/2018</v>
          </cell>
          <cell r="C4539" t="str">
            <v>UN</v>
          </cell>
          <cell r="D4539">
            <v>5441.45</v>
          </cell>
        </row>
        <row r="4540">
          <cell r="A4540">
            <v>98085</v>
          </cell>
          <cell r="B4540" t="str">
            <v>TANQUE SÉPTICO RETANGULAR, EM ALVENARIA COM BLOCOS DE CONCRETO, DIMENSÕES INTERNAS: 1,6 X 4,4 X 1,8 M, VOLUME ÚTIL: 9856 L (PARA 68 CONTRIBUINTES). AF_05/2018</v>
          </cell>
          <cell r="C4540" t="str">
            <v>UN</v>
          </cell>
          <cell r="D4540">
            <v>7365.55</v>
          </cell>
        </row>
        <row r="4541">
          <cell r="A4541">
            <v>98086</v>
          </cell>
          <cell r="B4541" t="str">
            <v>TANQUE SÉPTICO RETANGULAR, EM ALVENARIA COM BLOCOS DE CONCRETO, DIMENSÕES INTERNAS: 1,6 X 4,8 X 2,0 M, VOLUME ÚTIL: 12288 L (PARA 86 CONTRIBUINTES). AF_05/2018</v>
          </cell>
          <cell r="C4541" t="str">
            <v>UN</v>
          </cell>
          <cell r="D4541">
            <v>8340.85</v>
          </cell>
        </row>
        <row r="4542">
          <cell r="A4542">
            <v>98087</v>
          </cell>
          <cell r="B4542" t="str">
            <v>TANQUE SÉPTICO RETANGULAR, EM ALVENARIA COM BLOCOS DE CONCRETO, DIMENSÕES INTERNAS: 1,6 X 4,6 X 2,4 M, VOLUME ÚTIL: 14720 L (PARA 105 CONTRIBUINTES). AF_05/2018</v>
          </cell>
          <cell r="C4542" t="str">
            <v>UN</v>
          </cell>
          <cell r="D4542">
            <v>8954.49</v>
          </cell>
        </row>
        <row r="4543">
          <cell r="A4543">
            <v>98088</v>
          </cell>
          <cell r="B4543" t="str">
            <v>FILTRO ANAERÓBIO RETANGULAR, EM ALVENARIA COM BLOCOS DE CONCRETO, DIMENSÕES INTERNAS: 0,8 X 1,2 X 1,67 M, VOLUME ÚTIL: 1152 L (PARA 5 CONTRIBUINTES). AF_05/2018</v>
          </cell>
          <cell r="C4543" t="str">
            <v>UN</v>
          </cell>
          <cell r="D4543">
            <v>2497.0100000000002</v>
          </cell>
        </row>
        <row r="4544">
          <cell r="A4544">
            <v>98089</v>
          </cell>
          <cell r="B4544" t="str">
            <v>FILTRO ANAERÓBIO RETANGULAR, EM ALVENARIA COM BLOCOS DE CONCRETO, DIMENSÕES INTERNAS: 1,2 X 1,8 X 1,67 M, VOLUME ÚTIL: 2592 L (PARA 13 CONTRIBUINTES). AF_05/2018</v>
          </cell>
          <cell r="C4544" t="str">
            <v>UN</v>
          </cell>
          <cell r="D4544">
            <v>3947.55</v>
          </cell>
        </row>
        <row r="4545">
          <cell r="A4545">
            <v>98090</v>
          </cell>
          <cell r="B4545" t="str">
            <v>FILTRO ANAERÓBIO RETANGULAR, EM ALVENARIA COM BLOCOS DE CONCRETO, DIMENSÕES INTERNAS: 1,4 X 3,0 X 1,67 M, VOLUME ÚTIL: 5040 L (PARA 32 CONTRIBUINTES). AF_05/2018</v>
          </cell>
          <cell r="C4545" t="str">
            <v>UN</v>
          </cell>
          <cell r="D4545">
            <v>6199.4</v>
          </cell>
        </row>
        <row r="4546">
          <cell r="A4546">
            <v>98091</v>
          </cell>
          <cell r="B4546" t="str">
            <v>FILTRO ANAERÓBIO RETANGULAR, EM ALVENARIA COM BLOCOS DE CONCRETO, DIMENSÕES INTERNAS: 1,4 X 4,2 X 1,67 M, VOLUME ÚTIL: 7056 L (PARA 67 CONTRIBUINTES). AF_05/2018</v>
          </cell>
          <cell r="C4546" t="str">
            <v>UN</v>
          </cell>
          <cell r="D4546">
            <v>8016</v>
          </cell>
        </row>
        <row r="4547">
          <cell r="A4547">
            <v>98092</v>
          </cell>
          <cell r="B4547" t="str">
            <v>FILTRO ANAERÓBIO RETANGULAR, EM ALVENARIA COM BLOCOS DE CONCRETO, DIMENSÕES INTERNAS: 1,6 X 4,6 X 1,67 M, VOLUME ÚTIL: 8832 L (PARA 84 CONTRIBUINTES). AF_05/2018</v>
          </cell>
          <cell r="C4547" t="str">
            <v>UN</v>
          </cell>
          <cell r="D4547">
            <v>9399.68</v>
          </cell>
        </row>
        <row r="4548">
          <cell r="A4548">
            <v>98093</v>
          </cell>
          <cell r="B4548" t="str">
            <v>FILTRO ANAERÓBIO RETANGULAR, EM ALVENARIA COM BLOCOS DE CONCRETO, DIMENSÕES INTERNAS: 1,6 X 5,6 X 1,67 M, VOLUME ÚTIL: 10752 L (PARA 103 CONTRIBUINTES). AF_05/2018</v>
          </cell>
          <cell r="C4548" t="str">
            <v>UN</v>
          </cell>
          <cell r="D4548">
            <v>11095.13</v>
          </cell>
        </row>
        <row r="4549">
          <cell r="A4549">
            <v>98094</v>
          </cell>
          <cell r="B4549" t="str">
            <v>SUMIDOURO RETANGULAR, EM ALVENARIA COM BLOCOS DE CONCRETO, DIMENSÕES INTERNAS: 0,8 X 1,4 X 3,0 M, ÁREA DE INFILTRAÇÃO: 13,2 M² (PARA 5 CONTRIBUINTES). AF_05/2018</v>
          </cell>
          <cell r="C4549" t="str">
            <v>UN</v>
          </cell>
          <cell r="D4549">
            <v>2096.87</v>
          </cell>
        </row>
        <row r="4550">
          <cell r="A4550">
            <v>98099</v>
          </cell>
          <cell r="B4550" t="str">
            <v>SUMIDOURO RETANGULAR, EM ALVENARIA COM BLOCOS DE CONCRETO, DIMENSÕES INTERNAS: 1,0 X 3,0 X 3,0 M, ÁREA DE INFILTRAÇÃO: 25 M² (PARA 10 CONTRIBUINTES). AF_05/2018</v>
          </cell>
          <cell r="C4550" t="str">
            <v>UN</v>
          </cell>
          <cell r="D4550">
            <v>3600.96</v>
          </cell>
        </row>
        <row r="4551">
          <cell r="A4551">
            <v>98100</v>
          </cell>
          <cell r="B4551" t="str">
            <v>SUMIDOURO RETANGULAR, EM ALVENARIA COM BLOCOS DE CONCRETO, DIMENSÕES INTERNAS: 1,6 X 3,4 X 3,0 M, ÁREA DE INFILTRAÇÃO: 32,9 M² (PARA 13 CONTRIBUINTES). AF_05/2018</v>
          </cell>
          <cell r="C4551" t="str">
            <v>UN</v>
          </cell>
          <cell r="D4551">
            <v>4699.83</v>
          </cell>
        </row>
        <row r="4552">
          <cell r="A4552">
            <v>98101</v>
          </cell>
          <cell r="B4552" t="str">
            <v>SUMIDOURO RETANGULAR, EM ALVENARIA COM BLOCOS DE CONCRETO, DIMENSÕES INTERNAS: 1,6 X 5,8 X 3,0 M, ÁREA DE INFILTRAÇÃO: 50 M² (PARA 20 CONTRIBUINTES). AF_05/2018</v>
          </cell>
          <cell r="C4552" t="str">
            <v>UN</v>
          </cell>
          <cell r="D4552">
            <v>6951.68</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v>624.01</v>
          </cell>
        </row>
        <row r="4554">
          <cell r="A4554">
            <v>98110</v>
          </cell>
          <cell r="B4554" t="str">
            <v>CAIXA DE GORDURA PEQUENA (CAPACIDADE: 19 L), CIRCULAR, EM PVC, DIÂMETRO INTERNO= 0,3 M. AF_05/2018</v>
          </cell>
          <cell r="C4554" t="str">
            <v>UN</v>
          </cell>
          <cell r="D4554">
            <v>395.7</v>
          </cell>
        </row>
        <row r="4555">
          <cell r="A4555">
            <v>98111</v>
          </cell>
          <cell r="B4555" t="str">
            <v>CAIXA DE INSPEÇÃO PARA ATERRAMENTO, CIRCULAR, EM POLIETILENO, DIÂMETRO INTERNO = 0,3 M. AF_05/2018</v>
          </cell>
          <cell r="C4555" t="str">
            <v>UN</v>
          </cell>
          <cell r="D4555">
            <v>20.64</v>
          </cell>
        </row>
        <row r="4556">
          <cell r="A4556">
            <v>98114</v>
          </cell>
          <cell r="B4556" t="str">
            <v>TAMPA CIRCULAR PARA ESGOTO E DRENAGEM, EM FERRO FUNDIDO, DIÂMETRO INTERNO = 0,6 M. AF_05/2018</v>
          </cell>
          <cell r="C4556" t="str">
            <v>UN</v>
          </cell>
          <cell r="D4556">
            <v>464.99</v>
          </cell>
        </row>
        <row r="4557">
          <cell r="A4557">
            <v>98115</v>
          </cell>
          <cell r="B4557" t="str">
            <v>TAMPA CIRCULAR PARA ESGOTO E DRENAGEM, EM CONCRETO PRÉ-MOLDADO, DIÂMETRO INTERNO = 0,6 M. AF_05/2018</v>
          </cell>
          <cell r="C4557" t="str">
            <v>UN</v>
          </cell>
          <cell r="D4557">
            <v>88.22</v>
          </cell>
        </row>
        <row r="4558">
          <cell r="A4558">
            <v>89957</v>
          </cell>
          <cell r="B4558" t="str">
            <v>PONTO DE CONSUMO TERMINAL DE ÁGUA FRIA (SUBRAMAL) COM TUBULAÇÃO DE PVC, DN 25 MM, INSTALADO EM RAMAL DE ÁGUA, INCLUSOS RASGO E CHUMBAMENTO EM ALVENARIA. AF_12/2014</v>
          </cell>
          <cell r="C4558" t="str">
            <v>UN</v>
          </cell>
          <cell r="D4558">
            <v>106.53</v>
          </cell>
        </row>
        <row r="4559">
          <cell r="A4559">
            <v>89959</v>
          </cell>
          <cell r="B4559" t="str">
            <v>PONTO DE CONSUMO TERMINAL DE ÁGUA QUENTE (SUBRAMAL) COM TUBULAÇÃO DE CPVC, DN 22 MM, INSTALADO EM RAMAL DE ÁGUA, INCLUSOS RASGO E CHUMBAMENTO EM ALVENARIA. AF_12/2014</v>
          </cell>
          <cell r="C4559" t="str">
            <v>UN</v>
          </cell>
          <cell r="D4559">
            <v>195.03</v>
          </cell>
        </row>
        <row r="4560">
          <cell r="A4560">
            <v>89349</v>
          </cell>
          <cell r="B4560" t="str">
            <v>REGISTRO DE PRESSÃO BRUTO, LATÃO, ROSCÁVEL, 1/2", FORNECIDO E INSTALADO EM RAMAL DE ÁGUA. AF_12/2014</v>
          </cell>
          <cell r="C4560" t="str">
            <v>UN</v>
          </cell>
          <cell r="D4560">
            <v>20.88</v>
          </cell>
        </row>
        <row r="4561">
          <cell r="A4561">
            <v>89351</v>
          </cell>
          <cell r="B4561" t="str">
            <v>REGISTRO DE PRESSÃO BRUTO, LATÃO,  ROSCÁVEL, 3/4, FORNECIDO E INSTALADO EM RAMAL DE ÁGUA. AF_12/2014</v>
          </cell>
          <cell r="C4561" t="str">
            <v>UN</v>
          </cell>
          <cell r="D4561">
            <v>23.52</v>
          </cell>
        </row>
        <row r="4562">
          <cell r="A4562">
            <v>89352</v>
          </cell>
          <cell r="B4562" t="str">
            <v>REGISTRO DE GAVETA BRUTO, LATÃO, ROSCÁVEL, 1/2", FORNECIDO E INSTALADO EM RAMAL DE ÁGUA. AF_12/2014</v>
          </cell>
          <cell r="C4562" t="str">
            <v>UN</v>
          </cell>
          <cell r="D4562">
            <v>26.48</v>
          </cell>
        </row>
        <row r="4563">
          <cell r="A4563">
            <v>89353</v>
          </cell>
          <cell r="B4563" t="str">
            <v>REGISTRO DE GAVETA BRUTO, LATÃO, ROSCÁVEL, 3/4", FORNECIDO E INSTALADO EM RAMAL DE ÁGUA. AF_12/2014</v>
          </cell>
          <cell r="C4563" t="str">
            <v>UN</v>
          </cell>
          <cell r="D4563">
            <v>27.54</v>
          </cell>
        </row>
        <row r="4564">
          <cell r="A4564">
            <v>89354</v>
          </cell>
          <cell r="B4564" t="str">
            <v>MISTURADOR MONOCOMANDO PARA CHUVEIRO, BASE BRUTA E ACABAMENTO CROMADO, FORNECIDO E INSTALADO EM RAMAL DE ÁGUA. AF_12/2014</v>
          </cell>
          <cell r="C4564" t="str">
            <v>UN</v>
          </cell>
          <cell r="D4564">
            <v>245.03</v>
          </cell>
        </row>
        <row r="4565">
          <cell r="A4565">
            <v>89969</v>
          </cell>
          <cell r="B4565" t="str">
            <v>KIT DE REGISTRO DE PRESSÃO BRUTO DE LATÃO ½", INCLUSIVE CONEXÕES,  ROSCÁVEL, INSTALADO EM RAMAL DE ÁGUA FRIA - FORNECIMENTO E INSTALAÇÃO. AF_12/2014</v>
          </cell>
          <cell r="C4565" t="str">
            <v>UN</v>
          </cell>
          <cell r="D4565">
            <v>32.11</v>
          </cell>
        </row>
        <row r="4566">
          <cell r="A4566">
            <v>89970</v>
          </cell>
          <cell r="B4566" t="str">
            <v>KIT DE REGISTRO DE PRESSÃO BRUTO DE LATÃO ¾", INCLUSIVE CONEXÕES, ROSCÁVEL, INSTALADO EM RAMAL DE ÁGUA FRIA - FORNECIMENTO E INSTALAÇÃO. AF_12/2014</v>
          </cell>
          <cell r="C4566" t="str">
            <v>UN</v>
          </cell>
          <cell r="D4566">
            <v>34.92</v>
          </cell>
        </row>
        <row r="4567">
          <cell r="A4567">
            <v>89971</v>
          </cell>
          <cell r="B4567" t="str">
            <v>KIT DE REGISTRO DE GAVETA BRUTO DE LATÃO ½", INCLUSIVE CONEXÕES, ROSCÁVEL, INSTALADO EM RAMAL DE ÁGUA FRIA - FORNECIMENTO E INSTALAÇÃO. AF_12/2014</v>
          </cell>
          <cell r="C4567" t="str">
            <v>UN</v>
          </cell>
          <cell r="D4567">
            <v>35.6</v>
          </cell>
        </row>
        <row r="4568">
          <cell r="A4568">
            <v>89972</v>
          </cell>
          <cell r="B4568" t="str">
            <v>KIT DE REGISTRO DE GAVETA BRUTO DE LATÃO ¾", INCLUSIVE CONEXÕES, ROSCÁVEL, INSTALADO EM RAMAL DE ÁGUA FRIA - FORNECIMENTO E INSTALAÇÃO. AF_12/2014</v>
          </cell>
          <cell r="C4568" t="str">
            <v>UN</v>
          </cell>
          <cell r="D4568">
            <v>38.380000000000003</v>
          </cell>
        </row>
        <row r="4569">
          <cell r="A4569">
            <v>89973</v>
          </cell>
          <cell r="B4569" t="str">
            <v>KIT DE MISTURADOR BASE BRUTA DE LATÃO ¾" MONOCOMANDO PARA CHUVEIRO, INCLUSIVE CONEXÕES, INSTALADO EM RAMAL DE ÁGUA - FORNECIMENTO E INSTALAÇÃO. AF_12/2014</v>
          </cell>
          <cell r="C4569" t="str">
            <v>UN</v>
          </cell>
          <cell r="D4569">
            <v>442.2</v>
          </cell>
        </row>
        <row r="4570">
          <cell r="A4570">
            <v>89974</v>
          </cell>
          <cell r="B4570" t="str">
            <v>KIT DE TÊ MISTURADOR EM CPVC ¾" COM DUPLO COMANDO PARA CHUVEIRO, INCLUSIVE CONEXÕES, INSTALADO EM RAMAL DE ÁGUA - FORNECIMENTO E INSTALAÇÃO. AF_12/2014</v>
          </cell>
          <cell r="C4570" t="str">
            <v>UN</v>
          </cell>
          <cell r="D4570">
            <v>260.83</v>
          </cell>
        </row>
        <row r="4571">
          <cell r="A4571">
            <v>89984</v>
          </cell>
          <cell r="B4571" t="str">
            <v>REGISTRO DE PRESSÃO BRUTO, LATÃO, ROSCÁVEL, 1/2", COM ACABAMENTO E CANOPLA CROMADOS. FORNECIDO E INSTALADO EM RAMAL DE ÁGUA. AF_12/2014</v>
          </cell>
          <cell r="C4571" t="str">
            <v>UN</v>
          </cell>
          <cell r="D4571">
            <v>54.86</v>
          </cell>
        </row>
        <row r="4572">
          <cell r="A4572">
            <v>89985</v>
          </cell>
          <cell r="B4572" t="str">
            <v>REGISTRO DE PRESSÃO BRUTO, LATÃO, ROSCÁVEL, 3/4", COM ACABAMENTO E CANOPLA CROMADOS. FORNECIDO E INSTALADO EM RAMAL DE ÁGUA. AF_12/2014</v>
          </cell>
          <cell r="C4572" t="str">
            <v>UN</v>
          </cell>
          <cell r="D4572">
            <v>56.38</v>
          </cell>
        </row>
        <row r="4573">
          <cell r="A4573">
            <v>89986</v>
          </cell>
          <cell r="B4573" t="str">
            <v>REGISTRO DE GAVETA BRUTO, LATÃO, ROSCÁVEL, 1/2", COM ACABAMENTO E CANOPLA CROMADOS. FORNECIDO E INSTALADO EM RAMAL DE ÁGUA. AF_12/2014</v>
          </cell>
          <cell r="C4573" t="str">
            <v>UN</v>
          </cell>
          <cell r="D4573">
            <v>53.58</v>
          </cell>
        </row>
        <row r="4574">
          <cell r="A4574">
            <v>89987</v>
          </cell>
          <cell r="B4574" t="str">
            <v>REGISTRO DE GAVETA BRUTO, LATÃO, ROSCÁVEL, 3/4", COM ACABAMENTO E CANOPLA CROMADOS. FORNECIDO E INSTALADO EM RAMAL DE ÁGUA. AF_12/2014</v>
          </cell>
          <cell r="C4574" t="str">
            <v>UN</v>
          </cell>
          <cell r="D4574">
            <v>59.2</v>
          </cell>
        </row>
        <row r="4575">
          <cell r="A4575">
            <v>90371</v>
          </cell>
          <cell r="B4575" t="str">
            <v>REGISTRO DE ESFERA, PVC, ROSCÁVEL, 3/4", FORNECIDO E INSTALADO EM RAMAL DE ÁGUA. AF_03/2015</v>
          </cell>
          <cell r="C4575" t="str">
            <v>UN</v>
          </cell>
          <cell r="D4575">
            <v>17.059999999999999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v>14.41</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v>24.01</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v>33.92</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v>34.61</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v>63.52</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v>47.75</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v>59.48</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v>71.77</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v>83.22</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v>106.19</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v>188.62</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v>223.48</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v>432.32</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v>88.05</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v>112.36</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v>116.23</v>
          </cell>
        </row>
        <row r="4592">
          <cell r="A4592">
            <v>94795</v>
          </cell>
          <cell r="B4592" t="str">
            <v>TORNEIRA DE BOIA, ROSCÁVEL, 1/2 , FORNECIDA E INSTALADA EM RESERVAÇÃO DE ÁGUA. AF_06/2016</v>
          </cell>
          <cell r="C4592" t="str">
            <v>UN</v>
          </cell>
          <cell r="D4592">
            <v>22.58</v>
          </cell>
        </row>
        <row r="4593">
          <cell r="A4593">
            <v>94796</v>
          </cell>
          <cell r="B4593" t="str">
            <v>TORNEIRA DE BOIA, ROSCÁVEL, 3/4 , FORNECIDA E INSTALADA EM RESERVAÇÃO DE ÁGUA. AF_06/2016</v>
          </cell>
          <cell r="C4593" t="str">
            <v>UN</v>
          </cell>
          <cell r="D4593">
            <v>26.41</v>
          </cell>
        </row>
        <row r="4594">
          <cell r="A4594">
            <v>94797</v>
          </cell>
          <cell r="B4594" t="str">
            <v>TORNEIRA DE BOIA, ROSCÁVEL, 1, FORNECIDA E INSTALADA EM RESERVAÇÃO DE ÁGUA. AF_06/2016</v>
          </cell>
          <cell r="C4594" t="str">
            <v>UN</v>
          </cell>
          <cell r="D4594">
            <v>40.090000000000003</v>
          </cell>
        </row>
        <row r="4595">
          <cell r="A4595">
            <v>94798</v>
          </cell>
          <cell r="B4595" t="str">
            <v>TORNEIRA DE BOIA, ROSCÁVEL, 1 1/4 , FORNECIDA E INSTALADA EM RESERVAÇÃO DE ÁGUA. AF_06/2016</v>
          </cell>
          <cell r="C4595" t="str">
            <v>UN</v>
          </cell>
          <cell r="D4595">
            <v>86.17</v>
          </cell>
        </row>
        <row r="4596">
          <cell r="A4596">
            <v>94799</v>
          </cell>
          <cell r="B4596" t="str">
            <v>TORNEIRA DE BOIA, ROSCÁVEL, 1 1/2 , FORNECIDA E INSTALADA EM RESERVAÇÃO DE ÁGUA. AF_06/2016</v>
          </cell>
          <cell r="C4596" t="str">
            <v>UN</v>
          </cell>
          <cell r="D4596">
            <v>83.85</v>
          </cell>
        </row>
        <row r="4597">
          <cell r="A4597">
            <v>94800</v>
          </cell>
          <cell r="B4597" t="str">
            <v>TORNEIRA DE BOIA, ROSCÁVEL, 2, FORNECIDA E INSTALADA EM RESERVAÇÃO DE ÁGUA. AF_06/2016</v>
          </cell>
          <cell r="C4597" t="str">
            <v>UN</v>
          </cell>
          <cell r="D4597">
            <v>142.33000000000001</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v>56.29</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v>60.74</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v>72.39</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v>95.09</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v>108.82</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v>153.88</v>
          </cell>
        </row>
        <row r="4604">
          <cell r="A4604">
            <v>99619</v>
          </cell>
          <cell r="B4604" t="str">
            <v>VÁLVULA DE RETENÇÃO HORIZONTAL, DE BRONZE, ROSCÁVEL, 3/4" - FORNECIMENTO E INSTALAÇÃO. AF_01/2019</v>
          </cell>
          <cell r="C4604" t="str">
            <v>UN</v>
          </cell>
          <cell r="D4604">
            <v>60.18</v>
          </cell>
        </row>
        <row r="4605">
          <cell r="A4605">
            <v>99620</v>
          </cell>
          <cell r="B4605" t="str">
            <v>VÁLVULA DE RETENÇÃO HORIZONTAL, DE BRONZE, ROSCÁVEL, 1" - FORNECIMENTO E INSTALAÇÃO. AF_01/2019</v>
          </cell>
          <cell r="C4605" t="str">
            <v>UN</v>
          </cell>
          <cell r="D4605">
            <v>99.41</v>
          </cell>
        </row>
        <row r="4606">
          <cell r="A4606">
            <v>99621</v>
          </cell>
          <cell r="B4606" t="str">
            <v>VÁLVULA DE RETENÇÃO HORIZONTAL, DE BRONZE, ROSCÁVEL, 1 1/4" - FORNECIMENTO E INSTALAÇÃO. AF_01/2019</v>
          </cell>
          <cell r="C4606" t="str">
            <v>UN</v>
          </cell>
          <cell r="D4606">
            <v>135.83000000000001</v>
          </cell>
        </row>
        <row r="4607">
          <cell r="A4607">
            <v>99622</v>
          </cell>
          <cell r="B4607" t="str">
            <v>VÁLVULA DE RETENÇÃO HORIZONTAL, DE BRONZE, ROSCÁVEL, 1 1/2"  - FORNECIMENTO E INSTALAÇÃO. AF_01/2019</v>
          </cell>
          <cell r="C4607" t="str">
            <v>UN</v>
          </cell>
          <cell r="D4607">
            <v>148.49</v>
          </cell>
        </row>
        <row r="4608">
          <cell r="A4608">
            <v>99623</v>
          </cell>
          <cell r="B4608" t="str">
            <v>VÁLVULA DE RETENÇÃO HORIZONTAL, DE BRONZE, ROSCÁVEL, 2"  - FORNECIMENTO E INSTALAÇÃO. AF_01/2019</v>
          </cell>
          <cell r="C4608" t="str">
            <v>UN</v>
          </cell>
          <cell r="D4608">
            <v>198.08</v>
          </cell>
        </row>
        <row r="4609">
          <cell r="A4609">
            <v>99624</v>
          </cell>
          <cell r="B4609" t="str">
            <v>VÁLVULA DE RETENÇÃO HORIZONTAL, DE BRONZE, ROSCÁVEL, 2 1/2" - FORNECIMENTO E INSTALAÇÃO. AF_01/2019</v>
          </cell>
          <cell r="C4609" t="str">
            <v>UN</v>
          </cell>
          <cell r="D4609">
            <v>270.60000000000002</v>
          </cell>
        </row>
        <row r="4610">
          <cell r="A4610">
            <v>99625</v>
          </cell>
          <cell r="B4610" t="str">
            <v>VÁLVULA DE RETENÇÃO HORIZONTAL, DE BRONZE, ROSCÁVEL, 3" - FORNECIMENTO E INSTALAÇÃO. AF_01/2019</v>
          </cell>
          <cell r="C4610" t="str">
            <v>UN</v>
          </cell>
          <cell r="D4610">
            <v>363.86</v>
          </cell>
        </row>
        <row r="4611">
          <cell r="A4611">
            <v>99626</v>
          </cell>
          <cell r="B4611" t="str">
            <v>VÁLVULA DE RETENÇÃO HORIZONTAL, DE BRONZE, ROSCÁVEL, 4" - FORNECIMENTO E INSTALAÇÃO. AF_01/2019</v>
          </cell>
          <cell r="C4611" t="str">
            <v>UN</v>
          </cell>
          <cell r="D4611">
            <v>547.39</v>
          </cell>
        </row>
        <row r="4612">
          <cell r="A4612">
            <v>99627</v>
          </cell>
          <cell r="B4612" t="str">
            <v>VÁLVULA DE RETENÇÃO VERTICAL, DE BRONZE, ROSCÁVEL, 1/2" - FORNECIMENTO E INSTALAÇÃO. AF_01/2019</v>
          </cell>
          <cell r="C4612" t="str">
            <v>UN</v>
          </cell>
          <cell r="D4612">
            <v>59.92</v>
          </cell>
        </row>
        <row r="4613">
          <cell r="A4613">
            <v>99628</v>
          </cell>
          <cell r="B4613" t="str">
            <v>VÁLVULA DE RETENÇÃO VERTICAL, DE BRONZE, ROSCÁVEL, 3/4" - FORNECIMENTO E INSTALAÇÃO. AF_01/2019</v>
          </cell>
          <cell r="C4613" t="str">
            <v>UN</v>
          </cell>
          <cell r="D4613">
            <v>41.18</v>
          </cell>
        </row>
        <row r="4614">
          <cell r="A4614">
            <v>99629</v>
          </cell>
          <cell r="B4614" t="str">
            <v>VÁLVULA DE RETENÇÃO VERTICAL, DE BRONZE, ROSCÁVEL, 1" - FORNECIMENTO E INSTALAÇÃO. AF_01/2019</v>
          </cell>
          <cell r="C4614" t="str">
            <v>UN</v>
          </cell>
          <cell r="D4614">
            <v>64.53</v>
          </cell>
        </row>
        <row r="4615">
          <cell r="A4615">
            <v>99630</v>
          </cell>
          <cell r="B4615" t="str">
            <v>VÁLVULA DE RETENÇÃO VERTICAL, DE BRONZE, ROSCÁVEL, 1 1/4" - FORNECIMENTO E INSTALAÇÃO. AF_01/2019</v>
          </cell>
          <cell r="C4615" t="str">
            <v>UN</v>
          </cell>
          <cell r="D4615">
            <v>83.74</v>
          </cell>
        </row>
        <row r="4616">
          <cell r="A4616">
            <v>99631</v>
          </cell>
          <cell r="B4616" t="str">
            <v>VÁLVULA DE RETENÇÃO VERTICAL, DE BRONZE, ROSCÁVEL, 1 1/2" - FORNECIMENTO E INSTALAÇÃO. AF_01/2019</v>
          </cell>
          <cell r="C4616" t="str">
            <v>UN</v>
          </cell>
          <cell r="D4616">
            <v>92.2</v>
          </cell>
        </row>
        <row r="4617">
          <cell r="A4617">
            <v>99632</v>
          </cell>
          <cell r="B4617" t="str">
            <v>VÁLVULA DE RETENÇÃO VERTICAL, DE BRONZE, ROSCÁVEL, 2" - FORNECIMENTO E INSTALAÇÃO. AF_01/2019</v>
          </cell>
          <cell r="C4617" t="str">
            <v>UN</v>
          </cell>
          <cell r="D4617">
            <v>122.81</v>
          </cell>
        </row>
        <row r="4618">
          <cell r="A4618">
            <v>99633</v>
          </cell>
          <cell r="B4618" t="str">
            <v>VÁLVULA DE RETENÇÃO VERTICAL, DE BRONZE, ROSCÁVEL, 3" - FORNECIMENTO E INSTALAÇÃO. AF_01/2019</v>
          </cell>
          <cell r="C4618" t="str">
            <v>UN</v>
          </cell>
          <cell r="D4618">
            <v>235.07</v>
          </cell>
        </row>
        <row r="4619">
          <cell r="A4619">
            <v>99634</v>
          </cell>
          <cell r="B4619" t="str">
            <v>VÁLVULA DE RETENÇÃO VERTICAL, DE BRONZE, ROSCÁVEL, 4" - FORNECIMENTO E INSTALAÇÃO. AF_01/2019</v>
          </cell>
          <cell r="C4619" t="str">
            <v>UN</v>
          </cell>
          <cell r="D4619">
            <v>385.36</v>
          </cell>
        </row>
        <row r="4620">
          <cell r="A4620">
            <v>99635</v>
          </cell>
          <cell r="B4620" t="str">
            <v>VÁLVULA DE DESCARGA METÁLICA, BASE 1 1/2 ", ACABAMENTO METALICO CROMADO - FORNECIMENTO E INSTALAÇÃO. AF_01/2019</v>
          </cell>
          <cell r="C4620" t="str">
            <v>UN</v>
          </cell>
          <cell r="D4620">
            <v>191.71</v>
          </cell>
        </row>
        <row r="4621">
          <cell r="A4621">
            <v>95634</v>
          </cell>
          <cell r="B4621" t="str">
            <v>KIT CAVALETE PARA MEDIÇÃO DE ÁGUA - ENTRADA PRINCIPAL, EM PVC SOLDÁVEL DN 20 (½")   FORNECIMENTO E INSTALAÇÃO (EXCLUSIVE HIDRÔMETRO). AF_11/2016</v>
          </cell>
          <cell r="C4621" t="str">
            <v>UN</v>
          </cell>
          <cell r="D4621">
            <v>122.12</v>
          </cell>
        </row>
        <row r="4622">
          <cell r="A4622">
            <v>95635</v>
          </cell>
          <cell r="B4622" t="str">
            <v>KIT CAVALETE PARA MEDIÇÃO DE ÁGUA - ENTRADA PRINCIPAL, EM PVC SOLDÁVEL DN 25 (¾")   FORNECIMENTO E INSTALAÇÃO (EXCLUSIVE HIDRÔMETRO). AF_11/2016</v>
          </cell>
          <cell r="C4622" t="str">
            <v>UN</v>
          </cell>
          <cell r="D4622">
            <v>132.85</v>
          </cell>
        </row>
        <row r="4623">
          <cell r="A4623">
            <v>95637</v>
          </cell>
          <cell r="B4623" t="str">
            <v>KIT CAVALETE PARA MEDIÇÃO DE ÁGUA - ENTRADA PRINCIPAL, EM AÇO GALVANIZADO DN 32 (1 ¼)  FORNECIMENTO E INSTALAÇÃO (EXCLUSIVE HIDRÔMETRO). AF_11/2016</v>
          </cell>
          <cell r="C4623" t="str">
            <v>UN</v>
          </cell>
          <cell r="D4623">
            <v>366.9</v>
          </cell>
        </row>
        <row r="4624">
          <cell r="A4624">
            <v>95638</v>
          </cell>
          <cell r="B4624" t="str">
            <v>KIT CAVALETE PARA MEDIÇÃO DE ÁGUA - ENTRADA PRINCIPAL, EM AÇO GALVANIZADO DN 40 (1 ½)  FORNECIMENTO E INSTALAÇÃO (EXCLUSIVE HIDRÔMETRO). AF_11/2016</v>
          </cell>
          <cell r="C4624" t="str">
            <v>UN</v>
          </cell>
          <cell r="D4624">
            <v>443.29</v>
          </cell>
        </row>
        <row r="4625">
          <cell r="A4625">
            <v>95639</v>
          </cell>
          <cell r="B4625" t="str">
            <v>KIT CAVALETE PARA MEDIÇÃO DE ÁGUA - ENTRADA PRINCIPAL, EM AÇO GALVANIZADO DN 50 (2)  FORNECIMENTO E INSTALAÇÃO (EXCLUSIVE HIDRÔMETRO). AF_11/2016</v>
          </cell>
          <cell r="C4625" t="str">
            <v>UN</v>
          </cell>
          <cell r="D4625">
            <v>554.44000000000005</v>
          </cell>
        </row>
        <row r="4626">
          <cell r="A4626">
            <v>95641</v>
          </cell>
          <cell r="B4626" t="str">
            <v>KIT CAVALETE PARA MEDIÇÃO DE ÁGUA - ENTRADA INDIVIDUALIZADA, EM PVC DN 25 (¾), PARA 2 MEDIDORES  FORNECIMENTO E INSTALAÇÃO (EXCLUSIVE HIDRÔMETRO). AF_11/2016</v>
          </cell>
          <cell r="C4626" t="str">
            <v>UN</v>
          </cell>
          <cell r="D4626">
            <v>223.31</v>
          </cell>
        </row>
        <row r="4627">
          <cell r="A4627">
            <v>95642</v>
          </cell>
          <cell r="B4627" t="str">
            <v>KIT CAVALETE PARA MEDIÇÃO DE ÁGUA - ENTRADA INDIVIDUALIZADA, EM PVC DN 25 (¾), PARA 3 MEDIDORES  FORNECIMENTO E INSTALAÇÃO (EXCLUSIVE HIDRÔMETRO). AF_11/2016</v>
          </cell>
          <cell r="C4627" t="str">
            <v>UN</v>
          </cell>
          <cell r="D4627">
            <v>329.96</v>
          </cell>
        </row>
        <row r="4628">
          <cell r="A4628">
            <v>95643</v>
          </cell>
          <cell r="B4628" t="str">
            <v>KIT CAVALETE PARA MEDIÇÃO DE ÁGUA - ENTRADA INDIVIDUALIZADA, EM PVC DN 25 (¾), PARA 4 MEDIDORES  FORNECIMENTO E INSTALAÇÃO (EXCLUSIVE HIDRÔMETRO). AF_11/2016</v>
          </cell>
          <cell r="C4628" t="str">
            <v>UN</v>
          </cell>
          <cell r="D4628">
            <v>431.95</v>
          </cell>
        </row>
        <row r="4629">
          <cell r="A4629">
            <v>95644</v>
          </cell>
          <cell r="B4629" t="str">
            <v>KIT CAVALETE PARA MEDIÇÃO DE ÁGUA - ENTRADA INDIVIDUALIZADA, EM PVC DN 32 (1), PARA 1 MEDIDOR  FORNECIMENTO E INSTALAÇÃO (EXCLUSIVE HIDRÔMETRO). AF_11/2016</v>
          </cell>
          <cell r="C4629" t="str">
            <v>UN</v>
          </cell>
          <cell r="D4629">
            <v>160.11000000000001</v>
          </cell>
        </row>
        <row r="4630">
          <cell r="A4630">
            <v>95645</v>
          </cell>
          <cell r="B4630" t="str">
            <v>KIT CAVALETE PARA MEDIÇÃO DE ÁGUA - ENTRADA INDIVIDUALIZADA, EM PVC DN 32 (1), PARA 2 MEDIDORES  FORNECIMENTO E INSTALAÇÃO (EXCLUSIVE HIDRÔMETRO). AF_11/2016</v>
          </cell>
          <cell r="C4630" t="str">
            <v>UN</v>
          </cell>
          <cell r="D4630">
            <v>293.64999999999998</v>
          </cell>
        </row>
        <row r="4631">
          <cell r="A4631">
            <v>95646</v>
          </cell>
          <cell r="B4631" t="str">
            <v>KIT CAVALETE PARA MEDIÇÃO DE ÁGUA - ENTRADA INDIVIDUALIZADA, EM PVC DN 32 (1), PARA 3 MEDIDORES  FORNECIMENTO E INSTALAÇÃO (EXCLUSIVE HIDRÔMETRO). AF_11/2016</v>
          </cell>
          <cell r="C4631" t="str">
            <v>UN</v>
          </cell>
          <cell r="D4631">
            <v>437.25</v>
          </cell>
        </row>
        <row r="4632">
          <cell r="A4632">
            <v>95647</v>
          </cell>
          <cell r="B4632" t="str">
            <v>KIT CAVALETE PARA MEDIÇÃO DE ÁGUA - ENTRADA INDIVIDUALIZADA, EM PVC DN 32 (1), PARA 4 MEDIDORES  FORNECIMENTO E INSTALAÇÃO (EXCLUSIVE HIDRÔMETRO). AF_11/2016</v>
          </cell>
          <cell r="C4632" t="str">
            <v>UN</v>
          </cell>
          <cell r="D4632">
            <v>573.57000000000005</v>
          </cell>
        </row>
        <row r="4633">
          <cell r="A4633">
            <v>95673</v>
          </cell>
          <cell r="B4633" t="str">
            <v>HIDRÔMETRO DN 20 (½), 1,5 M³/H  FORNECIMENTO E INSTALAÇÃO. AF_11/2016</v>
          </cell>
          <cell r="C4633" t="str">
            <v>UN</v>
          </cell>
          <cell r="D4633">
            <v>96.27</v>
          </cell>
        </row>
        <row r="4634">
          <cell r="A4634">
            <v>95674</v>
          </cell>
          <cell r="B4634" t="str">
            <v>HIDRÔMETRO DN 20 (½), 3,0 M³/H  FORNECIMENTO E INSTALAÇÃO. AF_11/2016</v>
          </cell>
          <cell r="C4634" t="str">
            <v>UN</v>
          </cell>
          <cell r="D4634">
            <v>102.15</v>
          </cell>
        </row>
        <row r="4635">
          <cell r="A4635">
            <v>95675</v>
          </cell>
          <cell r="B4635" t="str">
            <v>HIDRÔMETRO DN 25 (¾ ), 5,0 M³/H FORNECIMENTO E INSTALAÇÃO. AF_11/2016</v>
          </cell>
          <cell r="C4635" t="str">
            <v>UN</v>
          </cell>
          <cell r="D4635">
            <v>124.72</v>
          </cell>
        </row>
        <row r="4636">
          <cell r="A4636">
            <v>95676</v>
          </cell>
          <cell r="B4636" t="str">
            <v>CAIXA EM CONCRETO PRÉ-MOLDADO PARA ABRIGO DE HIDRÔMETRO COM DN 20 (½)  FORNECIMENTO E INSTALAÇÃO. AF_11/2016</v>
          </cell>
          <cell r="C4636" t="str">
            <v>UN</v>
          </cell>
          <cell r="D4636">
            <v>70.38</v>
          </cell>
        </row>
        <row r="4637">
          <cell r="A4637">
            <v>97741</v>
          </cell>
          <cell r="B4637" t="str">
            <v>KIT CAVALETE PARA MEDIÇÃO DE ÁGUA - ENTRADA INDIVIDUALIZADA, EM PVC DN 25 (¾), PARA 1 MEDIDOR  FORNECIMENTO E INSTALAÇÃO (EXCLUSIVE HIDRÔMETRO). AF_11/2016</v>
          </cell>
          <cell r="C4637" t="str">
            <v>UN</v>
          </cell>
          <cell r="D4637">
            <v>124.59</v>
          </cell>
        </row>
        <row r="4638">
          <cell r="A4638">
            <v>72285</v>
          </cell>
          <cell r="B4638" t="str">
            <v>CAIXA DE AREIA 40X40X40CM EM ALVENARIA - EXECUÇÃO</v>
          </cell>
          <cell r="C4638" t="str">
            <v>UN</v>
          </cell>
          <cell r="D4638">
            <v>83.3</v>
          </cell>
        </row>
        <row r="4639">
          <cell r="A4639">
            <v>90436</v>
          </cell>
          <cell r="B4639" t="str">
            <v>FURO EM ALVENARIA PARA DIÂMETROS MENORES OU IGUAIS A 40 MM. AF_05/2015</v>
          </cell>
          <cell r="C4639" t="str">
            <v>UN</v>
          </cell>
          <cell r="D4639">
            <v>11.01</v>
          </cell>
        </row>
        <row r="4640">
          <cell r="A4640">
            <v>90437</v>
          </cell>
          <cell r="B4640" t="str">
            <v>FURO EM ALVENARIA PARA DIÂMETROS MAIORES QUE 40 MM E MENORES OU IGUAIS A 75 MM. AF_05/2015</v>
          </cell>
          <cell r="C4640" t="str">
            <v>UN</v>
          </cell>
          <cell r="D4640">
            <v>26.75</v>
          </cell>
        </row>
        <row r="4641">
          <cell r="A4641">
            <v>90438</v>
          </cell>
          <cell r="B4641" t="str">
            <v>FURO EM ALVENARIA PARA DIÂMETROS MAIORES QUE 75 MM. AF_05/2015</v>
          </cell>
          <cell r="C4641" t="str">
            <v>UN</v>
          </cell>
          <cell r="D4641">
            <v>38.33</v>
          </cell>
        </row>
        <row r="4642">
          <cell r="A4642">
            <v>90439</v>
          </cell>
          <cell r="B4642" t="str">
            <v>FURO EM CONCRETO PARA DIÂMETROS MENORES OU IGUAIS A 40 MM. AF_05/2015</v>
          </cell>
          <cell r="C4642" t="str">
            <v>UN</v>
          </cell>
          <cell r="D4642">
            <v>43.69</v>
          </cell>
        </row>
        <row r="4643">
          <cell r="A4643">
            <v>90440</v>
          </cell>
          <cell r="B4643" t="str">
            <v>FURO EM CONCRETO PARA DIÂMETROS MAIORES QUE 40 MM E MENORES OU IGUAIS A 75 MM. AF_05/2015</v>
          </cell>
          <cell r="C4643" t="str">
            <v>UN</v>
          </cell>
          <cell r="D4643">
            <v>69.989999999999995</v>
          </cell>
        </row>
        <row r="4644">
          <cell r="A4644">
            <v>90441</v>
          </cell>
          <cell r="B4644" t="str">
            <v>FURO EM CONCRETO PARA DIÂMETROS MAIORES QUE 75 MM. AF_05/2015</v>
          </cell>
          <cell r="C4644" t="str">
            <v>UN</v>
          </cell>
          <cell r="D4644">
            <v>89.39</v>
          </cell>
        </row>
        <row r="4645">
          <cell r="A4645">
            <v>90443</v>
          </cell>
          <cell r="B4645" t="str">
            <v>RASGO EM ALVENARIA PARA RAMAIS/ DISTRIBUIÇÃO COM DIAMETROS MENORES OU IGUAIS A 40 MM. AF_05/2015</v>
          </cell>
          <cell r="C4645" t="str">
            <v>M</v>
          </cell>
          <cell r="D4645">
            <v>10</v>
          </cell>
        </row>
        <row r="4646">
          <cell r="A4646">
            <v>90444</v>
          </cell>
          <cell r="B4646" t="str">
            <v>RASGO EM CONTRAPISO PARA RAMAIS/ DISTRIBUIÇÃO COM DIÂMETROS MENORES OU IGUAIS A 40 MM. AF_05/2015</v>
          </cell>
          <cell r="C4646" t="str">
            <v>M</v>
          </cell>
          <cell r="D4646">
            <v>18.739999999999998</v>
          </cell>
        </row>
        <row r="4647">
          <cell r="A4647">
            <v>90445</v>
          </cell>
          <cell r="B4647" t="str">
            <v>RASGO EM CONTRAPISO PARA RAMAIS/ DISTRIBUIÇÃO COM DIÂMETROS MAIORES QUE 40 MM E MENORES OU IGUAIS A 75 MM. AF_05/2015</v>
          </cell>
          <cell r="C4647" t="str">
            <v>M</v>
          </cell>
          <cell r="D4647">
            <v>20.010000000000002</v>
          </cell>
        </row>
        <row r="4648">
          <cell r="A4648">
            <v>90446</v>
          </cell>
          <cell r="B4648" t="str">
            <v>RASGO EM CONTRAPISO PARA RAMAIS/ DISTRIBUIÇÃO COM DIÂMETROS MAIORES QUE 75 MM. AF_05/2015</v>
          </cell>
          <cell r="C4648" t="str">
            <v>M</v>
          </cell>
          <cell r="D4648">
            <v>21.74</v>
          </cell>
        </row>
        <row r="4649">
          <cell r="A4649">
            <v>90447</v>
          </cell>
          <cell r="B4649" t="str">
            <v>RASGO EM ALVENARIA PARA ELETRODUTOS COM DIAMETROS MENORES OU IGUAIS A 40 MM. AF_05/2015</v>
          </cell>
          <cell r="C4649" t="str">
            <v>M</v>
          </cell>
          <cell r="D4649">
            <v>4.96</v>
          </cell>
        </row>
        <row r="4650">
          <cell r="A4650">
            <v>90451</v>
          </cell>
          <cell r="B4650" t="str">
            <v>PASSANTE TIPO PEÇA EM POLIESTIRENO PARA ABERTURA PARA PASSAGEM DE 1 TUBO, FIXADO EM LAJE. AF_05/2015</v>
          </cell>
          <cell r="C4650" t="str">
            <v>UN</v>
          </cell>
          <cell r="D4650">
            <v>3.3</v>
          </cell>
        </row>
        <row r="4651">
          <cell r="A4651">
            <v>90452</v>
          </cell>
          <cell r="B4651" t="str">
            <v>PASSANTE TIPO PEÇA EM POLIESTIRENO PARA ABERTURA PARA PASSAGEM DE MAIS DE 1 TUBO, FIXADO EM LAJE. AF_05/2015</v>
          </cell>
          <cell r="C4651" t="str">
            <v>UN</v>
          </cell>
          <cell r="D4651">
            <v>13.49</v>
          </cell>
        </row>
        <row r="4652">
          <cell r="A4652">
            <v>90453</v>
          </cell>
          <cell r="B4652" t="str">
            <v>PASSANTE TIPO TUBO DE DIÂMETRO MENOR OU IGUAL A 40 MM, FIXADO EM LAJE. AF_05/2015</v>
          </cell>
          <cell r="C4652" t="str">
            <v>UN</v>
          </cell>
          <cell r="D4652">
            <v>2.08</v>
          </cell>
        </row>
        <row r="4653">
          <cell r="A4653">
            <v>90454</v>
          </cell>
          <cell r="B4653" t="str">
            <v>PASSANTE TIPO TUBO DE DIÂMETRO MAIORES QUE 40 MM E MENORES OU IGUAIS A 75 MM, FIXADO EM LAJE. AF_05/2015</v>
          </cell>
          <cell r="C4653" t="str">
            <v>UN</v>
          </cell>
          <cell r="D4653">
            <v>3.69</v>
          </cell>
        </row>
        <row r="4654">
          <cell r="A4654">
            <v>90455</v>
          </cell>
          <cell r="B4654" t="str">
            <v>PASSANTE TIPO TUBO DE DIÂMETRO MAIOR QUE 75 MM, FIXADO EM LAJE. AF_05/2015</v>
          </cell>
          <cell r="C4654" t="str">
            <v>UN</v>
          </cell>
          <cell r="D4654">
            <v>4.9000000000000004</v>
          </cell>
        </row>
        <row r="4655">
          <cell r="A4655">
            <v>90456</v>
          </cell>
          <cell r="B4655" t="str">
            <v>QUEBRA EM ALVENARIA PARA INSTALAÇÃO DE CAIXA DE TOMADA (4X4 OU 4X2). AF_05/2015</v>
          </cell>
          <cell r="C4655" t="str">
            <v>UN</v>
          </cell>
          <cell r="D4655">
            <v>3.21</v>
          </cell>
        </row>
        <row r="4656">
          <cell r="A4656">
            <v>90457</v>
          </cell>
          <cell r="B4656" t="str">
            <v>QUEBRA EM ALVENARIA PARA INSTALAÇÃO DE QUADRO DISTRIBUIÇÃO PEQUENO (19X25 CM). AF_05/2015</v>
          </cell>
          <cell r="C4656" t="str">
            <v>UN</v>
          </cell>
          <cell r="D4656">
            <v>7.32</v>
          </cell>
        </row>
        <row r="4657">
          <cell r="A4657">
            <v>90458</v>
          </cell>
          <cell r="B4657" t="str">
            <v>QUEBRA EM ALVENARIA PARA INSTALAÇÃO DE QUADRO DISTRIBUIÇÃO GRANDE (76X40 CM). AF_05/2015</v>
          </cell>
          <cell r="C4657" t="str">
            <v>UN</v>
          </cell>
          <cell r="D4657">
            <v>20.78</v>
          </cell>
        </row>
        <row r="4658">
          <cell r="A4658">
            <v>90459</v>
          </cell>
          <cell r="B4658" t="str">
            <v>QUEBRA EM ALVENARIA PARA INSTALAÇÃO DE ABRIGO PARA MANGUEIRAS (90X60 CM). AF_05/2015</v>
          </cell>
          <cell r="C4658" t="str">
            <v>UN</v>
          </cell>
          <cell r="D4658">
            <v>29.31</v>
          </cell>
        </row>
        <row r="4659">
          <cell r="A4659">
            <v>90460</v>
          </cell>
          <cell r="B4659" t="str">
            <v>SUPORTE PARA ATÉ 3 TUBOS HORIZONTAIS, ESPAÇADO A CADA 1 M, EM PERFILADO DE SEÇÃO 38X76 MM, POR METRO DE TUBULAÇÃO FIXADA. AF_05/2015</v>
          </cell>
          <cell r="C4659" t="str">
            <v>M</v>
          </cell>
          <cell r="D4659">
            <v>23.47</v>
          </cell>
        </row>
        <row r="4660">
          <cell r="A4660">
            <v>90461</v>
          </cell>
          <cell r="B4660" t="str">
            <v>SUPORTE PARA MAIS DE 3 TUBOS HORIZONTAIS, ESPAÇADO A CADA 1 M, EM PERFILADO DE SEÇÃO 38X76 MM, POR METRO DE TUBULAÇÃO FIXADA. AF_05/2015</v>
          </cell>
          <cell r="C4660" t="str">
            <v>M</v>
          </cell>
          <cell r="D4660">
            <v>12.86</v>
          </cell>
        </row>
        <row r="4661">
          <cell r="A4661">
            <v>90462</v>
          </cell>
          <cell r="B4661" t="str">
            <v>SUPORTE PARA ATÉ 3 TUBOS VERTICAIS, ESPAÇADO A CADA 3 M, EM PERFILADO DE SEÇÃO 38X38 MM, POR METRO DE TUBULAÇÃO FIXADA. AF_05/2015</v>
          </cell>
          <cell r="C4661" t="str">
            <v>M</v>
          </cell>
          <cell r="D4661">
            <v>2.81</v>
          </cell>
        </row>
        <row r="4662">
          <cell r="A4662">
            <v>90463</v>
          </cell>
          <cell r="B4662" t="str">
            <v>SUPORTE PARA MAIS DE 3 TUBOS VERTICAIS, ESPAÇADO A CADA 3 M, EM PERFILADO DE SEÇÃO 38X38 MM, POR METRO DE TUBULAÇÃO FIXADA. AF_05/2015</v>
          </cell>
          <cell r="C4662" t="str">
            <v>M</v>
          </cell>
          <cell r="D4662">
            <v>2.25</v>
          </cell>
        </row>
        <row r="4663">
          <cell r="A4663">
            <v>90466</v>
          </cell>
          <cell r="B4663" t="str">
            <v>CHUMBAMENTO LINEAR EM ALVENARIA PARA RAMAIS/DISTRIBUIÇÃO COM DIÂMETROS MENORES OU IGUAIS A 40 MM. AF_05/2015</v>
          </cell>
          <cell r="C4663" t="str">
            <v>M</v>
          </cell>
          <cell r="D4663">
            <v>9.93</v>
          </cell>
        </row>
        <row r="4664">
          <cell r="A4664">
            <v>90467</v>
          </cell>
          <cell r="B4664" t="str">
            <v>CHUMBAMENTO LINEAR EM ALVENARIA PARA RAMAIS/DISTRIBUIÇÃO COM DIÂMETROS MAIORES QUE 40 MM E MENORES OU IGUAIS A 75 MM. AF_05/2015</v>
          </cell>
          <cell r="C4664" t="str">
            <v>M</v>
          </cell>
          <cell r="D4664">
            <v>15.7</v>
          </cell>
        </row>
        <row r="4665">
          <cell r="A4665">
            <v>90468</v>
          </cell>
          <cell r="B4665" t="str">
            <v>CHUMBAMENTO LINEAR EM CONTRAPISO PARA RAMAIS/DISTRIBUIÇÃO COM DIÂMETROS MENORES OU IGUAIS A 40 MM. AF_05/2015</v>
          </cell>
          <cell r="C4665" t="str">
            <v>M</v>
          </cell>
          <cell r="D4665">
            <v>4.32</v>
          </cell>
        </row>
        <row r="4666">
          <cell r="A4666">
            <v>90469</v>
          </cell>
          <cell r="B4666" t="str">
            <v>CHUMBAMENTO LINEAR EM CONTRAPISO PARA RAMAIS/DISTRIBUIÇÃO COM DIÂMETROS MAIORES QUE 40 MM E MENORES OU IGUAIS A 75 MM. AF_05/2015</v>
          </cell>
          <cell r="C4666" t="str">
            <v>M</v>
          </cell>
          <cell r="D4666">
            <v>6.92</v>
          </cell>
        </row>
        <row r="4667">
          <cell r="A4667">
            <v>90470</v>
          </cell>
          <cell r="B4667" t="str">
            <v>CHUMBAMENTO LINEAR EM CONTRAPISO PARA RAMAIS/DISTRIBUIÇÃO COM DIÂMETROS MAIORES QUE 75 MM. AF_05/2015</v>
          </cell>
          <cell r="C4667" t="str">
            <v>M</v>
          </cell>
          <cell r="D4667">
            <v>9.5</v>
          </cell>
        </row>
        <row r="4668">
          <cell r="A4668">
            <v>91166</v>
          </cell>
          <cell r="B4668" t="str">
            <v>FIXAÇÃO DE TUBOS HORIZONTAIS DE PEX DIAMETROS IGUAIS OU INFERIORES A 40 MM COM ABRAÇADEIRA PLÁSTICA 390 MM, FIXADA EM LAJE. AF_05/2015</v>
          </cell>
          <cell r="C4668" t="str">
            <v>M</v>
          </cell>
          <cell r="D4668">
            <v>3.17</v>
          </cell>
        </row>
        <row r="4669">
          <cell r="A4669">
            <v>91167</v>
          </cell>
          <cell r="B4669" t="str">
            <v>FIXAÇÃO DE TUBOS HORIZONTAIS DE PPR DIÂMETROS MENORES OU IGUAIS A 40 MM COM ABRAÇADEIRA METÁLICA RÍGIDA TIPO D 1/2", FIXADA EM PERFILADO EM LAJE. AF_05/2015</v>
          </cell>
          <cell r="C4669" t="str">
            <v>M</v>
          </cell>
          <cell r="D4669">
            <v>9.07</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v>6.87</v>
          </cell>
        </row>
        <row r="4671">
          <cell r="A4671">
            <v>91169</v>
          </cell>
          <cell r="B4671" t="str">
            <v>FIXAÇÃO DE TUBOS HORIZONTAIS DE PPR DIÂMETROS MAIORES QUE 75 MM COM ABRAÇADEIRA METÁLICA RÍGIDA TIPO D 3", FIXADA EM PERFILADO EM LAJE. AF_05/2015</v>
          </cell>
          <cell r="C4671" t="str">
            <v>M</v>
          </cell>
          <cell r="D4671">
            <v>8.1300000000000008</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v>2.33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v>2.92</v>
          </cell>
        </row>
        <row r="4674">
          <cell r="A4674">
            <v>91172</v>
          </cell>
          <cell r="B4674" t="str">
            <v>FIXAÇÃO DE TUBOS HORIZONTAIS DE PVC, CPVC OU COBRE DIÂMETROS MAIORES QUE 75 MM COM ABRAÇADEIRA METÁLICA RÍGIDA TIPO D 3", FIXADA EM PERFILADO EM LAJE. AF_05/2015</v>
          </cell>
          <cell r="C4674" t="str">
            <v>M</v>
          </cell>
          <cell r="D4674">
            <v>4.29</v>
          </cell>
        </row>
        <row r="4675">
          <cell r="A4675">
            <v>91173</v>
          </cell>
          <cell r="B4675" t="str">
            <v>FIXAÇÃO DE TUBOS VERTICAIS DE PPR DIÂMETROS MENORES OU IGUAIS A 40 MM COM ABRAÇADEIRA METÁLICA RÍGIDA TIPO D 1/2", FIXADA EM PERFILADO EM ALVENARIA. AF_05/2015</v>
          </cell>
          <cell r="C4675" t="str">
            <v>M</v>
          </cell>
          <cell r="D4675">
            <v>1.17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v>2.31</v>
          </cell>
        </row>
        <row r="4677">
          <cell r="A4677">
            <v>91175</v>
          </cell>
          <cell r="B4677" t="str">
            <v>FIXAÇÃO DE TUBOS VERTICAIS DE PPR DIÂMETROS MAIORES QUE 75 MM COM ABRAÇADEIRA METÁLICA RÍGIDA TIPO D 3", FIXADA EM PERFILADO EM ALVENARIA. AF_05/2015</v>
          </cell>
          <cell r="C4677" t="str">
            <v>M</v>
          </cell>
          <cell r="D4677">
            <v>3.77</v>
          </cell>
        </row>
        <row r="4678">
          <cell r="A4678">
            <v>91176</v>
          </cell>
          <cell r="B4678" t="str">
            <v>FIXAÇÃO DE TUBOS HORIZONTAIS DE PPR DIÂMETROS MENORES OU IGUAIS A 40 MM COM ABRAÇADEIRA METÁLICA RÍGIDA TIPO  D  1/2" , FIXADA DIRETAMENTE NA LAJE. AF_05/2015</v>
          </cell>
          <cell r="C4678" t="str">
            <v>M</v>
          </cell>
          <cell r="D4678">
            <v>33.96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v>15.21</v>
          </cell>
        </row>
        <row r="4680">
          <cell r="A4680">
            <v>91178</v>
          </cell>
          <cell r="B4680" t="str">
            <v>FIXAÇÃO DE TUBOS HORIZONTAIS DE PPR DIÂMETROS MAIORES QUE 75 MM COM ABRAÇADEIRA METÁLICA RÍGIDA TIPO  D  3" , FIXADA DIRETAMENTE NA LAJE. AF_05/2015</v>
          </cell>
          <cell r="C4680" t="str">
            <v>M</v>
          </cell>
          <cell r="D4680">
            <v>15.16</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v>8.6999999999999993</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v>6.99</v>
          </cell>
        </row>
        <row r="4683">
          <cell r="A4683">
            <v>91181</v>
          </cell>
          <cell r="B4683" t="str">
            <v>FIXAÇÃO DE TUBOS HORIZONTAIS DE PVC, CPVC OU COBRE DIÂMETROS MAIORES QUE 75 MM COM ABRAÇADEIRA METÁLICA RÍGIDA TIPO  D  3" , FIXADA DIRETAMENTE NA LAJE. AF_05/2015</v>
          </cell>
          <cell r="C4683" t="str">
            <v>M</v>
          </cell>
          <cell r="D4683">
            <v>7.42</v>
          </cell>
        </row>
        <row r="4684">
          <cell r="A4684">
            <v>91182</v>
          </cell>
          <cell r="B4684" t="str">
            <v>FIXAÇÃO DE TUBOS HORIZONTAIS DE PPR DIÂMETROS MENORES OU IGUAIS A 40 MM COM ABRAÇADEIRA METÁLICA FLEXÍVEL 18 MM, FIXADA DIRETAMENTE NA LAJE. AF_05/2015</v>
          </cell>
          <cell r="C4684" t="str">
            <v>M</v>
          </cell>
          <cell r="D4684">
            <v>21.18</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v>10.43</v>
          </cell>
        </row>
        <row r="4686">
          <cell r="A4686">
            <v>91184</v>
          </cell>
          <cell r="B4686" t="str">
            <v>FIXAÇÃO DE TUBOS HORIZONTAIS DE PPR DIÂMETROS MAIORES QUE 75 MM COM ABRAÇADEIRA METÁLICA FLEXÍVEL 18 MM, FIXADA DIRETAMENTE NA LAJE. AF_05/2015</v>
          </cell>
          <cell r="C4686" t="str">
            <v>M</v>
          </cell>
          <cell r="D4686">
            <v>9.73</v>
          </cell>
        </row>
        <row r="4687">
          <cell r="A4687">
            <v>91185</v>
          </cell>
          <cell r="B4687" t="str">
            <v>FIXAÇÃO DE TUBOS HORIZONTAIS DE PVC, CPVC OU COBRE DIÂMETROS MENORES OU IGUAIS A 40 MM COM ABRAÇADEIRA METÁLICA FLEXÍVEL 18 MM, FIXADA DIRETAMENTE NA LAJE. AF_05/2015</v>
          </cell>
          <cell r="C4687" t="str">
            <v>M</v>
          </cell>
          <cell r="D4687">
            <v>5.43</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v>4.45</v>
          </cell>
        </row>
        <row r="4689">
          <cell r="A4689">
            <v>91187</v>
          </cell>
          <cell r="B4689" t="str">
            <v>FIXAÇÃO DE TUBOS HORIZONTAIS DE PVC, CPVC OU COBRE DIÂMETROS MAIORES QUE 75 MM COM ABRAÇADEIRA METÁLICA FLEXÍVEL 18 MM, FIXADA DIRETAMENTE NA LAJE. AF_05/2015</v>
          </cell>
          <cell r="C4689" t="str">
            <v>M</v>
          </cell>
          <cell r="D4689">
            <v>5.13</v>
          </cell>
        </row>
        <row r="4690">
          <cell r="A4690">
            <v>91188</v>
          </cell>
          <cell r="B4690" t="str">
            <v>CHUMBAMENTO PONTUAL DE ABERTURA EM LAJE COM PASSAGEM DE 1 TUBO DE DIAMETRO EQUIVALENTE IGUAL À  50 MM. AF_05/2015</v>
          </cell>
          <cell r="C4690" t="str">
            <v>UN</v>
          </cell>
          <cell r="D4690">
            <v>5.28</v>
          </cell>
        </row>
        <row r="4691">
          <cell r="A4691">
            <v>91189</v>
          </cell>
          <cell r="B4691" t="str">
            <v>CHUMBAMENTO PONTUAL DE ABERTURA EM LAJE COM PASSAGEM DE MAIS DE 1 TUBO DE  DIAMETRO EQUIVALENTE IGUAL À  50 MM. AF_05/2015</v>
          </cell>
          <cell r="C4691" t="str">
            <v>UN</v>
          </cell>
          <cell r="D4691">
            <v>34.99</v>
          </cell>
        </row>
        <row r="4692">
          <cell r="A4692">
            <v>91190</v>
          </cell>
          <cell r="B4692" t="str">
            <v>CHUMBAMENTO PONTUAL EM PASSAGEM DE TUBO COM DIÂMETRO MENOR OU IGUAL A 40 MM. AF_05/2015</v>
          </cell>
          <cell r="C4692" t="str">
            <v>UN</v>
          </cell>
          <cell r="D4692">
            <v>3.84</v>
          </cell>
        </row>
        <row r="4693">
          <cell r="A4693">
            <v>91191</v>
          </cell>
          <cell r="B4693" t="str">
            <v>CHUMBAMENTO PONTUAL EM PASSAGEM DE TUBO COM DIÂMETROS ENTRE 40 MM E 75 MM. AF_05/2015</v>
          </cell>
          <cell r="C4693" t="str">
            <v>UN</v>
          </cell>
          <cell r="D4693">
            <v>4.08</v>
          </cell>
        </row>
        <row r="4694">
          <cell r="A4694">
            <v>91192</v>
          </cell>
          <cell r="B4694" t="str">
            <v>CHUMBAMENTO PONTUAL EM PASSAGEM DE TUBO COM DIÂMETRO MAIOR QUE 75 MM. AF_05/2015</v>
          </cell>
          <cell r="C4694" t="str">
            <v>UN</v>
          </cell>
          <cell r="D4694">
            <v>4.5199999999999996</v>
          </cell>
        </row>
        <row r="4695">
          <cell r="A4695">
            <v>91222</v>
          </cell>
          <cell r="B4695" t="str">
            <v>RASGO EM ALVENARIA PARA RAMAIS/ DISTRIBUIÇÃO COM DIÂMETROS MAIORES QUE 40 MM E MENORES OU IGUAIS A 75 MM. AF_05/2015</v>
          </cell>
          <cell r="C4695" t="str">
            <v>M</v>
          </cell>
          <cell r="D4695">
            <v>10.77</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v>1684.54</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v>1210.97</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v>973.08</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v>828.16</v>
          </cell>
        </row>
        <row r="4700">
          <cell r="A4700">
            <v>95541</v>
          </cell>
          <cell r="B4700" t="str">
            <v>FIXAÇÃO UTILIZANDO PARAFUSO E BUCHA DE NYLON, SOMENTE MÃO DE OBRA. AF_10/2016</v>
          </cell>
          <cell r="C4700" t="str">
            <v>UN</v>
          </cell>
          <cell r="D4700">
            <v>3.56</v>
          </cell>
        </row>
        <row r="4701">
          <cell r="A4701">
            <v>96559</v>
          </cell>
          <cell r="B4701" t="str">
            <v>SUPORTE PARA DUTO EM CHAPA GALVANIZADA BITOLA 26, ESPAÇADO A CADA 1 M, EM PERFILADO DE SEÇÃO 38X76 MM, POR ÁREA DE DUTO FIXADO. AF_07/2017</v>
          </cell>
          <cell r="C4701" t="str">
            <v>M2</v>
          </cell>
          <cell r="D4701">
            <v>66.260000000000005</v>
          </cell>
        </row>
        <row r="4702">
          <cell r="A4702">
            <v>96560</v>
          </cell>
          <cell r="B4702" t="str">
            <v>SUPORTE PARA DUTO EM CHAPA GALVANIZADA BITOLA 24, ESPAÇADO A CADA 1 M, EM PERFILADO DE SEÇÃO 38X76 MM, POR ÁREA DE DUTO FIXADO. AF_07/2017</v>
          </cell>
          <cell r="C4702" t="str">
            <v>M2</v>
          </cell>
          <cell r="D4702">
            <v>34.049999999999997</v>
          </cell>
        </row>
        <row r="4703">
          <cell r="A4703">
            <v>96561</v>
          </cell>
          <cell r="B4703" t="str">
            <v>SUPORTE PARA DUTO EM CHAPA GALVANIZADA BITOLA 22, ESPAÇADO A CADA 1 M, EM PERFILADO DE SEÇÃO 38X76 MM, POR ÁREA DE DUTO FIXADO. AF_07/2017</v>
          </cell>
          <cell r="C4703" t="str">
            <v>M2</v>
          </cell>
          <cell r="D4703">
            <v>21.16</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v>34.4</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v>37.39</v>
          </cell>
        </row>
        <row r="4706">
          <cell r="A4706" t="str">
            <v>73826/1</v>
          </cell>
          <cell r="B4706" t="str">
            <v>INSTALACAO DE COMPRESSOR DE AR, POTENCIA &lt;= 5 CV</v>
          </cell>
          <cell r="C4706" t="str">
            <v>UN</v>
          </cell>
          <cell r="D4706">
            <v>394.4</v>
          </cell>
        </row>
        <row r="4707">
          <cell r="A4707" t="str">
            <v>73826/2</v>
          </cell>
          <cell r="B4707" t="str">
            <v>INSTALACAO DE COMPRESSOR DE AR, POTENCIA &gt; 5 E &lt;= 10 CV</v>
          </cell>
          <cell r="C4707" t="str">
            <v>UN</v>
          </cell>
          <cell r="D4707">
            <v>512.72</v>
          </cell>
        </row>
        <row r="4708">
          <cell r="A4708" t="str">
            <v>73834/1</v>
          </cell>
          <cell r="B4708" t="str">
            <v>INSTALACAO DE CONJ.MOTO BOMBA SUBMERSIVEL ATE 10 CV</v>
          </cell>
          <cell r="C4708" t="str">
            <v>UN</v>
          </cell>
          <cell r="D4708">
            <v>167.22</v>
          </cell>
        </row>
        <row r="4709">
          <cell r="A4709" t="str">
            <v>73834/2</v>
          </cell>
          <cell r="B4709" t="str">
            <v>INSTALACAO DE CONJ.MOTO BOMBA SUBMERSIVEL DE 11 A 25 CV</v>
          </cell>
          <cell r="C4709" t="str">
            <v>UN</v>
          </cell>
          <cell r="D4709">
            <v>267.56</v>
          </cell>
        </row>
        <row r="4710">
          <cell r="A4710" t="str">
            <v>73834/3</v>
          </cell>
          <cell r="B4710" t="str">
            <v>INSTALACAO DE CONJ.MOTO BOMBA SUBMERSIVEL DE 26 A 50 CV</v>
          </cell>
          <cell r="C4710" t="str">
            <v>UN</v>
          </cell>
          <cell r="D4710">
            <v>535.12</v>
          </cell>
        </row>
        <row r="4711">
          <cell r="A4711" t="str">
            <v>73834/4</v>
          </cell>
          <cell r="B4711" t="str">
            <v>INSTALACAO DE CONJ.MOTO BOMBA SUBMERSIVEL DE 51 A 100 CV</v>
          </cell>
          <cell r="C4711" t="str">
            <v>UN</v>
          </cell>
          <cell r="D4711">
            <v>802.68</v>
          </cell>
        </row>
        <row r="4712">
          <cell r="A4712" t="str">
            <v>73835/1</v>
          </cell>
          <cell r="B4712" t="str">
            <v>INSTALACAO DE CONJ.MOTO BOMBA VERTICAL POT &lt;= 100 CV</v>
          </cell>
          <cell r="C4712" t="str">
            <v>UN</v>
          </cell>
          <cell r="D4712">
            <v>1025</v>
          </cell>
        </row>
        <row r="4713">
          <cell r="A4713" t="str">
            <v>73835/2</v>
          </cell>
          <cell r="B4713" t="str">
            <v>INSTALACAO DE CONJ.MOTO BOMBA VERTICAL 100 &lt; POT &lt;= 200 CV</v>
          </cell>
          <cell r="C4713" t="str">
            <v>UN</v>
          </cell>
          <cell r="D4713">
            <v>1394</v>
          </cell>
        </row>
        <row r="4714">
          <cell r="A4714" t="str">
            <v>73835/3</v>
          </cell>
          <cell r="B4714" t="str">
            <v>INSTALACAO DE CONJ.MOTO BOMBA VERTICAL 200 &lt; POT &lt;= 300 CV</v>
          </cell>
          <cell r="C4714" t="str">
            <v>UN</v>
          </cell>
          <cell r="D4714">
            <v>1558</v>
          </cell>
        </row>
        <row r="4715">
          <cell r="A4715" t="str">
            <v>73836/1</v>
          </cell>
          <cell r="B4715" t="str">
            <v>INSTALACAO DE CONJ.MOTO BOMBA HORIZONTAL ATE 10 CV</v>
          </cell>
          <cell r="C4715" t="str">
            <v>UN</v>
          </cell>
          <cell r="D4715">
            <v>410</v>
          </cell>
        </row>
        <row r="4716">
          <cell r="A4716" t="str">
            <v>73836/2</v>
          </cell>
          <cell r="B4716" t="str">
            <v>INSTALACAO DE CONJ.MOTO BOMBA HORIZONTAL DE 12,5 A 25 CV</v>
          </cell>
          <cell r="C4716" t="str">
            <v>UN</v>
          </cell>
          <cell r="D4716">
            <v>533</v>
          </cell>
        </row>
        <row r="4717">
          <cell r="A4717" t="str">
            <v>73836/3</v>
          </cell>
          <cell r="B4717" t="str">
            <v>INSTALACAO DE CONJ.MOTO BOMBA HORIZONTAL DE 30 A 75 CV</v>
          </cell>
          <cell r="C4717" t="str">
            <v>UN</v>
          </cell>
          <cell r="D4717">
            <v>820</v>
          </cell>
        </row>
        <row r="4718">
          <cell r="A4718" t="str">
            <v>73836/4</v>
          </cell>
          <cell r="B4718" t="str">
            <v>INSTALACAO DE CONJ.MOTO BOMBA HORIZONTAL DE 100 A 150 CV</v>
          </cell>
          <cell r="C4718" t="str">
            <v>UN</v>
          </cell>
          <cell r="D4718">
            <v>1312</v>
          </cell>
        </row>
        <row r="4719">
          <cell r="A4719" t="str">
            <v>73837/1</v>
          </cell>
          <cell r="B4719" t="str">
            <v>INSTALACAO DE CONJ.MOTO BOMBA SUBMERSO ATE 5 CV</v>
          </cell>
          <cell r="C4719" t="str">
            <v>UN</v>
          </cell>
          <cell r="D4719">
            <v>167.22</v>
          </cell>
        </row>
        <row r="4720">
          <cell r="A4720" t="str">
            <v>73837/2</v>
          </cell>
          <cell r="B4720" t="str">
            <v>INSTALACAO DE CONJ.MOTO BOMBA SUBMERSO DE 6 A 25 CV</v>
          </cell>
          <cell r="C4720" t="str">
            <v>UN</v>
          </cell>
          <cell r="D4720">
            <v>334.45</v>
          </cell>
        </row>
        <row r="4721">
          <cell r="A4721" t="str">
            <v>73837/3</v>
          </cell>
          <cell r="B4721" t="str">
            <v>INSTALACAO DE CONJ.MOTO BOMBA SUBMERSO DE 26 A 50 CV</v>
          </cell>
          <cell r="C4721" t="str">
            <v>UN</v>
          </cell>
          <cell r="D4721">
            <v>668.9</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v>739.63</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v>604.14</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v>468.93</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v>337.82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v>454.5</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v>379.36</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v>302.83999999999997</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v>228.75</v>
          </cell>
        </row>
        <row r="4730">
          <cell r="A4730" t="str">
            <v>74151/1</v>
          </cell>
          <cell r="B4730" t="str">
            <v>ESCAVACAO E CARGA MATERIAL 1A CATEGORIA, UTILIZANDO TRATOR DE ESTEIRAS DE 110 A 160HP COM LAMINA, PESO OPERACIONAL * 13T  E PA CARREGADEIRA COM 170 HP.</v>
          </cell>
          <cell r="C4730" t="str">
            <v>M3</v>
          </cell>
          <cell r="D4730">
            <v>2.5099999999999998</v>
          </cell>
        </row>
        <row r="4731">
          <cell r="A4731" t="str">
            <v>74155/2</v>
          </cell>
          <cell r="B4731" t="str">
            <v>ESCAVACAO E TRANSPORTE DE MATERIAL DE  2A CAT DMT 50M COM TRATOR SOBRE  ESTEIRAS 347 HP COM LAMINA E ESCARIFICADOR</v>
          </cell>
          <cell r="C4731" t="str">
            <v>M3</v>
          </cell>
          <cell r="D4731">
            <v>2.65</v>
          </cell>
        </row>
        <row r="4732">
          <cell r="A4732" t="str">
            <v>74205/1</v>
          </cell>
          <cell r="B4732" t="str">
            <v>ESCAVACAO MECANICA DE MATERIAL 1A. CATEGORIA, PROVENIENTE DE CORTE DE SUBLEITO (C/TRATOR ESTEIRAS  160HP)</v>
          </cell>
          <cell r="C4732" t="str">
            <v>M3</v>
          </cell>
          <cell r="D4732">
            <v>1.29</v>
          </cell>
        </row>
        <row r="4733">
          <cell r="A4733">
            <v>79480</v>
          </cell>
          <cell r="B4733" t="str">
            <v>ESCAVACAO MECANICA CAMPO ABERTO EM SOLO EXCETO ROCHA ATE 2,00M PROFUNDIDADE</v>
          </cell>
          <cell r="C4733" t="str">
            <v>M3</v>
          </cell>
          <cell r="D4733">
            <v>1.9</v>
          </cell>
        </row>
        <row r="4734">
          <cell r="A4734">
            <v>83336</v>
          </cell>
          <cell r="B4734" t="str">
            <v>ESCAVACAO MECANICA PARA ACERTO DE TALUDES, EM MATERIAL DE 1A CATEGORIA, COM ESCAVADEIRA HIDRAULICA</v>
          </cell>
          <cell r="C4734" t="str">
            <v>M3</v>
          </cell>
          <cell r="D4734">
            <v>3.81</v>
          </cell>
        </row>
        <row r="4735">
          <cell r="A4735">
            <v>83338</v>
          </cell>
          <cell r="B4735" t="str">
            <v>ESCAVACAO MECANICA, A CEU ABERTO, EM MATERIAL DE 1A CATEGORIA, COM ESCAVADEIRA HIDRAULICA, CAPACIDADE DE 0,78 M3</v>
          </cell>
          <cell r="C4735" t="str">
            <v>M3</v>
          </cell>
          <cell r="D4735">
            <v>2.0699999999999998</v>
          </cell>
        </row>
        <row r="4736">
          <cell r="A4736">
            <v>96520</v>
          </cell>
          <cell r="B4736" t="str">
            <v>ESCAVAÇÃO MECANIZADA PARA BLOCO DE COROAMENTO OU SAPATA, SEM PREVISÃO DE FÔRMA, COM RETROESCAVADEIRA. AF_06/2017</v>
          </cell>
          <cell r="C4736" t="str">
            <v>M3</v>
          </cell>
          <cell r="D4736">
            <v>67.91</v>
          </cell>
        </row>
        <row r="4737">
          <cell r="A4737">
            <v>96521</v>
          </cell>
          <cell r="B4737" t="str">
            <v>ESCAVAÇÃO MECANIZADA PARA BLOCO DE COROAMENTO OU SAPATA, COM PREVISÃO DE FÔRMA, COM RETROESCAVADEIRA. AF_06/2017</v>
          </cell>
          <cell r="C4737" t="str">
            <v>M3</v>
          </cell>
          <cell r="D4737">
            <v>27.43</v>
          </cell>
        </row>
        <row r="4738">
          <cell r="A4738">
            <v>96522</v>
          </cell>
          <cell r="B4738" t="str">
            <v>ESCAVAÇÃO MANUAL PARA BLOCO DE COROAMENTO OU SAPATA, SEM PREVISÃO DE FÔRMA. AF_06/2017</v>
          </cell>
          <cell r="C4738" t="str">
            <v>M3</v>
          </cell>
          <cell r="D4738">
            <v>112.74</v>
          </cell>
        </row>
        <row r="4739">
          <cell r="A4739">
            <v>96523</v>
          </cell>
          <cell r="B4739" t="str">
            <v>ESCAVAÇÃO MANUAL PARA BLOCO DE COROAMENTO OU SAPATA, COM PREVISÃO DE FÔRMA. AF_06/2017</v>
          </cell>
          <cell r="C4739" t="str">
            <v>M3</v>
          </cell>
          <cell r="D4739">
            <v>72.12</v>
          </cell>
        </row>
        <row r="4740">
          <cell r="A4740">
            <v>96524</v>
          </cell>
          <cell r="B4740" t="str">
            <v>ESCAVAÇÃO MECANIZADA PARA VIGA BALDRAME, SEM PREVISÃO DE FÔRMA, COM MINI-ESCAVADEIRA. AF_06/2017</v>
          </cell>
          <cell r="C4740" t="str">
            <v>M3</v>
          </cell>
          <cell r="D4740">
            <v>131.22999999999999</v>
          </cell>
        </row>
        <row r="4741">
          <cell r="A4741">
            <v>96525</v>
          </cell>
          <cell r="B4741" t="str">
            <v>ESCAVAÇÃO MECANIZADA PARA VIGA BALDRAME, COM PREVISÃO DE FÔRMA, COM MINI-ESCAVADEIRA. AF_06/2017</v>
          </cell>
          <cell r="C4741" t="str">
            <v>M3</v>
          </cell>
          <cell r="D4741">
            <v>26.78</v>
          </cell>
        </row>
        <row r="4742">
          <cell r="A4742">
            <v>96526</v>
          </cell>
          <cell r="B4742" t="str">
            <v>ESCAVAÇÃO MANUAL DE VALA PARA VIGA BALDRAME, SEM PREVISÃO DE FÔRMA. AF_06/2017</v>
          </cell>
          <cell r="C4742" t="str">
            <v>M3</v>
          </cell>
          <cell r="D4742">
            <v>227.47</v>
          </cell>
        </row>
        <row r="4743">
          <cell r="A4743">
            <v>96527</v>
          </cell>
          <cell r="B4743" t="str">
            <v>ESCAVAÇÃO MANUAL DE VALA PARA VIGA BALDRAME, COM PREVISÃO DE FÔRMA. AF_06/2017</v>
          </cell>
          <cell r="C4743" t="str">
            <v>M3</v>
          </cell>
          <cell r="D4743">
            <v>94.73</v>
          </cell>
        </row>
        <row r="4744">
          <cell r="A4744">
            <v>96528</v>
          </cell>
          <cell r="B4744" t="str">
            <v>FABRICAÇÃO, MONTAGEM E DESMONTAGEM DE FÔRMA PARA BLOCO DE COROAMENTO, EM MADEIRA SERRADA, E=25 MM, 1 UTILIZAÇÃO. AF_06/2017</v>
          </cell>
          <cell r="C4744" t="str">
            <v>M2</v>
          </cell>
          <cell r="D4744">
            <v>105</v>
          </cell>
        </row>
        <row r="4745">
          <cell r="A4745">
            <v>101114</v>
          </cell>
          <cell r="B4745" t="str">
            <v>ESCAVAÇÃO HORIZONTAL EM SOLO DE 1A CATEGORIA COM TRATOR DE ESTEIRAS (100HP/LÂMINA: 2,19M3). AF_05/2020</v>
          </cell>
          <cell r="C4745" t="str">
            <v>M3</v>
          </cell>
          <cell r="D4745">
            <v>2.4700000000000002</v>
          </cell>
        </row>
        <row r="4746">
          <cell r="A4746">
            <v>101115</v>
          </cell>
          <cell r="B4746" t="str">
            <v>ESCAVAÇÃO HORIZONTAL EM SOLO DE 1A CATEGORIA COM TRATOR DE ESTEIRAS (150HP/LÂMINA: 3,18M3). AF_05/2020</v>
          </cell>
          <cell r="C4746" t="str">
            <v>M3</v>
          </cell>
          <cell r="D4746">
            <v>2.06</v>
          </cell>
        </row>
        <row r="4747">
          <cell r="A4747">
            <v>101116</v>
          </cell>
          <cell r="B4747" t="str">
            <v>ESCAVAÇÃO HORIZONTAL EM SOLO DE 1A CATEGORIA COM TRATOR DE ESTEIRAS (170HP/LÂMINA: 5,20M3). AF_05/2020</v>
          </cell>
          <cell r="C4747" t="str">
            <v>M3</v>
          </cell>
          <cell r="D4747">
            <v>1.28</v>
          </cell>
        </row>
        <row r="4748">
          <cell r="A4748">
            <v>101117</v>
          </cell>
          <cell r="B4748" t="str">
            <v>ESCAVAÇÃO HORIZONTAL EM SOLO DE 1A CATEGORIA COM TRATOR DE ESTEIRAS (347HP/LÂMINA: 8,70M3). AF_05/2020</v>
          </cell>
          <cell r="C4748" t="str">
            <v>M3</v>
          </cell>
          <cell r="D4748">
            <v>1.78</v>
          </cell>
        </row>
        <row r="4749">
          <cell r="A4749">
            <v>101118</v>
          </cell>
          <cell r="B4749" t="str">
            <v>ESCAVAÇÃO HORIZONTAL EM SOLO DE 1A CATEGORIA COM TRATOR DE ESTEIRAS (125HP/LÂMINA: 2,70M3). AF_05/2020</v>
          </cell>
          <cell r="C4749" t="str">
            <v>M3</v>
          </cell>
          <cell r="D4749">
            <v>2.12</v>
          </cell>
        </row>
        <row r="4750">
          <cell r="A4750">
            <v>101119</v>
          </cell>
          <cell r="B4750" t="str">
            <v>ESCAVAÇÃO HORIZONTAL, INCLUINDO ESCARIFICAÇÃO EM SOLO DE 2A CATEGORIA COM TRATOR DE ESTEIRAS (100HP/LÂMINA: 2,19M3). AF_05/2020</v>
          </cell>
          <cell r="C4750" t="str">
            <v>M3</v>
          </cell>
          <cell r="D4750">
            <v>4.7300000000000004</v>
          </cell>
        </row>
        <row r="4751">
          <cell r="A4751">
            <v>101120</v>
          </cell>
          <cell r="B4751" t="str">
            <v>ESCAVAÇÃO HORIZONTAL, INCLUINDO ESCARIFICAÇÃO EM SOLO DE 2A CATEGORIA COM TRATOR DE ESTEIRAS (150HP/LÂMINA: 3,18M3). AF_05/2020</v>
          </cell>
          <cell r="C4751" t="str">
            <v>M3</v>
          </cell>
          <cell r="D4751">
            <v>3.95</v>
          </cell>
        </row>
        <row r="4752">
          <cell r="A4752">
            <v>101121</v>
          </cell>
          <cell r="B4752" t="str">
            <v>ESCAVAÇÃO HORIZONTAL, INCLUINDO ESCARIFICAÇÃO EM SOLO DE 2A CATEGORIA COM TRATOR DE ESTEIRAS (170HP/LÂMINA: 5,20M3). AF_05/2020</v>
          </cell>
          <cell r="C4752" t="str">
            <v>M3</v>
          </cell>
          <cell r="D4752">
            <v>2.4700000000000002</v>
          </cell>
        </row>
        <row r="4753">
          <cell r="A4753">
            <v>101122</v>
          </cell>
          <cell r="B4753" t="str">
            <v>ESCAVAÇÃO HORIZONTAL, INCLUINDO ESCARIFICAÇÃO EM SOLO DE 2A CATEGORIA COM TRATOR DE ESTEIRAS (347HP/LÂMINA: 8,70M3). AF_05/2020</v>
          </cell>
          <cell r="C4753" t="str">
            <v>M3</v>
          </cell>
          <cell r="D4753">
            <v>3.41</v>
          </cell>
        </row>
        <row r="4754">
          <cell r="A4754">
            <v>101123</v>
          </cell>
          <cell r="B4754" t="str">
            <v>ESCAVAÇÃO HORIZONTAL, INCLUINDO ESCARIFICAÇÃO EM SOLO DE 2A CATEGORIA COM TRATOR DE ESTEIRAS (125HP/LÂMINA: 2,70M3). AF_05/2020</v>
          </cell>
          <cell r="C4754" t="str">
            <v>M3</v>
          </cell>
          <cell r="D4754">
            <v>4.07</v>
          </cell>
        </row>
        <row r="4755">
          <cell r="A4755">
            <v>101124</v>
          </cell>
          <cell r="B4755" t="str">
            <v>ESCAVAÇÃO HORIZONTAL, INCLUINDO CARGA E DESCARGA EM SOLO DE 1A CATEGORIA COM TRATOR DE ESTEIRAS (100HP/LÂMINA: 2,19M3). AF_05/2020</v>
          </cell>
          <cell r="C4755" t="str">
            <v>M3</v>
          </cell>
          <cell r="D4755">
            <v>8.17</v>
          </cell>
        </row>
        <row r="4756">
          <cell r="A4756">
            <v>101125</v>
          </cell>
          <cell r="B4756" t="str">
            <v>ESCAVAÇÃO HORIZONTAL, INCLUINDO CARGA E DESCARGA EM SOLO DE 1A CATEGORIA COM TRATOR DE ESTEIRAS (150HP/LÂMINA: 3,18M3). AF_05/2020</v>
          </cell>
          <cell r="C4756" t="str">
            <v>M3</v>
          </cell>
          <cell r="D4756">
            <v>7.76</v>
          </cell>
        </row>
        <row r="4757">
          <cell r="A4757">
            <v>101126</v>
          </cell>
          <cell r="B4757" t="str">
            <v>ESCAVAÇÃO HORIZONTAL, INCLUINDO CARGA E DESCARGA EM SOLO DE 1A CATEGORIA COM TRATOR DE ESTEIRAS (170HP/LÂMINA: 5,20M3). AF_05/2020</v>
          </cell>
          <cell r="C4757" t="str">
            <v>M3</v>
          </cell>
          <cell r="D4757">
            <v>6.98</v>
          </cell>
        </row>
        <row r="4758">
          <cell r="A4758">
            <v>101127</v>
          </cell>
          <cell r="B4758" t="str">
            <v>ESCAVAÇÃO HORIZONTAL, INCLUINDO CARGA E DESCARGA EM SOLO DE 1A CATEGORIA COM TRATOR DE ESTEIRAS (347HP/LÂMINA: 8,70M3). AF_05/2020</v>
          </cell>
          <cell r="C4758" t="str">
            <v>M3</v>
          </cell>
          <cell r="D4758">
            <v>7.48</v>
          </cell>
        </row>
        <row r="4759">
          <cell r="A4759">
            <v>101128</v>
          </cell>
          <cell r="B4759" t="str">
            <v>ESCAVAÇÃO HORIZONTAL, INCLUINDO CARGA E DESCARGA EM SOLO DE 1A CATEGORIA COM TRATOR DE ESTEIRAS (125HP/LÂMINA: 2,70M3). AF_05/2020</v>
          </cell>
          <cell r="C4759" t="str">
            <v>M3</v>
          </cell>
          <cell r="D4759">
            <v>7.82</v>
          </cell>
        </row>
        <row r="4760">
          <cell r="A4760">
            <v>101129</v>
          </cell>
          <cell r="B4760" t="str">
            <v>ESCAVAÇÃO HORIZONTAL, INCLUINDO ESCARIFICAÇÃO, CARGA E DESCARGA EM SOLO DE 2A CATEGORIA COM TRATOR DE ESTEIRAS (100HP/LÂMINA: 2,19M3). AF_05/2020</v>
          </cell>
          <cell r="C4760" t="str">
            <v>M3</v>
          </cell>
          <cell r="D4760">
            <v>10.65</v>
          </cell>
        </row>
        <row r="4761">
          <cell r="A4761">
            <v>101130</v>
          </cell>
          <cell r="B4761" t="str">
            <v>ESCAVAÇÃO HORIZONTAL, INCLUINDO ESCARIFICAÇÃO, CARGA E DESCARGA EM SOLO DE 2A CATEGORIA COM TRATOR DE ESTEIRAS (150HP/LÂMINA: 3,18M3). AF_05/2020</v>
          </cell>
          <cell r="C4761" t="str">
            <v>M3</v>
          </cell>
          <cell r="D4761">
            <v>9.8699999999999992</v>
          </cell>
        </row>
        <row r="4762">
          <cell r="A4762">
            <v>101131</v>
          </cell>
          <cell r="B4762" t="str">
            <v>ESCAVAÇÃO HORIZONTAL, INCLUINDO ESCARIFICAÇÃO, CARGA E DESCARGA EM SOLO DE 2A CATEGORIA COM TRATOR DE ESTEIRAS (170HP/LÂMINA: 5,20M3). AF_05/2020</v>
          </cell>
          <cell r="C4762" t="str">
            <v>M3</v>
          </cell>
          <cell r="D4762">
            <v>8.39</v>
          </cell>
        </row>
        <row r="4763">
          <cell r="A4763">
            <v>101132</v>
          </cell>
          <cell r="B4763" t="str">
            <v>ESCAVAÇÃO HORIZONTAL, INCLUINDO ESCARIFICAÇÃO, CARGA E DESCARGA EM SOLO DE 2A CATEGORIA COM TRATOR DE ESTEIRAS (347HP/LÂMINA: 8,70M3). AF_05/2020</v>
          </cell>
          <cell r="C4763" t="str">
            <v>M3</v>
          </cell>
          <cell r="D4763">
            <v>9.33</v>
          </cell>
        </row>
        <row r="4764">
          <cell r="A4764">
            <v>101133</v>
          </cell>
          <cell r="B4764" t="str">
            <v>ESCAVAÇÃO HORIZONTAL, INCLUINDO ESCARIFICAÇÃO, CARGA E DESCARGA EM SOLO DE 2A CATEGORIA COM TRATOR DE ESTEIRAS (125HP/LÂMINA: 2,70M3). AF_05/2020</v>
          </cell>
          <cell r="C4764" t="str">
            <v>M3</v>
          </cell>
          <cell r="D4764">
            <v>9.99</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v>8.51</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v>8.1</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v>7.32</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v>7.82</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v>8.16</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v>11</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v>10.220000000000001</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v>8.74</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v>9.68</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v>10.34</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v>8.81</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v>8.4</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v>7.62</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v>8.1199999999999992</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v>8.4600000000000009</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v>11.32</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v>10.54</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v>9.06</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v>10</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v>10.66</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v>6.91</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v>6.02</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v>5.87</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v>5.43</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v>9.74</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v>10.47</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v>12.18</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v>13.58</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v>16.47</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v>9.2899999999999991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v>9.76</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v>11.35</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v>12.04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v>14.63</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v>9.17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v>9.73</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v>11.3</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v>12.55</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v>15.73</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v>8.3699999999999992</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v>8.86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v>10.26</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v>10.98</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v>13.82</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v>6.12</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v>5.78</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v>5.25</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v>4.83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v>9.51</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v>10.050000000000001</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v>11.69</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v>12.5</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v>15.79</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v>8.36</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v>8.86</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v>10.32</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v>11.51</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v>13.99</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v>8.7899999999999991</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v>9.34</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v>10.85</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v>12.03</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v>15.09</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v>7.66</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v>8.4700000000000006</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v>9.69</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v>10.52</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v>13.25</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v>6.73</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v>5.96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v>10.32</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v>10.91</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v>12.62</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v>13.98</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v>17.440000000000001</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v>9.75</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v>10.32</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v>11.93</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v>13.2</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v>16.45</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v>5.98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v>5.73</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v>9.4</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v>10.42</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v>12.06</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v>13.35</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v>16.64</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v>8.99</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v>9.91</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v>11.48</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v>12.67</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v>16.14</v>
          </cell>
        </row>
        <row r="4857">
          <cell r="A4857">
            <v>72915</v>
          </cell>
          <cell r="B4857" t="str">
            <v>ESCAVACAO MECANICA DE VALA EM MATERIAL DE 2A. CATEGORIA ATE 2 M DE PROFUNDIDADE COM UTILIZACAO DE ESCAVADEIRA HIDRAULICA</v>
          </cell>
          <cell r="C4857" t="str">
            <v>M3</v>
          </cell>
          <cell r="D4857">
            <v>9.02</v>
          </cell>
        </row>
        <row r="4858">
          <cell r="A4858">
            <v>72917</v>
          </cell>
          <cell r="B4858" t="str">
            <v>ESCAVACAO MECANICA DE VALA EM MATERIAL 2A. CATEGORIA DE 2,01 ATE 4,00 M DE PROFUNDIDADE COM UTILIZACAO DE ESCAVADEIRA HIDRAULICA</v>
          </cell>
          <cell r="C4858" t="str">
            <v>M3</v>
          </cell>
          <cell r="D4858">
            <v>10.31</v>
          </cell>
        </row>
        <row r="4859">
          <cell r="A4859">
            <v>72918</v>
          </cell>
          <cell r="B4859" t="str">
            <v>ESCAVACAO MECANICA DE VALA EM MATERIAL 2A. CATEGORIA DE 4,01 ATE 6,00 M DE PROFUNDIDADE COM UTILIZACAO DE ESCAVADEIRA HIDRAULICA</v>
          </cell>
          <cell r="C4859" t="str">
            <v>M3</v>
          </cell>
          <cell r="D4859">
            <v>12.03</v>
          </cell>
        </row>
        <row r="4860">
          <cell r="A4860" t="str">
            <v>73965/9</v>
          </cell>
          <cell r="B4860" t="str">
            <v>ESCAVACAO MANUAL DE VALA EM LODO, DE 1,5 ATE 3M, EXCLUINDO ESGOTAMENTO/ESCORAMENTO.</v>
          </cell>
          <cell r="C4860" t="str">
            <v>M3</v>
          </cell>
          <cell r="D4860">
            <v>159.1</v>
          </cell>
        </row>
        <row r="4861">
          <cell r="A4861" t="str">
            <v>79506/2</v>
          </cell>
          <cell r="B4861" t="str">
            <v>ESCAVAÇÃO MANUAL DE VALA/CAVA EM LODO, ENTRE 3 E 4,5M DE PROFUNDIDADE</v>
          </cell>
          <cell r="C4861" t="str">
            <v>M3</v>
          </cell>
          <cell r="D4861">
            <v>238.65</v>
          </cell>
        </row>
        <row r="4862">
          <cell r="A4862">
            <v>83343</v>
          </cell>
          <cell r="B4862" t="str">
            <v>ESCAVACAO MECANICA DE VALAS (SOLO COM AGUA), PROFUNDIDADE MAIOR QUE 4,00 M ATE 6,00 M.</v>
          </cell>
          <cell r="C4862" t="str">
            <v>M3</v>
          </cell>
          <cell r="D4862">
            <v>11.26</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v>7.12</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v>6.9</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v>6.5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v>6.57</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v>5.52</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v>4.24</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v>4.1100000000000003</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v>3.87</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v>3.91</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v>3.43</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v>9.56</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v>8.14</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v>8.0399999999999991</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v>7.31</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v>5.71</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v>4.8499999999999996</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v>4.79</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v>4.3600000000000003</v>
          </cell>
        </row>
        <row r="4885">
          <cell r="A4885">
            <v>93358</v>
          </cell>
          <cell r="B4885" t="str">
            <v>ESCAVAÇÃO MANUAL DE VALA COM PROFUNDIDADE MENOR OU IGUAL A 1,30 M. AF_03/2016</v>
          </cell>
          <cell r="C4885" t="str">
            <v>M3</v>
          </cell>
          <cell r="D4885">
            <v>62.93</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v>23.71</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v>21.44</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v>18.55</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v>19.22</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v>17.45</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v>18.25</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v>16.89</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v>28.47</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v>23.12</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v>20.75</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v>17.71</v>
          </cell>
        </row>
        <row r="4897">
          <cell r="A4897">
            <v>94319</v>
          </cell>
          <cell r="B4897" t="str">
            <v>ATERRO MANUAL DE VALAS COM SOLO ARGILO-ARENOSO E COMPACTAÇÃO MECANIZADA. AF_05/2016</v>
          </cell>
          <cell r="C4897" t="str">
            <v>M3</v>
          </cell>
          <cell r="D4897">
            <v>32.81</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v>74.34</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v>72.069999999999993</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v>69.180000000000007</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v>69.849999999999994</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v>68.08</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v>68.88</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v>67.52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v>79.099999999999994</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v>73.75</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v>71.38</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v>68.34</v>
          </cell>
        </row>
        <row r="4909">
          <cell r="A4909">
            <v>94342</v>
          </cell>
          <cell r="B4909" t="str">
            <v>ATERRO MANUAL DE VALAS COM AREIA PARA ATERRO E COMPACTAÇÃO MECANIZADA. AF_05/2016</v>
          </cell>
          <cell r="C4909" t="str">
            <v>M3</v>
          </cell>
          <cell r="D4909">
            <v>83.44</v>
          </cell>
        </row>
        <row r="4910">
          <cell r="A4910">
            <v>96385</v>
          </cell>
          <cell r="B4910" t="str">
            <v>EXECUÇÃO E COMPACTAÇÃO DE ATERRO COM SOLO PREDOMINANTEMENTE ARGILOSO - EXCLUSIVE SOLO, ESCAVAÇÃO, CARGA E TRANSPORTE. AF_11/2019</v>
          </cell>
          <cell r="C4910" t="str">
            <v>M3</v>
          </cell>
          <cell r="D4910">
            <v>6.14</v>
          </cell>
        </row>
        <row r="4911">
          <cell r="A4911">
            <v>96386</v>
          </cell>
          <cell r="B4911" t="str">
            <v>EXECUÇÃO E COMPACTAÇÃO DE ATERRO COM SOLO PREDOMINANTEMENTE ARENOSO - EXCLUSIVE SOLO, ESCAVAÇÃO, CARGA E TRANSPORTE. AF_11/2019</v>
          </cell>
          <cell r="C4911" t="str">
            <v>M3</v>
          </cell>
          <cell r="D4911">
            <v>4.3600000000000003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v>12.84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v>10.63</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v>7.7</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v>8.34</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v>6.58</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v>7.31</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v>6.02</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v>12</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v>9.74</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v>6.85</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v>7.52</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v>5.75</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v>6.55</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v>5.2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v>15.33</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v>11.79</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v>9.6199999999999992</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v>6.42</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v>14.33</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v>11.03</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v>9.0399999999999991</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v>6.01</v>
          </cell>
        </row>
        <row r="4934">
          <cell r="A4934">
            <v>93382</v>
          </cell>
          <cell r="B4934" t="str">
            <v>REATERRO MANUAL DE VALAS COM COMPACTAÇÃO MECANIZADA. AF_04/2016</v>
          </cell>
          <cell r="C4934" t="str">
            <v>M3</v>
          </cell>
          <cell r="D4934">
            <v>21.11</v>
          </cell>
        </row>
        <row r="4935">
          <cell r="A4935">
            <v>96995</v>
          </cell>
          <cell r="B4935" t="str">
            <v>REATERRO MANUAL APILOADO COM SOQUETE. AF_10/2017</v>
          </cell>
          <cell r="C4935" t="str">
            <v>M3</v>
          </cell>
          <cell r="D4935">
            <v>38.159999999999997</v>
          </cell>
        </row>
        <row r="4936">
          <cell r="A4936">
            <v>72844</v>
          </cell>
          <cell r="B4936" t="str">
            <v>CARGA, MANOBRAS E DESCARGA DE AREIA, BRITA, PEDRA DE MAO E SOLOS COM CAMINHAO BASCULANTE 6 M3 (DESCARGA LIVRE)</v>
          </cell>
          <cell r="C4936" t="str">
            <v>T</v>
          </cell>
          <cell r="D4936">
            <v>0.52</v>
          </cell>
        </row>
        <row r="4937">
          <cell r="A4937">
            <v>72846</v>
          </cell>
          <cell r="B4937" t="str">
            <v>CARGA, MANOBRAS E DESCARGA DE MISTURA BETUMINOSA A QUENTE, COM CAMINHAO BASCULANTE 6 M3</v>
          </cell>
          <cell r="C4937" t="str">
            <v>T</v>
          </cell>
          <cell r="D4937">
            <v>2.57</v>
          </cell>
        </row>
        <row r="4938">
          <cell r="A4938">
            <v>72847</v>
          </cell>
          <cell r="B4938" t="str">
            <v>CARGA, MANOBRAS E DESCARGA DE MISTURA BETUMINOSA A FRIO, COM CAMINHAO BASCULANTE 6 M3</v>
          </cell>
          <cell r="C4938" t="str">
            <v>T</v>
          </cell>
          <cell r="D4938">
            <v>5.55</v>
          </cell>
        </row>
        <row r="4939">
          <cell r="A4939">
            <v>72848</v>
          </cell>
          <cell r="B4939" t="str">
            <v>CARGA, MANOBRAS E DESCARGA DE BRITA PARA BASE DE MACADAME, COM CAMINHAO BASCULANTE 6 M3</v>
          </cell>
          <cell r="C4939" t="str">
            <v>T</v>
          </cell>
          <cell r="D4939">
            <v>1.38</v>
          </cell>
        </row>
        <row r="4940">
          <cell r="A4940">
            <v>72849</v>
          </cell>
          <cell r="B4940" t="str">
            <v>CARGA, MANOBRAS E DESCARGA DE MISTURAS DE SOLOS E AGREGADOS (BASES ESTABILIZADAS EM USINA) COM CAMINHAO BASCULANTE 6 M3</v>
          </cell>
          <cell r="C4940" t="str">
            <v>T</v>
          </cell>
          <cell r="D4940">
            <v>1.77</v>
          </cell>
        </row>
        <row r="4941">
          <cell r="A4941">
            <v>72850</v>
          </cell>
          <cell r="B4941" t="str">
            <v>CARGA, MANOBRAS E DESCARGA DE MATERIAIS DIVERSOS, COM CAMINHAO CARROCERIA 9T (CARGA E DESCARGA MANUAIS)</v>
          </cell>
          <cell r="C4941" t="str">
            <v>T</v>
          </cell>
          <cell r="D4941">
            <v>8.98</v>
          </cell>
        </row>
        <row r="4942">
          <cell r="A4942">
            <v>72882</v>
          </cell>
          <cell r="B4942" t="str">
            <v>TRANSPORTE COMERCIAL COM CAMINHAO CARROCERIA 9 T, RODOVIA EM LEITO NATURAL</v>
          </cell>
          <cell r="C4942" t="str">
            <v>M3XKM</v>
          </cell>
          <cell r="D4942">
            <v>1.06</v>
          </cell>
        </row>
        <row r="4943">
          <cell r="A4943">
            <v>72883</v>
          </cell>
          <cell r="B4943" t="str">
            <v>TRANSPORTE COMERCIAL COM CAMINHAO CARROCERIA 9 T, RODOVIA COM REVESTIMENTO PRIMARIO</v>
          </cell>
          <cell r="C4943" t="str">
            <v>M3XKM</v>
          </cell>
          <cell r="D4943">
            <v>0.85</v>
          </cell>
        </row>
        <row r="4944">
          <cell r="A4944">
            <v>72884</v>
          </cell>
          <cell r="B4944" t="str">
            <v>TRANSPORTE COMERCIAL COM CAMINHAO CARROCERIA 9 T, RODOVIA PAVIMENTADA</v>
          </cell>
          <cell r="C4944" t="str">
            <v>M3XKM</v>
          </cell>
          <cell r="D4944">
            <v>0.71</v>
          </cell>
        </row>
        <row r="4945">
          <cell r="A4945">
            <v>72888</v>
          </cell>
          <cell r="B4945" t="str">
            <v>CARGA, MANOBRAS E DESCARGA DE AREIA, BRITA, PEDRA DE MAO E SOLOS COM CAMINHAO BASCULANTE 6 M3 (DESCARGA LIVRE)</v>
          </cell>
          <cell r="C4945" t="str">
            <v>M3</v>
          </cell>
          <cell r="D4945">
            <v>0.77</v>
          </cell>
        </row>
        <row r="4946">
          <cell r="A4946">
            <v>72890</v>
          </cell>
          <cell r="B4946" t="str">
            <v>CARGA, MANOBRAS E DESCARGA DE BRITA PARA TRATAMENTOS SUPERFICIAIS, COM CAMINHAO BASCULANTE 6 M3, DESCARGA EM DISTRIBUIDOR</v>
          </cell>
          <cell r="C4946" t="str">
            <v>M3</v>
          </cell>
          <cell r="D4946">
            <v>4.6900000000000004</v>
          </cell>
        </row>
        <row r="4947">
          <cell r="A4947">
            <v>72891</v>
          </cell>
          <cell r="B4947" t="str">
            <v>CARGA, MANOBRAS E DESCARGA DE MISTURA BETUMINOSA A QUENTE, COM CAMINHAO BASCULANTE 6 M3, DESCARGA EM VIBRO-ACABADORA</v>
          </cell>
          <cell r="C4947" t="str">
            <v>M3</v>
          </cell>
          <cell r="D4947">
            <v>3.86</v>
          </cell>
        </row>
        <row r="4948">
          <cell r="A4948">
            <v>72892</v>
          </cell>
          <cell r="B4948" t="str">
            <v>CARGA, MANOBRAS E DESCARGA DE DE MISTURA BETUMINOSA A FRIO, COM CAMINHAO BASCULANTE 6 M3, DESCARGA EM VIBRO-ACABADORA</v>
          </cell>
          <cell r="C4948" t="str">
            <v>M3</v>
          </cell>
          <cell r="D4948">
            <v>8.33</v>
          </cell>
        </row>
        <row r="4949">
          <cell r="A4949">
            <v>72893</v>
          </cell>
          <cell r="B4949" t="str">
            <v>CARGA, MANOBRAS E DESCARGA DE BRITA PARA BASE DE MACADAME, COM CAMINHAO BASCULANTE 6 M3, DESCARGA EM DISTRIBUIDOR</v>
          </cell>
          <cell r="C4949" t="str">
            <v>M3</v>
          </cell>
          <cell r="D4949">
            <v>2.0699999999999998</v>
          </cell>
        </row>
        <row r="4950">
          <cell r="A4950">
            <v>72894</v>
          </cell>
          <cell r="B4950" t="str">
            <v>CARGA, MANOBRAS E DESCARGA DE MISTURAS DE SOLOS E AGREGADOS, COM CAMINHAO BASCULANTE 6 M3, DESCARGA EM DISTRIBUIDOR</v>
          </cell>
          <cell r="C4950" t="str">
            <v>M3</v>
          </cell>
          <cell r="D4950">
            <v>2.66</v>
          </cell>
        </row>
        <row r="4951">
          <cell r="A4951">
            <v>72895</v>
          </cell>
          <cell r="B4951" t="str">
            <v>CARGA, MANOBRAS E DESCARGA DE MATERIAIS DIVERSOS, COM CAMINHAO BASCULANTE 6M3 (CARGA E DESCARGA MANUAIS)</v>
          </cell>
          <cell r="C4951" t="str">
            <v>M3</v>
          </cell>
          <cell r="D4951">
            <v>14.06</v>
          </cell>
        </row>
        <row r="4952">
          <cell r="A4952">
            <v>72897</v>
          </cell>
          <cell r="B4952" t="str">
            <v>CARGA MANUAL DE ENTULHO EM CAMINHAO BASCULANTE 6 M3</v>
          </cell>
          <cell r="C4952" t="str">
            <v>M3</v>
          </cell>
          <cell r="D4952">
            <v>18.66</v>
          </cell>
        </row>
        <row r="4953">
          <cell r="A4953">
            <v>72899</v>
          </cell>
          <cell r="B4953" t="str">
            <v>TRANSPORTE DE ENTULHO COM CAMINHÃO BASCULANTE 6 M3, RODOVIA PAVIMENTADA, DMT ATE 0,5 KM</v>
          </cell>
          <cell r="C4953" t="str">
            <v>M3</v>
          </cell>
          <cell r="D4953">
            <v>3.63</v>
          </cell>
        </row>
        <row r="4954">
          <cell r="A4954">
            <v>83356</v>
          </cell>
          <cell r="B4954" t="str">
            <v>TRANSPORTE COMERCIAL DE BRITA</v>
          </cell>
          <cell r="C4954" t="str">
            <v>M3XKM</v>
          </cell>
          <cell r="D4954">
            <v>0.64</v>
          </cell>
        </row>
        <row r="4955">
          <cell r="A4955">
            <v>83358</v>
          </cell>
          <cell r="B4955" t="str">
            <v>TRANSPORTE DE PAVIMENTACAO REMOVIDA (RODOVIAS NAO URBANAS)</v>
          </cell>
          <cell r="C4955" t="str">
            <v>M3XKM</v>
          </cell>
          <cell r="D4955">
            <v>1.33</v>
          </cell>
        </row>
        <row r="4956">
          <cell r="A4956">
            <v>95303</v>
          </cell>
          <cell r="B4956" t="str">
            <v>TRANSPORTE COM CAMINHÃO BASCULANTE 10 M3 DE MASSA ASFALTICA PARA PAVIMENTAÇÃO URBANA</v>
          </cell>
          <cell r="C4956" t="str">
            <v>M3XKM</v>
          </cell>
          <cell r="D4956">
            <v>0.82</v>
          </cell>
        </row>
        <row r="4957">
          <cell r="A4957">
            <v>97916</v>
          </cell>
          <cell r="B4957" t="str">
            <v>TRANSPORTE COM CAMINHÃO BASCULANTE DE 6 M³, EM VIA URBANA EM LEITO NATURAL (UNIDADE: TXKM). AF_07/2020</v>
          </cell>
          <cell r="C4957" t="str">
            <v>TXKM</v>
          </cell>
          <cell r="D4957">
            <v>1.28</v>
          </cell>
        </row>
        <row r="4958">
          <cell r="A4958">
            <v>97917</v>
          </cell>
          <cell r="B4958" t="str">
            <v>TRANSPORTE COM CAMINHÃO BASCULANTE DE 6 M³, EM VIA URBANA EM REVESTIMENTO PRIMÁRIO (UNIDADE: TXKM). AF_07/2020</v>
          </cell>
          <cell r="C4958" t="str">
            <v>TXKM</v>
          </cell>
          <cell r="D4958">
            <v>1.1100000000000001</v>
          </cell>
        </row>
        <row r="4959">
          <cell r="A4959">
            <v>97918</v>
          </cell>
          <cell r="B4959" t="str">
            <v>TRANSPORTE COM CAMINHÃO BASCULANTE DE 6 M³, EM VIA URBANA PAVIMENTADA, DMT ATÉ 30 KM (UNIDADE: TXKM). AF_07/2020</v>
          </cell>
          <cell r="C4959" t="str">
            <v>TXKM</v>
          </cell>
          <cell r="D4959">
            <v>1.02</v>
          </cell>
        </row>
        <row r="4960">
          <cell r="A4960">
            <v>97919</v>
          </cell>
          <cell r="B4960" t="str">
            <v>TRANSPORTE COM CAMINHÃO BASCULANTE DE 6 M³, EM VIA URBANA PAVIMENTADA, ADICIONAL PARA DMT EXCEDENTE A 30 KM (UNIDADE: TXKM). AF_07/2020</v>
          </cell>
          <cell r="C4960" t="str">
            <v>TXKM</v>
          </cell>
          <cell r="D4960">
            <v>0.4</v>
          </cell>
        </row>
        <row r="4961">
          <cell r="A4961">
            <v>94097</v>
          </cell>
          <cell r="B4961" t="str">
            <v>PREPARO DE FUNDO DE VALA COM LARGURA MENOR QUE 1,5 M, EM LOCAL COM NÍVEL BAIXO DE INTERFERÊNCIA. AF_06/2016</v>
          </cell>
          <cell r="C4961" t="str">
            <v>M2</v>
          </cell>
          <cell r="D4961">
            <v>4.6399999999999997</v>
          </cell>
        </row>
        <row r="4962">
          <cell r="A4962">
            <v>94098</v>
          </cell>
          <cell r="B4962" t="str">
            <v>PREPARO DE FUNDO DE VALA  COM LARGURA MENOR QUE 1,5 M, EM LOCAL COM NÍVEL ALTO DE INTERFERÊNCIA. AF_06/2016</v>
          </cell>
          <cell r="C4962" t="str">
            <v>M2</v>
          </cell>
          <cell r="D4962">
            <v>5.29</v>
          </cell>
        </row>
        <row r="4963">
          <cell r="A4963">
            <v>94099</v>
          </cell>
          <cell r="B4963" t="str">
            <v>PREPARO DE FUNDO DE VALA COM LARGURA MAIOR OU IGUAL A 1,5 M E MENOR QUE 2,5 M, EM LOCAL COM NÍVEL BAIXO DE INTERFERÊNCIA. AF_06/2016</v>
          </cell>
          <cell r="C4963" t="str">
            <v>M2</v>
          </cell>
          <cell r="D4963">
            <v>2.34</v>
          </cell>
        </row>
        <row r="4964">
          <cell r="A4964">
            <v>94100</v>
          </cell>
          <cell r="B4964" t="str">
            <v>PREPARO DE FUNDO DE VALA  COM LARGURA MAIOR OU IGUAL A 1,5 M E MENOR QUE 2,5 M, EM LOCAL COM NÍVEL ALTO DE INTERFERÊNCIA. AF_06/2016</v>
          </cell>
          <cell r="C4964" t="str">
            <v>M2</v>
          </cell>
          <cell r="D4964">
            <v>2.98</v>
          </cell>
        </row>
        <row r="4965">
          <cell r="A4965">
            <v>94102</v>
          </cell>
          <cell r="B4965" t="str">
            <v>LASTRO DE VALA COM PREPARO DE FUNDO, LARGURA MENOR QUE 1,5 M, COM CAMADA DE AREIA, LANÇAMENTO MANUAL, EM LOCAL COM NÍVEL BAIXO DE INTERFERÊNCIA. AF_06/2016</v>
          </cell>
          <cell r="C4965" t="str">
            <v>M3</v>
          </cell>
          <cell r="D4965">
            <v>161.32</v>
          </cell>
        </row>
        <row r="4966">
          <cell r="A4966">
            <v>94103</v>
          </cell>
          <cell r="B4966" t="str">
            <v>LASTRO DE VALA COM PREPARO DE FUNDO, LARGURA MENOR QUE 1,5 M, COM CAMADA DE BRITA, LANÇAMENTO MANUAL, EM LOCAL COM NÍVEL BAIXO DE INTERFERÊNCIA. AF_06/2016</v>
          </cell>
          <cell r="C4966" t="str">
            <v>M3</v>
          </cell>
          <cell r="D4966">
            <v>225.95</v>
          </cell>
        </row>
        <row r="4967">
          <cell r="A4967">
            <v>94104</v>
          </cell>
          <cell r="B4967" t="str">
            <v>LASTRO DE VALA COM PREPARO DE FUNDO, LARGURA MENOR QUE 1,5 M, COM CAMADA DE AREIA, LANÇAMENTO MANUAL, EM LOCAL COM NÍVEL ALTO DE INTERFERÊNCIA. AF_06/2016</v>
          </cell>
          <cell r="C4967" t="str">
            <v>M3</v>
          </cell>
          <cell r="D4967">
            <v>165.01</v>
          </cell>
        </row>
        <row r="4968">
          <cell r="A4968">
            <v>94105</v>
          </cell>
          <cell r="B4968" t="str">
            <v>LASTRO DE VALA COM PREPARO DE FUNDO, LARGURA MENOR QUE 1,5 M, COM CAMADA DE BRITA, LANÇAMENTO MANUAL, EM LOCAL COM NÍVEL ALTO DE INTERFERÊNCIA. AF_06/2016</v>
          </cell>
          <cell r="C4968" t="str">
            <v>M3</v>
          </cell>
          <cell r="D4968">
            <v>229.67</v>
          </cell>
        </row>
        <row r="4969">
          <cell r="A4969">
            <v>94106</v>
          </cell>
          <cell r="B4969" t="str">
            <v>LASTRO COM PREPARO DE FUNDO, LARGURA MAIOR OU IGUAL A 1,5 M, COM CAMADA DE AREIA, LANÇAMENTO MANUAL, EM LOCAL COM NÍVEL BAIXO DE INTERFERÊNCIA. AF_06/2016</v>
          </cell>
          <cell r="C4969" t="str">
            <v>M3</v>
          </cell>
          <cell r="D4969">
            <v>142.88</v>
          </cell>
        </row>
        <row r="4970">
          <cell r="A4970">
            <v>94107</v>
          </cell>
          <cell r="B4970" t="str">
            <v>LASTRO COM PREPARO DE FUNDO, LARGURA MAIOR OU IGUAL A 1,5 M, COM CAMADA DE BRITA, LANÇAMENTO MANUAL, EM LOCAL COM NÍVEL BAIXO DE INTERFERÊNCIA. AF_06/2016</v>
          </cell>
          <cell r="C4970" t="str">
            <v>M3</v>
          </cell>
          <cell r="D4970">
            <v>207.52</v>
          </cell>
        </row>
        <row r="4971">
          <cell r="A4971">
            <v>94108</v>
          </cell>
          <cell r="B4971" t="str">
            <v>LASTRO COM PREPARO DE FUNDO, LARGURA MAIOR OU IGUAL A 1,5 M, COM CAMADA DE AREIA, LANÇAMENTO MANUAL, EM LOCAL COM NÍVEL ALTO DE INTERFERÊNCIA. AF_06/2016</v>
          </cell>
          <cell r="C4971" t="str">
            <v>M3</v>
          </cell>
          <cell r="D4971">
            <v>146.58000000000001</v>
          </cell>
        </row>
        <row r="4972">
          <cell r="A4972">
            <v>94110</v>
          </cell>
          <cell r="B4972" t="str">
            <v>LASTRO COM PREPARO DE FUNDO, LARGURA MAIOR OU IGUAL A 1,5 M, COM CAMADA DE BRITA, LANÇAMENTO MANUAL, EM LOCAL COM NÍVEL ALTO DE INTERFERÊNCIA. AF_06/2016</v>
          </cell>
          <cell r="C4972" t="str">
            <v>M3</v>
          </cell>
          <cell r="D4972">
            <v>211.2</v>
          </cell>
        </row>
        <row r="4973">
          <cell r="A4973">
            <v>94111</v>
          </cell>
          <cell r="B4973" t="str">
            <v>LASTRO DE VALA COM PREPARO DE FUNDO, LARGURA MENOR QUE 1,5 M, COM CAMADA DE AREIA, LANÇAMENTO MECANIZADO, EM LOCAL COM NÍVEL BAIXO DE INTERFERÊNCIA. AF_06/2016</v>
          </cell>
          <cell r="C4973" t="str">
            <v>M3</v>
          </cell>
          <cell r="D4973">
            <v>131.87</v>
          </cell>
        </row>
        <row r="4974">
          <cell r="A4974">
            <v>94112</v>
          </cell>
          <cell r="B4974" t="str">
            <v>LASTRO DE VALA COM PREPARO DE FUNDO, LARGURA MENOR QUE 1,5 M, COM CAMADA DE BRITA, LANÇAMENTO MECANIZADO, EM LOCAL COM NÍVEL BAIXO DE INTERFERÊNCIA. AF_06/2016</v>
          </cell>
          <cell r="C4974" t="str">
            <v>M3</v>
          </cell>
          <cell r="D4974">
            <v>189.65</v>
          </cell>
        </row>
        <row r="4975">
          <cell r="A4975">
            <v>94113</v>
          </cell>
          <cell r="B4975" t="str">
            <v>LASTRO DE VALA COM PREPARO DE FUNDO, LARGURA MENOR QUE 1,5 M, COM CAMADA DE AREIA, LANÇAMENTO MECANIZADO, EM LOCAL COM NÍVEL ALTO DE INTERFERÊNCIA. AF_06/2016</v>
          </cell>
          <cell r="C4975" t="str">
            <v>M3</v>
          </cell>
          <cell r="D4975">
            <v>137.41</v>
          </cell>
        </row>
        <row r="4976">
          <cell r="A4976">
            <v>94114</v>
          </cell>
          <cell r="B4976" t="str">
            <v>LASTRO DE VALA COM PREPARO DE FUNDO, LARGURA MENOR QUE 1,5 M, COM CAMADA DE BRITA, LANÇAMENTO MECANIZADO, EM LOCAL COM NÍVEL ALTO DE INTERFERÊNCIA. AF_06/2016</v>
          </cell>
          <cell r="C4976" t="str">
            <v>M3</v>
          </cell>
          <cell r="D4976">
            <v>195.9</v>
          </cell>
        </row>
        <row r="4977">
          <cell r="A4977">
            <v>94115</v>
          </cell>
          <cell r="B4977" t="str">
            <v>LASTRO COM PREPARO DE FUNDO, LARGURA MAIOR OU IGUAL A 1,5 M, COM CAMADA DE AREIA, LANÇAMENTO MECANIZADO, EM LOCAL COM NÍVEL BAIXO DE INTERFERÊNCIA. AF_06/2016</v>
          </cell>
          <cell r="C4977" t="str">
            <v>M3</v>
          </cell>
          <cell r="D4977">
            <v>105.93</v>
          </cell>
        </row>
        <row r="4978">
          <cell r="A4978">
            <v>94116</v>
          </cell>
          <cell r="B4978" t="str">
            <v>LASTRO COM PREPARO DE FUNDO, LARGURA MAIOR OU IGUAL A 1,5 M, COM CAMADA DE BRITA, LANÇAMENTO MECANIZADO, EM LOCAL COM NÍVEL BAIXO DE INTERFERÊNCIA. AF_06/2016</v>
          </cell>
          <cell r="C4978" t="str">
            <v>M3</v>
          </cell>
          <cell r="D4978">
            <v>159.94</v>
          </cell>
        </row>
        <row r="4979">
          <cell r="A4979">
            <v>94117</v>
          </cell>
          <cell r="B4979" t="str">
            <v>LASTRO COM PREPARO DE FUNDO, LARGURA MAIOR OU IGUAL A 1,5 M, COM CAMADA DE AREIA, LANÇAMENTO MECANIZADO, EM LOCAL COM NÍVEL ALTO DE INTERFERÊNCIA. AF_06/2016</v>
          </cell>
          <cell r="C4979" t="str">
            <v>M3</v>
          </cell>
          <cell r="D4979">
            <v>111.09</v>
          </cell>
        </row>
        <row r="4980">
          <cell r="A4980">
            <v>94118</v>
          </cell>
          <cell r="B4980" t="str">
            <v>LASTRO COM PREPARO DE FUNDO, LARGURA MAIOR OU IGUAL A 1,5 M, COM CAMADA DE BRITA, LANÇAMENTO MECANIZADO, EM LOCAL COM NÍVEL ALTO DE INTERFERÊNCIA. AF_06/2016</v>
          </cell>
          <cell r="C4980" t="str">
            <v>M3</v>
          </cell>
          <cell r="D4980">
            <v>166.01</v>
          </cell>
        </row>
        <row r="4981">
          <cell r="A4981">
            <v>95606</v>
          </cell>
          <cell r="B4981" t="str">
            <v>UMIDIFICAÇÃO DE MATERIAL PARA VALAS COM CAMINHÃO PIPA 10000L. AF_11/2016</v>
          </cell>
          <cell r="C4981" t="str">
            <v>M3</v>
          </cell>
          <cell r="D4981">
            <v>1.21</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v>42.32</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v>43.41</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v>57.07</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v>58.32</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v>69.28</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v>70.73</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v>38.43</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v>39.520000000000003</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v>52.64</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v>53.89</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v>64.16</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v>65.61</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v>48.26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v>49.35</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v>63.11</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v>75.16</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v>76.61</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v>41.88</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v>42.97</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v>56.19</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v>57.44</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v>67.819999999999993</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v>69.27</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v>68.77</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v>69.8</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v>68.62</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v>69.930000000000007</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v>79.75</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v>80.86</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v>123.74</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v>125.16</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v>59.05</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v>60.08</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v>58.84</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v>60.15</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v>66.900000000000006</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v>68.010000000000005</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v>102.91</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v>104.33</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v>77.06</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v>78.09</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v>77.25</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v>78.56</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v>91.31</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v>92.42</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v>141.75</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v>143.16999999999999</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v>64.290000000000006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v>65.319999999999993</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v>64.14</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v>65.45</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v>73.97</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v>75.08</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v>113.88</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v>115.3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v>65.52</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v>67.41</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v>120.83</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v>64.36</v>
          </cell>
        </row>
        <row r="5041">
          <cell r="A5041">
            <v>101159</v>
          </cell>
          <cell r="B5041" t="str">
            <v>ALVENARIA DE VEDAÇÃO DE BLOCOS CERÂMICOS MACIÇOS DE 5X10X20CM (ESPESSURA 10CM) E ARGAMASSA DE ASSENTAMENTO COM PREPARO EM BETONEIRA. AF_05/2020</v>
          </cell>
          <cell r="C5041" t="str">
            <v>M2</v>
          </cell>
          <cell r="D5041">
            <v>101.06</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v>54.57</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v>55.85</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v>49.93</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v>51.21</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v>58.49</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v>59.77</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v>52.08</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v>53.36</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v>62.75</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v>64.16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v>58.09</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v>59.5</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v>68.44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v>69.849999999999994</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v>61.12</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v>62.53</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v>64.41</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v>66.22</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v>59.79</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v>61.6</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v>71.27</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v>73.08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v>63.75</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v>65.56</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v>72.819999999999993</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v>74.83</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v>68.16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v>70.17</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v>83.09</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v>85.1</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v>73.02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v>75.03</v>
          </cell>
        </row>
        <row r="5074">
          <cell r="A5074">
            <v>101162</v>
          </cell>
          <cell r="B5074" t="str">
            <v>ALVENARIA DE VEDAÇÃO COM ELEMENTO VAZADO DE CERÂMICA (COBOGÓ) DE 7X20X20CM E ARGAMASSA DE ASSENTAMENTO COM PREPARO EM BETONEIRA. AF_05/2020</v>
          </cell>
          <cell r="C5074" t="str">
            <v>M2</v>
          </cell>
          <cell r="D5074">
            <v>113.34</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v>51.55</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v>52.11</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v>67.34</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v>68.430000000000007</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v>82.33</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v>82.79</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v>47.95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v>48.88</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v>62.82</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v>64.28</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v>76.14</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v>77.489999999999995</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v>57.29</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v>58.22</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v>73.14</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v>74.23</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v>87.31</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v>88.66</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v>51.19</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v>52.12</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v>66.5</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v>67.59</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v>79.959999999999994</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v>81.31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v>51.33</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v>52.11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v>67.56</v>
          </cell>
        </row>
        <row r="5102">
          <cell r="A5102">
            <v>89453</v>
          </cell>
          <cell r="B5102" t="str">
            <v>ALVENARIA DE BLOCOS DE CONCRETO ESTRUTURAL 14X19X39 CM, (ESPESSURA 14 CM), FBK = 4,5 MPA, PARA PAREDES COM ÁREA LÍQUIDA MENOR QUE 6M², SEM VÃOS, UTILIZANDO PALHETA. AF_12/2014</v>
          </cell>
          <cell r="C5102" t="str">
            <v>M2</v>
          </cell>
          <cell r="D5102">
            <v>59.55</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v>56.94</v>
          </cell>
        </row>
        <row r="5104">
          <cell r="A5104">
            <v>89455</v>
          </cell>
          <cell r="B5104" t="str">
            <v>ALVENARIA DE BLOCOS DE CONCRETO ESTRUTURAL 14X19X39 CM, (ESPESSURA 14 CM) FBK = 14,0 MPA, PARA PAREDES COM ÁREA LÍQUIDA MENOR QUE 6M², SEM VÃOS, UTILIZANDO PALHETA. AF_12/2014</v>
          </cell>
          <cell r="C5104" t="str">
            <v>M2</v>
          </cell>
          <cell r="D5104">
            <v>74.010000000000005</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v>70.989999999999995</v>
          </cell>
        </row>
        <row r="5106">
          <cell r="A5106">
            <v>89457</v>
          </cell>
          <cell r="B5106" t="str">
            <v>ALVENARIA DE BLOCOS DE CONCRETO ESTRUTURAL 14X19X39 CM, (ESPESSURA 14 CM), FBK = 4,5 MPA, PARA PAREDES COM ÁREA LÍQUIDA MENOR QUE 6M², COM VÃOS, UTILIZANDO PALHETA. AF_12/2014</v>
          </cell>
          <cell r="C5106" t="str">
            <v>M2</v>
          </cell>
          <cell r="D5106">
            <v>63.16</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v>59.03</v>
          </cell>
        </row>
        <row r="5108">
          <cell r="A5108">
            <v>89459</v>
          </cell>
          <cell r="B5108" t="str">
            <v>ALVENARIA DE BLOCOS DE CONCRETO ESTRUTURAL 14X19X39 CM, (ESPESSURA 14 CM) FBK = 14,0 MPA, PARA PAREDES COM ÁREA LÍQUIDA MENOR QUE 6M², COM VÃOS, UTILIZANDO PALHETA. AF_12/2014</v>
          </cell>
          <cell r="C5108" t="str">
            <v>M2</v>
          </cell>
          <cell r="D5108">
            <v>77.97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v>73.38</v>
          </cell>
        </row>
        <row r="5110">
          <cell r="A5110">
            <v>89462</v>
          </cell>
          <cell r="B5110" t="str">
            <v>ALVENARIA DE BLOCOS DE CONCRETO ESTRUTURAL 14X19X29 CM, (ESPESSURA 14 CM), FBK = 4,5 MPA, PARA PAREDES COM ÁREA LÍQUIDA MENOR QUE 6M², SEM VÃOS, UTILIZANDO PALHETA. AF_12/2014</v>
          </cell>
          <cell r="C5110" t="str">
            <v>M2</v>
          </cell>
          <cell r="D5110">
            <v>71.45</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v>68.819999999999993</v>
          </cell>
        </row>
        <row r="5112">
          <cell r="A5112">
            <v>89464</v>
          </cell>
          <cell r="B5112" t="str">
            <v>ALVENARIA DE BLOCOS DE CONCRETO ESTRUTURAL 14X19X29 CM, (ESPESSURA 14 CM) FBK = 14,0 MPA, PARA PAREDES COM ÁREA LÍQUIDA MENOR QUE 6M², SEM VÃOS, UTILIZANDO PALHETA. AF_12/2014</v>
          </cell>
          <cell r="C5112" t="str">
            <v>M2</v>
          </cell>
          <cell r="D5112">
            <v>86.15</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v>83.22</v>
          </cell>
        </row>
        <row r="5114">
          <cell r="A5114">
            <v>89466</v>
          </cell>
          <cell r="B5114" t="str">
            <v>ALVENARIA DE BLOCOS DE CONCRETO ESTRUTURAL 14X19X29 CM, (ESPESSURA 14 CM), FBK = 4,5 MPA, PARA PAREDES COM ÁREA LÍQUIDA MENOR QUE 6M², COM VÃOS, UTILIZANDO PALHETA. AF_12/2014</v>
          </cell>
          <cell r="C5114" t="str">
            <v>M2</v>
          </cell>
          <cell r="D5114">
            <v>76.5</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v>71.760000000000005</v>
          </cell>
        </row>
        <row r="5116">
          <cell r="A5116">
            <v>89468</v>
          </cell>
          <cell r="B5116" t="str">
            <v>ALVENARIA DE BLOCOS DE CONCRETO ESTRUTURAL 14X19X29 CM, (ESPESSURA 14 CM) FBK = 14,0 MPA, PARA PAREDES COM ÁREA LÍQUIDA MENOR QUE 6M², COM VÃOS, UTILIZANDO PALHETA. AF_12/2014</v>
          </cell>
          <cell r="C5116" t="str">
            <v>M2</v>
          </cell>
          <cell r="D5116">
            <v>91.4</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v>86.38</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v>70.959999999999994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v>68.349999999999994</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v>85.32</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v>82.49</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v>77.819999999999993</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v>72.23</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v>92.73</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v>86.87</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v>83.06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v>80.430000000000007</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v>97.67</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v>94.93</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v>91.37</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v>85.36</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v>106.36</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v>100.09</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v>59.55</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v>71.92</v>
          </cell>
        </row>
        <row r="5136">
          <cell r="A5136">
            <v>101161</v>
          </cell>
          <cell r="B5136" t="str">
            <v>ALVENARIA DE VEDAÇÃO COM ELEMENTO VAZADO DE CONCRETO (COBOGÓ) DE 7X50X50CM E ARGAMASSA DE ASSENTAMENTO COM PREPARO EM BETONEIRA. AF_05/2020</v>
          </cell>
          <cell r="C5136" t="str">
            <v>M2</v>
          </cell>
          <cell r="D5136">
            <v>152.34</v>
          </cell>
        </row>
        <row r="5137">
          <cell r="A5137">
            <v>101163</v>
          </cell>
          <cell r="B5137" t="str">
            <v>ALVENARIA DE VEDAÇÃO COM BLOCO DE VIDRO VAZADO, TIPO VENEZIANA, DE 6X20X20CM E ARGAMASSA DE ASSENTAMENTO COM PREPARO EM BETONEIRA. AF_05/2020</v>
          </cell>
          <cell r="C5137" t="str">
            <v>M2</v>
          </cell>
          <cell r="D5137">
            <v>731.24</v>
          </cell>
        </row>
        <row r="5138">
          <cell r="A5138">
            <v>101164</v>
          </cell>
          <cell r="B5138" t="str">
            <v>ALVENARIA DE VEDAÇÃO COM BLOCO DE VIDRO, TIPO CANELADO, DE 8X19X19CM E ARGAMASSA DE ASSENTAMENTO COM PREPARO EM BETONEIRA. AF_05/2020</v>
          </cell>
          <cell r="C5138" t="str">
            <v>M2</v>
          </cell>
          <cell r="D5138">
            <v>533.64</v>
          </cell>
        </row>
        <row r="5139">
          <cell r="A5139">
            <v>72178</v>
          </cell>
          <cell r="B5139" t="str">
            <v>RETIRADA DE DIVISORIAS EM CHAPAS DE MADEIRA, COM MONTANTES METALICOS</v>
          </cell>
          <cell r="C5139" t="str">
            <v>M2</v>
          </cell>
          <cell r="D5139">
            <v>25.27</v>
          </cell>
        </row>
        <row r="5140">
          <cell r="A5140">
            <v>72179</v>
          </cell>
          <cell r="B5140" t="str">
            <v>RECOLOCACAO DE PLACAS DIVISORIAS DE GRANILITE, CONSIDERANDO REAPROVEITAMENTO DO MATERIAL</v>
          </cell>
          <cell r="C5140" t="str">
            <v>M2</v>
          </cell>
          <cell r="D5140">
            <v>49.52</v>
          </cell>
        </row>
        <row r="5141">
          <cell r="A5141">
            <v>72180</v>
          </cell>
          <cell r="B5141" t="str">
            <v>RECOLOCACAO DE DIVISORIAS TIPO CHAPAS OU TABUAS, EXCLUSIVE ENTARUGAMENTO, CONSIDERANDO REAPROVEITAMENTO DO MATERIAL</v>
          </cell>
          <cell r="C5141" t="str">
            <v>M2</v>
          </cell>
          <cell r="D5141">
            <v>15.65</v>
          </cell>
        </row>
        <row r="5142">
          <cell r="A5142">
            <v>72181</v>
          </cell>
          <cell r="B5142" t="str">
            <v>RECOLOCACAO DE DIVISORIAS TIPO CHAPAS OU TABUAS, INCLUSIVE ENTARUGAMENTO, CONSIDERANDO REAPROVEITAMENTO DO MATERIAL</v>
          </cell>
          <cell r="C5142" t="str">
            <v>M2</v>
          </cell>
          <cell r="D5142">
            <v>31.75</v>
          </cell>
        </row>
        <row r="5143">
          <cell r="A5143" t="str">
            <v>73774/1</v>
          </cell>
          <cell r="B5143" t="str">
            <v>DIVISORIA EM MARMORITE ESPESSURA 35MM, CHUMBAMENTO NO PISO E PAREDE COM ARGAMASSA DE CIMENTO E AREIA, POLIMENTO MANUAL, EXCLUSIVE FERRAGENS</v>
          </cell>
          <cell r="C5143" t="str">
            <v>M2</v>
          </cell>
          <cell r="D5143">
            <v>286.64</v>
          </cell>
        </row>
        <row r="5144">
          <cell r="A5144" t="str">
            <v>73909/1</v>
          </cell>
          <cell r="B5144" t="str">
            <v>DIVISORIA EM MADEIRA COMPENSADA RESINADA ESPESSURA 6MM, ESTRUTURADA EM MADEIRA DE LEI 3"X3"</v>
          </cell>
          <cell r="C5144" t="str">
            <v>M2</v>
          </cell>
          <cell r="D5144">
            <v>202.65</v>
          </cell>
        </row>
        <row r="5145">
          <cell r="A5145" t="str">
            <v>74229/1</v>
          </cell>
          <cell r="B5145" t="str">
            <v>DIVISORIA EM MARMORE BRANCO POLIDO, ESPESSURA 3 CM, ASSENTADO COM ARGAMASSA TRACO 1:4 (CIMENTO E AREIA), ARREMATE COM CIMENTO BRANCO, EXCLUSIVE FERRAGENS</v>
          </cell>
          <cell r="C5145" t="str">
            <v>M2</v>
          </cell>
          <cell r="D5145">
            <v>630.12</v>
          </cell>
        </row>
        <row r="5146">
          <cell r="A5146">
            <v>79627</v>
          </cell>
          <cell r="B5146" t="str">
            <v>DIVISORIA EM GRANITO BRANCO POLIDO, ESP = 3CM, ASSENTADO COM ARGAMASSA TRACO 1:4, ARREMATE EM CIMENTO BRANCO, EXCLUSIVE FERRAGENS</v>
          </cell>
          <cell r="C5146" t="str">
            <v>M2</v>
          </cell>
          <cell r="D5146">
            <v>738.51</v>
          </cell>
        </row>
        <row r="5147">
          <cell r="A5147">
            <v>96358</v>
          </cell>
          <cell r="B5147" t="str">
            <v>PAREDE COM PLACAS DE GESSO ACARTONADO (DRYWALL), PARA USO INTERNO, COM DUAS FACES SIMPLES E ESTRUTURA METÁLICA COM GUIAS SIMPLES, SEM VÃOS. AF_06/2017_P</v>
          </cell>
          <cell r="C5147" t="str">
            <v>M2</v>
          </cell>
          <cell r="D5147">
            <v>77.42</v>
          </cell>
        </row>
        <row r="5148">
          <cell r="A5148">
            <v>96359</v>
          </cell>
          <cell r="B5148" t="str">
            <v>PAREDE COM PLACAS DE GESSO ACARTONADO (DRYWALL), PARA USO INTERNO, COM DUAS FACES SIMPLES E ESTRUTURA METÁLICA COM GUIAS SIMPLES, COM VÃOS AF_06/2017_P</v>
          </cell>
          <cell r="C5148" t="str">
            <v>M2</v>
          </cell>
          <cell r="D5148">
            <v>85.62</v>
          </cell>
        </row>
        <row r="5149">
          <cell r="A5149">
            <v>96360</v>
          </cell>
          <cell r="B5149" t="str">
            <v>PAREDE COM PLACAS DE GESSO ACARTONADO (DRYWALL), PARA USO INTERNO, COM DUAS FACES SIMPLES E ESTRUTURA METÁLICA COM GUIAS DUPLAS, SEM VÃOS. AF_06/2017_P</v>
          </cell>
          <cell r="C5149" t="str">
            <v>M2</v>
          </cell>
          <cell r="D5149">
            <v>99.38</v>
          </cell>
        </row>
        <row r="5150">
          <cell r="A5150">
            <v>96361</v>
          </cell>
          <cell r="B5150" t="str">
            <v>PAREDE COM PLACAS DE GESSO ACARTONADO (DRYWALL), PARA USO INTERNO, COM DUAS FACES SIMPLES E ESTRUTURA METÁLICA COM GUIAS DUPLAS, COM VÃOS. AF_06/2017_P</v>
          </cell>
          <cell r="C5150" t="str">
            <v>M2</v>
          </cell>
          <cell r="D5150">
            <v>115.37</v>
          </cell>
        </row>
        <row r="5151">
          <cell r="A5151">
            <v>96362</v>
          </cell>
          <cell r="B5151" t="str">
            <v>PAREDE COM PLACAS DE GESSO ACARTONADO (DRYWALL), PARA USO INTERNO, COM UMA FACE SIMPLES E OUTRA FACE DUPLA E ESTRUTURA METÁLICA COM GUIAS SIMPLES, SEM VÃOS. AF_06/2017_P</v>
          </cell>
          <cell r="C5151" t="str">
            <v>M2</v>
          </cell>
          <cell r="D5151">
            <v>101.8</v>
          </cell>
        </row>
        <row r="5152">
          <cell r="A5152">
            <v>96363</v>
          </cell>
          <cell r="B5152" t="str">
            <v>PAREDE COM PLACAS DE GESSO ACARTONADO (DRYWALL), PARA USO INTERNO, COM UMA FACE SIMPLES E OUTRA FACE DUPLA E ESTRUTURA METÁLICA COM GUIAS SIMPLES, COM VÃOS. AF_06/2017_P</v>
          </cell>
          <cell r="C5152" t="str">
            <v>M2</v>
          </cell>
          <cell r="D5152">
            <v>110.26</v>
          </cell>
        </row>
        <row r="5153">
          <cell r="A5153">
            <v>96364</v>
          </cell>
          <cell r="B5153" t="str">
            <v>PAREDE COM PLACAS DE GESSO ACARTONADO (DRYWALL), PARA USO INTERNO COM UMA FACE SIMPLES E OUTRA FACE DUPLA E ESTRUTURA METÁLICA COM GUIAS DUPLAS, SEM VÃOS. AF_06/2017_P</v>
          </cell>
          <cell r="C5153" t="str">
            <v>M2</v>
          </cell>
          <cell r="D5153">
            <v>123.75</v>
          </cell>
        </row>
        <row r="5154">
          <cell r="A5154">
            <v>96365</v>
          </cell>
          <cell r="B5154" t="str">
            <v>PAREDE COM PLACAS DE GESSO ACARTONADO (DRYWALL), PARA USO INTERNO, COM UMA FACE SIMPLES E OUTRA FACE DUPLA E   ESTRUTURA METÁLICA COM GUIAS DUPLAS, COM VÃOS. AF_06/2017_P</v>
          </cell>
          <cell r="C5154" t="str">
            <v>M2</v>
          </cell>
          <cell r="D5154">
            <v>139.99</v>
          </cell>
        </row>
        <row r="5155">
          <cell r="A5155">
            <v>96366</v>
          </cell>
          <cell r="B5155" t="str">
            <v>PAREDE COM PLACAS DE GESSO ACARTONADO (DRYWALL), PARA USO INTERNO, COM DUAS FACES DUPLAS E ESTRUTURA METÁLICA COM GUIAS SIMPLES, SEM VÃOS. AF_06/2017_P</v>
          </cell>
          <cell r="C5155" t="str">
            <v>M2</v>
          </cell>
          <cell r="D5155">
            <v>126.18</v>
          </cell>
        </row>
        <row r="5156">
          <cell r="A5156">
            <v>96367</v>
          </cell>
          <cell r="B5156" t="str">
            <v>PAREDE COM PLACAS DE GESSO ACARTONADO (DRYWALL), PARA USO INTERNO, COM DUAS FACES DUPLAS E ESTRUTURA METÁLICA COM GUIAS SIMPLES, COM VÃOS. AF_06/2017_P</v>
          </cell>
          <cell r="C5156" t="str">
            <v>M2</v>
          </cell>
          <cell r="D5156">
            <v>134.86000000000001</v>
          </cell>
        </row>
        <row r="5157">
          <cell r="A5157">
            <v>96368</v>
          </cell>
          <cell r="B5157" t="str">
            <v>PAREDE COM PLACAS DE GESSO ACARTONADO (DRYWALL), PARA USO INTERNO COM DUAS FACES DUPLAS E ESTRUTURA METÁLICA COM GUIAS DUPLAS, SEM VÃOS. AF_06/2017</v>
          </cell>
          <cell r="C5157" t="str">
            <v>M2</v>
          </cell>
          <cell r="D5157">
            <v>148.13</v>
          </cell>
        </row>
        <row r="5158">
          <cell r="A5158">
            <v>96369</v>
          </cell>
          <cell r="B5158" t="str">
            <v>PAREDE COM PLACAS DE GESSO ACARTONADO (DRYWALL), PARA USO INTERNO, COM DUAS FACES DUPLAS E ESTRUTURA METÁLICA COM GUIAS DUPLAS, COM VÃOS. AF_06/2017_P</v>
          </cell>
          <cell r="C5158" t="str">
            <v>M2</v>
          </cell>
          <cell r="D5158">
            <v>164.62</v>
          </cell>
        </row>
        <row r="5159">
          <cell r="A5159">
            <v>96370</v>
          </cell>
          <cell r="B5159" t="str">
            <v>PAREDE COM PLACAS DE GESSO ACARTONADO (DRYWALL), PARA USO INTERNO, COM UMA FACE SIMPLES E ESTRUTURA METÁLICA COM GUIAS SIMPLES, SEM VÃOS. AF_06/2017_P</v>
          </cell>
          <cell r="C5159" t="str">
            <v>M2</v>
          </cell>
          <cell r="D5159">
            <v>50.07</v>
          </cell>
        </row>
        <row r="5160">
          <cell r="A5160">
            <v>96371</v>
          </cell>
          <cell r="B5160" t="str">
            <v>PAREDE COM PLACAS DE GESSO ACARTONADO (DRYWALL), PARA USO INTERNO, COM UMA FACE SIMPLES E ESTRUTURA METÁLICA COM GUIAS SIMPLES, COM VÃOS. AF_06/2017_P</v>
          </cell>
          <cell r="C5160" t="str">
            <v>M2</v>
          </cell>
          <cell r="D5160">
            <v>58.12</v>
          </cell>
        </row>
        <row r="5161">
          <cell r="A5161">
            <v>96372</v>
          </cell>
          <cell r="B5161" t="str">
            <v>INSTALAÇÃO DE ISOLAMENTO COM LÃ DE ROCHA EM PAREDES DRYWALL. AF_06/2017</v>
          </cell>
          <cell r="C5161" t="str">
            <v>M2</v>
          </cell>
          <cell r="D5161">
            <v>22.42</v>
          </cell>
        </row>
        <row r="5162">
          <cell r="A5162">
            <v>96373</v>
          </cell>
          <cell r="B5162" t="str">
            <v>INSTALAÇÃO DE REFORÇO METÁLICO EM PAREDE DRYWALL. AF_06/2017</v>
          </cell>
          <cell r="C5162" t="str">
            <v>M</v>
          </cell>
          <cell r="D5162">
            <v>7.84</v>
          </cell>
        </row>
        <row r="5163">
          <cell r="A5163">
            <v>96374</v>
          </cell>
          <cell r="B5163" t="str">
            <v>INSTALAÇÃO DE REFORÇO DE MADEIRA EM PAREDE DRYWALL. AF_06/2017</v>
          </cell>
          <cell r="C5163" t="str">
            <v>M</v>
          </cell>
          <cell r="D5163">
            <v>16.54</v>
          </cell>
        </row>
        <row r="5164">
          <cell r="A5164">
            <v>101154</v>
          </cell>
          <cell r="B5164" t="str">
            <v>ALVENARIA DE VEDAÇÃO DE BLOCOS DE CONCRETO CELULAR DE 10X30X60CM (ESPESSURA 10CM) E ARGAMASSA DE ASSENTAMENTO COM PREPARO EM BETONEIRA. AF_05/2020</v>
          </cell>
          <cell r="C5164" t="str">
            <v>M2</v>
          </cell>
          <cell r="D5164">
            <v>83.94</v>
          </cell>
        </row>
        <row r="5165">
          <cell r="A5165">
            <v>101155</v>
          </cell>
          <cell r="B5165" t="str">
            <v>ALVENARIA DE VEDAÇÃO DE BLOCOS DE CONCRETO CELULAR DE 15X30X60CM (ESPESSURA 15CM) E ARGAMASSA DE ASSENTAMENTO COM PREPARO EM BETONEIRA. AF_05/2020</v>
          </cell>
          <cell r="C5165" t="str">
            <v>M2</v>
          </cell>
          <cell r="D5165">
            <v>117.89</v>
          </cell>
        </row>
        <row r="5166">
          <cell r="A5166">
            <v>101156</v>
          </cell>
          <cell r="B5166" t="str">
            <v>ALVENARIA DE VEDAÇÃO DE BLOCOS DE CONCRETO CELULAR DE 20X30X60CM (ESPESSURA 20CM) E ARGAMASSA DE ASSENTAMENTO COM PREPARO EM BETONEIRA. AF_05/2020</v>
          </cell>
          <cell r="C5166" t="str">
            <v>M2</v>
          </cell>
          <cell r="D5166">
            <v>172.85</v>
          </cell>
        </row>
        <row r="5167">
          <cell r="A5167" t="str">
            <v>73790/2</v>
          </cell>
          <cell r="B5167" t="str">
            <v>REASSENTAMENTO DE PARALELEPIPEDO SOBRE COLCHAO DE PO DE PEDRA ESPESSURA 10CM, REJUNTADO COM BETUME E PEDRISCO, CONSIDERANDO APROVEITAMENTO DO PARALELEPIPEDO</v>
          </cell>
          <cell r="C5167" t="str">
            <v>M2</v>
          </cell>
          <cell r="D5167">
            <v>53.64</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v>42.99</v>
          </cell>
        </row>
        <row r="5169">
          <cell r="A5169">
            <v>83694</v>
          </cell>
          <cell r="B5169" t="str">
            <v>RECOMPOSICAO DE PAVIMENTACAO TIPO BLOKRET SOBRE COLCHAO DE AREIA COM REAPROVEITAMENTO DE MATERIAL</v>
          </cell>
          <cell r="C5169" t="str">
            <v>M2</v>
          </cell>
          <cell r="D5169">
            <v>15.68</v>
          </cell>
        </row>
        <row r="5170">
          <cell r="A5170" t="str">
            <v>83695/1</v>
          </cell>
          <cell r="B5170" t="str">
            <v>REJUNTAMENTO PAVIMENTACAO PARALELEPIPEDO BETUME CASCALH INCL MATERIAIS</v>
          </cell>
          <cell r="C5170" t="str">
            <v>M2</v>
          </cell>
          <cell r="D5170">
            <v>25.47</v>
          </cell>
        </row>
        <row r="5171">
          <cell r="A5171">
            <v>83771</v>
          </cell>
          <cell r="B5171" t="str">
            <v>RECOMPOSICAO DE REVESTIMENTO PRIMARIO MEDIDO P/ VOLUME COMPACTADO</v>
          </cell>
          <cell r="C5171" t="str">
            <v>M3</v>
          </cell>
          <cell r="D5171">
            <v>6.62</v>
          </cell>
        </row>
        <row r="5172">
          <cell r="A5172">
            <v>100576</v>
          </cell>
          <cell r="B5172" t="str">
            <v>REGULARIZAÇÃO E COMPACTAÇÃO DE SUBLEITO DE SOLO  PREDOMINANTEMENTE ARGILOSO. AF_11/2019</v>
          </cell>
          <cell r="C5172" t="str">
            <v>M2</v>
          </cell>
          <cell r="D5172">
            <v>1.31</v>
          </cell>
        </row>
        <row r="5173">
          <cell r="A5173">
            <v>100577</v>
          </cell>
          <cell r="B5173" t="str">
            <v>REGULARIZAÇÃO E COMPACTAÇÃO DE SUBLEITO DE SOLO PREDOMINANTEMENTE ARENOSO. AF_11/2019</v>
          </cell>
          <cell r="C5173" t="str">
            <v>M2</v>
          </cell>
          <cell r="D5173">
            <v>0.61</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v>6.17</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v>32.93</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v>53.89</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v>75.72</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v>96.82</v>
          </cell>
        </row>
        <row r="5179">
          <cell r="A5179">
            <v>96396</v>
          </cell>
          <cell r="B5179" t="str">
            <v>EXECUÇÃO E COMPACTAÇÃO DE BASE E OU SUB BASE PARA PAVIMENTAÇÃO DE BRITA GRADUADA SIMPLES - EXCLUSIVE CARGA E TRANSPORTE. AF_11/2019</v>
          </cell>
          <cell r="C5179" t="str">
            <v>M3</v>
          </cell>
          <cell r="D5179">
            <v>138.08000000000001</v>
          </cell>
        </row>
        <row r="5180">
          <cell r="A5180">
            <v>96397</v>
          </cell>
          <cell r="B5180" t="str">
            <v>EXECUÇÃO E COMPACTAÇÃO DE BASE E OU SUB BASE PARA PAVIMENTAÇÃO DE BRITA GRADUADA SIMPLES TRATADA COM CIMENTO - EXCLUSIVE CARGA E TRANSPORTE. AF_11/2019</v>
          </cell>
          <cell r="C5180" t="str">
            <v>M3</v>
          </cell>
          <cell r="D5180">
            <v>176.96</v>
          </cell>
        </row>
        <row r="5181">
          <cell r="A5181">
            <v>96398</v>
          </cell>
          <cell r="B5181" t="str">
            <v>EXECUÇÃO E COMPACTAÇÃO DE BASE E OU SUB BASE PARA PAVIMENTAÇÃO DE CONCRETO COMPACTADO COM ROLO - EXCLUSIVE CARGA E TRANSPORTE. AF_11/2019</v>
          </cell>
          <cell r="C5181" t="str">
            <v>M3</v>
          </cell>
          <cell r="D5181">
            <v>230</v>
          </cell>
        </row>
        <row r="5182">
          <cell r="A5182">
            <v>96399</v>
          </cell>
          <cell r="B5182" t="str">
            <v>EXECUÇÃO E COMPACTAÇÃO DE BASE E OU SUB BASE PARA PAVIMENTAÇÃO DE PEDRA RACHÃO  - EXCLUSIVE CARGA E TRANSPORTE. AF_11/2019</v>
          </cell>
          <cell r="C5182" t="str">
            <v>M3</v>
          </cell>
          <cell r="D5182">
            <v>100.11</v>
          </cell>
        </row>
        <row r="5183">
          <cell r="A5183">
            <v>96400</v>
          </cell>
          <cell r="B5183" t="str">
            <v>EXECUÇÃO E COMPACTAÇÃO DE BASE E OU SUB BASE PARA PAVIMENTAÇÃO DE MACADAME SECO - EXCLUSIVE CARGA E TRANSPORTE. AF_11/2019</v>
          </cell>
          <cell r="C5183" t="str">
            <v>M3</v>
          </cell>
          <cell r="D5183">
            <v>126.84</v>
          </cell>
        </row>
        <row r="5184">
          <cell r="A5184">
            <v>96401</v>
          </cell>
          <cell r="B5184" t="str">
            <v>EXECUÇÃO DE IMPRIMAÇÃO COM ASFALTO DILUÍDO CM-30. AF_11/2019</v>
          </cell>
          <cell r="C5184" t="str">
            <v>M2</v>
          </cell>
          <cell r="D5184">
            <v>6.47</v>
          </cell>
        </row>
        <row r="5185">
          <cell r="A5185">
            <v>96402</v>
          </cell>
          <cell r="B5185" t="str">
            <v>EXECUÇÃO DE PINTURA DE LIGAÇÃO COM EMULSÃO ASFÁLTICA RR-2C. AF_11/2019</v>
          </cell>
          <cell r="C5185" t="str">
            <v>M2</v>
          </cell>
          <cell r="D5185">
            <v>1.49</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v>78.599999999999994</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v>67.64</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v>121.54</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v>141.63999999999999</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v>161.38</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v>110.98</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v>132.47999999999999</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v>151.30000000000001</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v>81.650000000000006</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v>70.69</v>
          </cell>
        </row>
        <row r="5196">
          <cell r="A5196">
            <v>100574</v>
          </cell>
          <cell r="B5196" t="str">
            <v>ESPALHAMENTO DE MATERIAL COM TRATOR DE ESTEIRAS. AF_11/2019</v>
          </cell>
          <cell r="C5196" t="str">
            <v>M3</v>
          </cell>
          <cell r="D5196">
            <v>0.84</v>
          </cell>
        </row>
        <row r="5197">
          <cell r="A5197">
            <v>100575</v>
          </cell>
          <cell r="B5197" t="str">
            <v>REGULARIZAÇÃO DE SUPERFÍCIES COM MOTONIVELADORA. AF_11/2019</v>
          </cell>
          <cell r="C5197" t="str">
            <v>M2</v>
          </cell>
          <cell r="D5197">
            <v>0.06</v>
          </cell>
        </row>
        <row r="5198">
          <cell r="A5198">
            <v>92391</v>
          </cell>
          <cell r="B5198" t="str">
            <v>EXECUÇÃO DE PAVIMENTO EM PISO INTERTRAVADO, COM BLOCO PISOGRAMA DE 35 X 25 CM, ESPESSURA 6 CM. AF_12/2015</v>
          </cell>
          <cell r="C5198" t="str">
            <v>M2</v>
          </cell>
          <cell r="D5198">
            <v>46.42</v>
          </cell>
        </row>
        <row r="5199">
          <cell r="A5199">
            <v>92392</v>
          </cell>
          <cell r="B5199" t="str">
            <v>EXECUÇÃO DE PAVIMENTO EM PISO INTERTRAVADO, COM BLOCO PISOGRAMA DE 35 X 25 CM, ESPESSURA 8 CM. AF_12/2015</v>
          </cell>
          <cell r="C5199" t="str">
            <v>M2</v>
          </cell>
          <cell r="D5199">
            <v>95.76</v>
          </cell>
        </row>
        <row r="5200">
          <cell r="A5200">
            <v>92393</v>
          </cell>
          <cell r="B5200" t="str">
            <v>EXECUÇÃO DE PAVIMENTO EM PISO INTERTRAVADO, COM BLOCO SEXTAVADO DE 25 X 25 CM, ESPESSURA 6 CM. AF_12/2015</v>
          </cell>
          <cell r="C5200" t="str">
            <v>M2</v>
          </cell>
          <cell r="D5200">
            <v>46.41</v>
          </cell>
        </row>
        <row r="5201">
          <cell r="A5201">
            <v>92394</v>
          </cell>
          <cell r="B5201" t="str">
            <v>EXECUÇÃO DE PAVIMENTO EM PISO INTERTRAVADO, COM BLOCO SEXTAVADO DE 25 X 25 CM, ESPESSURA 8 CM. AF_12/2015</v>
          </cell>
          <cell r="C5201" t="str">
            <v>M2</v>
          </cell>
          <cell r="D5201">
            <v>58.33</v>
          </cell>
        </row>
        <row r="5202">
          <cell r="A5202">
            <v>92395</v>
          </cell>
          <cell r="B5202" t="str">
            <v>EXECUÇÃO DE PAVIMENTO EM PISO INTERTRAVADO, COM BLOCO SEXTAVADO DE 25 X 25 CM, ESPESSURA 10 CM. AF_12/2015</v>
          </cell>
          <cell r="C5202" t="str">
            <v>M2</v>
          </cell>
          <cell r="D5202">
            <v>71.19</v>
          </cell>
        </row>
        <row r="5203">
          <cell r="A5203">
            <v>92396</v>
          </cell>
          <cell r="B5203" t="str">
            <v>EXECUÇÃO DE PASSEIO EM PISO INTERTRAVADO, COM BLOCO RETANGULAR COR NATURAL DE 20 X 10 CM, ESPESSURA 6 CM. AF_12/2015</v>
          </cell>
          <cell r="C5203" t="str">
            <v>M2</v>
          </cell>
          <cell r="D5203">
            <v>57.6</v>
          </cell>
        </row>
        <row r="5204">
          <cell r="A5204">
            <v>92397</v>
          </cell>
          <cell r="B5204" t="str">
            <v>EXECUÇÃO DE PÁTIO/ESTACIONAMENTO EM PISO INTERTRAVADO, COM BLOCO RETANGULAR COR NATURAL DE 20 X 10 CM, ESPESSURA 6 CM. AF_12/2015</v>
          </cell>
          <cell r="C5204" t="str">
            <v>M2</v>
          </cell>
          <cell r="D5204">
            <v>46.67</v>
          </cell>
        </row>
        <row r="5205">
          <cell r="A5205">
            <v>92398</v>
          </cell>
          <cell r="B5205" t="str">
            <v>EXECUÇÃO DE PÁTIO/ESTACIONAMENTO EM PISO INTERTRAVADO, COM BLOCO RETANGULAR COR NATURAL DE 20 X 10 CM, ESPESSURA 8 CM. AF_12/2015</v>
          </cell>
          <cell r="C5205" t="str">
            <v>M2</v>
          </cell>
          <cell r="D5205">
            <v>59.93</v>
          </cell>
        </row>
        <row r="5206">
          <cell r="A5206">
            <v>92399</v>
          </cell>
          <cell r="B5206" t="str">
            <v>EXECUÇÃO DE VIA EM PISO INTERTRAVADO, COM BLOCO RETANGULAR COR NATURAL DE 20 X 10 CM, ESPESSURA 8 CM. AF_12/2015</v>
          </cell>
          <cell r="C5206" t="str">
            <v>M2</v>
          </cell>
          <cell r="D5206">
            <v>61.17</v>
          </cell>
        </row>
        <row r="5207">
          <cell r="A5207">
            <v>92400</v>
          </cell>
          <cell r="B5207" t="str">
            <v>EXECUÇÃO DE PÁTIO/ESTACIONAMENTO EM PISO INTERTRAVADO, COM BLOCO RETANGULAR DE 20 X 10 CM, ESPESSURA 10 CM. AF_12/2015</v>
          </cell>
          <cell r="C5207" t="str">
            <v>M2</v>
          </cell>
          <cell r="D5207">
            <v>71.81</v>
          </cell>
        </row>
        <row r="5208">
          <cell r="A5208">
            <v>92401</v>
          </cell>
          <cell r="B5208" t="str">
            <v>EXECUÇÃO DE VIA EM PISO INTERTRAVADO, COM BLOCO RETANGULAR DE 20 X 10 CM, ESPESSURA 10 CM. AF_12/2015</v>
          </cell>
          <cell r="C5208" t="str">
            <v>M2</v>
          </cell>
          <cell r="D5208">
            <v>73.12</v>
          </cell>
        </row>
        <row r="5209">
          <cell r="A5209">
            <v>92402</v>
          </cell>
          <cell r="B5209" t="str">
            <v>EXECUÇÃO DE PASSEIO EM PISO INTERTRAVADO, COM BLOCO 16 FACES DE 22 X 11 CM, ESPESSURA 6 CM. AF_12/2015</v>
          </cell>
          <cell r="C5209" t="str">
            <v>M2</v>
          </cell>
          <cell r="D5209">
            <v>59.13</v>
          </cell>
        </row>
        <row r="5210">
          <cell r="A5210">
            <v>92403</v>
          </cell>
          <cell r="B5210" t="str">
            <v>EXECUÇÃO DE PÁTIO/ESTACIONAMENTO EM PISO INTERTRAVADO, COM BLOCO 16 FACES DE 22 X 11 CM, ESPESSURA 6 CM. AF_12/2015</v>
          </cell>
          <cell r="C5210" t="str">
            <v>M2</v>
          </cell>
          <cell r="D5210">
            <v>48.09</v>
          </cell>
        </row>
        <row r="5211">
          <cell r="A5211">
            <v>92404</v>
          </cell>
          <cell r="B5211" t="str">
            <v>EXECUÇÃO DE PÁTIO/ESTACIONAMENTO EM PISO INTERTRAVADO, COM BLOCO 16 FACES DE 22 X 11 CM, ESPESSURA 8 CM. AF_12/2015</v>
          </cell>
          <cell r="C5211" t="str">
            <v>M2</v>
          </cell>
          <cell r="D5211">
            <v>61.36</v>
          </cell>
        </row>
        <row r="5212">
          <cell r="A5212">
            <v>92405</v>
          </cell>
          <cell r="B5212" t="str">
            <v>EXECUÇÃO DE VIA EM PISO INTERTRAVADO, COM BLOCO 16 FACES DE 22 X 11 CM, ESPESSURA 8 CM. AF_12/2015</v>
          </cell>
          <cell r="C5212" t="str">
            <v>M2</v>
          </cell>
          <cell r="D5212">
            <v>62.56</v>
          </cell>
        </row>
        <row r="5213">
          <cell r="A5213">
            <v>92406</v>
          </cell>
          <cell r="B5213" t="str">
            <v>EXECUÇÃO DE PÁTIO/ESTACIONAMENTO EM PISO INTERTRAVADO, COM BLOCO 16 FACES DE 22 X 11 CM, ESPESSURA 10 CM. AF_12/2015</v>
          </cell>
          <cell r="C5213" t="str">
            <v>M2</v>
          </cell>
          <cell r="D5213">
            <v>73.25</v>
          </cell>
        </row>
        <row r="5214">
          <cell r="A5214">
            <v>92407</v>
          </cell>
          <cell r="B5214" t="str">
            <v>EXECUÇÃO DE VIA EM PISO INTERTRAVADO, COM BLOCO 16 FACES DE 22 X 11 CM, ESPESSURA 10 CM. AF_12/2015</v>
          </cell>
          <cell r="C5214" t="str">
            <v>M2</v>
          </cell>
          <cell r="D5214">
            <v>74.52</v>
          </cell>
        </row>
        <row r="5215">
          <cell r="A5215">
            <v>93679</v>
          </cell>
          <cell r="B5215" t="str">
            <v>EXECUÇÃO DE PASSEIO EM PISO INTERTRAVADO, COM BLOCO RETANGULAR COLORIDO DE 20 X 10 CM, ESPESSURA 6 CM. AF_12/2015</v>
          </cell>
          <cell r="C5215" t="str">
            <v>M2</v>
          </cell>
          <cell r="D5215">
            <v>63.71</v>
          </cell>
        </row>
        <row r="5216">
          <cell r="A5216">
            <v>93680</v>
          </cell>
          <cell r="B5216" t="str">
            <v>EXECUÇÃO DE PÁTIO/ESTACIONAMENTO EM PISO INTERTRAVADO, COM BLOCO RETANGULAR COLORIDO DE 20 X 10 CM, ESPESSURA 6 CM. AF_12/2015</v>
          </cell>
          <cell r="C5216" t="str">
            <v>M2</v>
          </cell>
          <cell r="D5216">
            <v>52.51</v>
          </cell>
        </row>
        <row r="5217">
          <cell r="A5217">
            <v>93681</v>
          </cell>
          <cell r="B5217" t="str">
            <v>EXECUÇÃO DE PÁTIO/ESTACIONAMENTO EM PISO INTERTRAVADO, COM BLOCO RETANGULAR COLORIDO DE 20 X 10 CM, ESPESSURA 8 CM. AF_12/2015</v>
          </cell>
          <cell r="C5217" t="str">
            <v>M2</v>
          </cell>
          <cell r="D5217">
            <v>64.599999999999994</v>
          </cell>
        </row>
        <row r="5218">
          <cell r="A5218">
            <v>93682</v>
          </cell>
          <cell r="B5218" t="str">
            <v>EXECUÇÃO DE VIA EM PISO INTERTRAVADO, COM BLOCO RETANGULAR COLORIDO DE 20 X 10 CM, ESPESSURA 8 CM. AF_12/2015</v>
          </cell>
          <cell r="C5218" t="str">
            <v>M2</v>
          </cell>
          <cell r="D5218">
            <v>65.89</v>
          </cell>
        </row>
        <row r="5219">
          <cell r="A5219">
            <v>97114</v>
          </cell>
          <cell r="B5219" t="str">
            <v>EXECUÇÃO DE JUNTAS DE CONTRAÇÃO PARA PAVIMENTOS DE CONCRETO. AF_11/2017</v>
          </cell>
          <cell r="C5219" t="str">
            <v>M</v>
          </cell>
          <cell r="D5219">
            <v>0.36</v>
          </cell>
        </row>
        <row r="5220">
          <cell r="A5220">
            <v>97115</v>
          </cell>
          <cell r="B5220" t="str">
            <v>APLICAÇÃO DE GRAXA EM BARRAS DE TRANSFERÊNCIA PARA EXECUÇÃO DE PAVIMENTO DE CONCRETO. AF_11/2017</v>
          </cell>
          <cell r="C5220" t="str">
            <v>KG</v>
          </cell>
          <cell r="D5220">
            <v>29.49</v>
          </cell>
        </row>
        <row r="5221">
          <cell r="A5221">
            <v>97120</v>
          </cell>
          <cell r="B5221" t="str">
            <v>BARRAS DE LIGAÇÃO, AÇO CA-50 DE 10 MM, PARA EXECUÇÃO DE PAVIMENTO DE CONCRETO  FORNECIMENTO E INSTALAÇÃO. AF_11/2017</v>
          </cell>
          <cell r="C5221" t="str">
            <v>KG</v>
          </cell>
          <cell r="D5221">
            <v>7.2</v>
          </cell>
        </row>
        <row r="5222">
          <cell r="A5222">
            <v>97802</v>
          </cell>
          <cell r="B5222" t="str">
            <v>PAVIMENTO COM TRATAMENTO SUPERFICIAL SIMPLES, COM EMULSÃO ASFÁLTICA RR-2C. AF_01/2020</v>
          </cell>
          <cell r="C5222" t="str">
            <v>M2</v>
          </cell>
          <cell r="D5222">
            <v>4.18</v>
          </cell>
        </row>
        <row r="5223">
          <cell r="A5223">
            <v>97803</v>
          </cell>
          <cell r="B5223" t="str">
            <v>PAVIMENTO COM TRATAMENTO SUPERFICIAL SIMPLES, COM EMULSÃO ASFÁLTICA RR-2C, COM BANHO DILUÍDO. AF_01/2020</v>
          </cell>
          <cell r="C5223" t="str">
            <v>M2</v>
          </cell>
          <cell r="D5223">
            <v>6.23</v>
          </cell>
        </row>
        <row r="5224">
          <cell r="A5224">
            <v>97805</v>
          </cell>
          <cell r="B5224" t="str">
            <v>PAVIMENTO COM TRATAMENTO SUPERFICIAL DUPLO, COM EMULSÃO ASFÁLTICA RR-2C. AF_01/2020</v>
          </cell>
          <cell r="C5224" t="str">
            <v>M2</v>
          </cell>
          <cell r="D5224">
            <v>10.54</v>
          </cell>
        </row>
        <row r="5225">
          <cell r="A5225">
            <v>97806</v>
          </cell>
          <cell r="B5225" t="str">
            <v>PAVIMENTO COM TRATAMENTO SUPERFICIAL DUPLO, COM EMULSÃO ASFÁLTICA RR-2C, COM BANHO DILUÍDO. AF_01/2020</v>
          </cell>
          <cell r="C5225" t="str">
            <v>M2</v>
          </cell>
          <cell r="D5225">
            <v>12.54</v>
          </cell>
        </row>
        <row r="5226">
          <cell r="A5226">
            <v>97807</v>
          </cell>
          <cell r="B5226" t="str">
            <v>PAVIMENTO COM TRATAMENTO SUPERFICIAL DUPLO, COM EMULSÃO ASFÁLTICA RR-2C, COM CAPA SELANTE. AF_01/2020</v>
          </cell>
          <cell r="C5226" t="str">
            <v>M2</v>
          </cell>
          <cell r="D5226">
            <v>14.22</v>
          </cell>
        </row>
        <row r="5227">
          <cell r="A5227">
            <v>97809</v>
          </cell>
          <cell r="B5227" t="str">
            <v>PAVIMENTO COM TRATAMENTO SUPERFICIAL TRIPLO, COM EMULSÃO ASFÁLTICA RR-2C. AF_01/2020</v>
          </cell>
          <cell r="C5227" t="str">
            <v>M2</v>
          </cell>
          <cell r="D5227">
            <v>11.85</v>
          </cell>
        </row>
        <row r="5228">
          <cell r="A5228">
            <v>97810</v>
          </cell>
          <cell r="B5228" t="str">
            <v>PAVIMENTO COM TRATAMENTO SUPERFICIAL TRIPLO, COM EMULSÃO ASFÁLTICA RR-2C, COM BANHO DILUÍDO. AF_01/2020</v>
          </cell>
          <cell r="C5228" t="str">
            <v>M2</v>
          </cell>
          <cell r="D5228">
            <v>12.81</v>
          </cell>
        </row>
        <row r="5229">
          <cell r="A5229">
            <v>97811</v>
          </cell>
          <cell r="B5229" t="str">
            <v>PAVIMENTO COM TRATAMENTO SUPERFICIAL TRIPLO, COM EMULSÃO ASFÁLTICA RR-2C, COM CAPA SELANTE. AF_01/2020</v>
          </cell>
          <cell r="C5229" t="str">
            <v>M2</v>
          </cell>
          <cell r="D5229">
            <v>14.55</v>
          </cell>
        </row>
        <row r="5230">
          <cell r="A5230">
            <v>101167</v>
          </cell>
          <cell r="B5230" t="str">
            <v>EXECUÇÃO DE PAVIMENTO EM PARALELEPÍPEDOS, REJUNTAMENTO COM PÓ DE PEDRA. AF_05/2020</v>
          </cell>
          <cell r="C5230" t="str">
            <v>M2</v>
          </cell>
          <cell r="D5230">
            <v>69.62</v>
          </cell>
        </row>
        <row r="5231">
          <cell r="A5231">
            <v>101168</v>
          </cell>
          <cell r="B5231" t="str">
            <v>EXECUÇÃO DE PAVIMENTO EM PARALELEPÍPEDOS, REJUNTAMENTO COM PEDRISCO E EMULSÃO ASFÁLTICA. AF_05/2020_P</v>
          </cell>
          <cell r="C5231" t="str">
            <v>M2</v>
          </cell>
          <cell r="D5231">
            <v>97.19</v>
          </cell>
        </row>
        <row r="5232">
          <cell r="A5232">
            <v>101169</v>
          </cell>
          <cell r="B5232" t="str">
            <v>EXECUÇÃO DE PAVIMENTO EM PARALELEPÍPEDOS, REJUNTAMENTO COM ARGAMASSA TRAÇO 1:3 (CIMENTO E AREIA). AF_05/2020</v>
          </cell>
          <cell r="C5232" t="str">
            <v>M2</v>
          </cell>
          <cell r="D5232">
            <v>78.63</v>
          </cell>
        </row>
        <row r="5233">
          <cell r="A5233">
            <v>101170</v>
          </cell>
          <cell r="B5233" t="str">
            <v>EXECUÇÃO DE PAVIMENTO EM PEDRAS POLIÉDRICAS, REJUNTAMENTO COM PÓ DE PEDRA. AF_05/2020</v>
          </cell>
          <cell r="C5233" t="str">
            <v>M2</v>
          </cell>
          <cell r="D5233">
            <v>32.85</v>
          </cell>
        </row>
        <row r="5234">
          <cell r="A5234">
            <v>101171</v>
          </cell>
          <cell r="B5234" t="str">
            <v>EXECUÇÃO DE PAVIMENTO EM PEDRAS POLIÉDRICAS, REJUNTAMENTO COM PEDRISCO E EMULSÃO ASFÁLTICA AF_05/2020_P</v>
          </cell>
          <cell r="C5234" t="str">
            <v>M2</v>
          </cell>
          <cell r="D5234">
            <v>67.62</v>
          </cell>
        </row>
        <row r="5235">
          <cell r="A5235">
            <v>101172</v>
          </cell>
          <cell r="B5235" t="str">
            <v>EXECUÇÃO DE PAVIMENTO EM PEDRAS POLIÉDRICAS, REJUNTAMENTO COM ARGAMASSA TRAÇO 1:3 (CIMENTO E AREIA). AF_05/2020</v>
          </cell>
          <cell r="C5235" t="str">
            <v>M2</v>
          </cell>
          <cell r="D5235">
            <v>48.41</v>
          </cell>
        </row>
        <row r="5236">
          <cell r="A5236">
            <v>72947</v>
          </cell>
          <cell r="B5236" t="str">
            <v>SINALIZACAO HORIZONTAL COM TINTA RETRORREFLETIVA A BASE DE RESINA ACRILICA COM MICROESFERAS DE VIDRO</v>
          </cell>
          <cell r="C5236" t="str">
            <v>M2</v>
          </cell>
          <cell r="D5236">
            <v>11.16</v>
          </cell>
        </row>
        <row r="5237">
          <cell r="A5237">
            <v>83693</v>
          </cell>
          <cell r="B5237" t="str">
            <v>CAIACAO EM MEIO FIO</v>
          </cell>
          <cell r="C5237" t="str">
            <v>M2</v>
          </cell>
          <cell r="D5237">
            <v>3.56</v>
          </cell>
        </row>
        <row r="5238">
          <cell r="A5238">
            <v>95995</v>
          </cell>
          <cell r="B5238" t="str">
            <v>EXECUÇÃO DE PAVIMENTO COM APLICAÇÃO DE CONCRETO ASFÁLTICO, CAMADA DE ROLAMENTO - EXCLUSIVE CARGA E TRANSPORTE. AF_11/2019</v>
          </cell>
          <cell r="C5238" t="str">
            <v>M3</v>
          </cell>
          <cell r="D5238">
            <v>904.16</v>
          </cell>
        </row>
        <row r="5239">
          <cell r="A5239">
            <v>95996</v>
          </cell>
          <cell r="B5239" t="str">
            <v>EXECUÇÃO DE PAVIMENTO COM APLICAÇÃO DE CONCRETO ASFÁLTICO, CAMADA DE BINDER - EXCLUSIVE CARGA E TRANSPORTE. AF_11/2019</v>
          </cell>
          <cell r="C5239" t="str">
            <v>M3</v>
          </cell>
          <cell r="D5239">
            <v>858.86</v>
          </cell>
        </row>
        <row r="5240">
          <cell r="A5240">
            <v>96001</v>
          </cell>
          <cell r="B5240" t="str">
            <v>FRESAGEM DE PAVIMENTO ASFÁLTICO (PROFUNDIDADE ATÉ 5,0 CM) - EXCLUSIVE TRANSPORTE. AF_11/2019</v>
          </cell>
          <cell r="C5240" t="str">
            <v>M2</v>
          </cell>
          <cell r="D5240">
            <v>4.93</v>
          </cell>
        </row>
        <row r="5241">
          <cell r="A5241">
            <v>96393</v>
          </cell>
          <cell r="B5241" t="str">
            <v>USINAGEM DE BRITA GRADUADA SIMPLES. AF_03/2020</v>
          </cell>
          <cell r="C5241" t="str">
            <v>M3</v>
          </cell>
          <cell r="D5241">
            <v>131.21</v>
          </cell>
        </row>
        <row r="5242">
          <cell r="A5242">
            <v>96394</v>
          </cell>
          <cell r="B5242" t="str">
            <v>USINAGEM DE BRITA GRADUADA TRATADA COM CIMENTO. AF_03/2020</v>
          </cell>
          <cell r="C5242" t="str">
            <v>M3</v>
          </cell>
          <cell r="D5242">
            <v>169.18</v>
          </cell>
        </row>
        <row r="5243">
          <cell r="A5243">
            <v>96395</v>
          </cell>
          <cell r="B5243" t="str">
            <v>USINAGEM DE CONCRETO PARA COMPACTAÇÃO COM ROLO. AF_03/2020</v>
          </cell>
          <cell r="C5243" t="str">
            <v>M3</v>
          </cell>
          <cell r="D5243">
            <v>223.13</v>
          </cell>
        </row>
        <row r="5244">
          <cell r="A5244">
            <v>100624</v>
          </cell>
          <cell r="B5244" t="str">
            <v>EXECUÇÃO DE PAVIMENTO COM APLICAÇÃO DE PRÉ-MISTURADO A FRIO, CAMADA DE ROLAMENTO - EXCLUSIVE CARGA E TRANSPORTE. AF_11/2019</v>
          </cell>
          <cell r="C5244" t="str">
            <v>M3</v>
          </cell>
          <cell r="D5244">
            <v>823.17</v>
          </cell>
        </row>
        <row r="5245">
          <cell r="A5245">
            <v>100625</v>
          </cell>
          <cell r="B5245" t="str">
            <v>EXECUÇÃO DE PAVIMENTO COM APLICAÇÃO DE PRÉ-MISTURADO A FRIO, CAMADA DE BINDER - EXCLUSIVE CARGA E TRANSPORTE. AF_11/2019</v>
          </cell>
          <cell r="C5245" t="str">
            <v>M3</v>
          </cell>
          <cell r="D5245">
            <v>745.43</v>
          </cell>
        </row>
        <row r="5246">
          <cell r="A5246">
            <v>101020</v>
          </cell>
          <cell r="B5246" t="str">
            <v>USINAGEM DE CONCRETO ASFÁLTICO COM CAP 50/70, PARA CAMADA DE BINDER, PADRÃO DNIT FAIXA B, EM USINA DE ASFALTO CONTÍNUA DE 80 TON/H. AF_03/2020</v>
          </cell>
          <cell r="C5246" t="str">
            <v>T</v>
          </cell>
          <cell r="D5246">
            <v>307.89</v>
          </cell>
        </row>
        <row r="5247">
          <cell r="A5247">
            <v>101021</v>
          </cell>
          <cell r="B5247" t="str">
            <v>USINAGEM DE CONCRETO ASFÁLTICO COM CAP 50/70, PARA CAMADA DE ROLAMENTO, PADRÃO DNIT FAIXA C, EM USINA DE ASFALTO CONTÍNUA DE 80 TON/H. AF_03/2020</v>
          </cell>
          <cell r="C5247" t="str">
            <v>T</v>
          </cell>
          <cell r="D5247">
            <v>311.52</v>
          </cell>
        </row>
        <row r="5248">
          <cell r="A5248">
            <v>101022</v>
          </cell>
          <cell r="B5248" t="str">
            <v>USINAGEM DE CONCRETO ASFÁLTICO COM CAP 50/70, PARA CAMADA DE BINDER, PADRÃO DNIT FAIXA B, EM USINA DE ASFALTO CONTÍNUA DE 140 TON/H. AF_03/2020_P</v>
          </cell>
          <cell r="C5248" t="str">
            <v>T</v>
          </cell>
          <cell r="D5248">
            <v>273.18</v>
          </cell>
        </row>
        <row r="5249">
          <cell r="A5249">
            <v>101023</v>
          </cell>
          <cell r="B5249" t="str">
            <v>USINAGEM DE CONCRETO ASFÁLTICO COM CAP 50/70, PARA CAMADA DE ROLAMENTO, PADRÃO DNIT FAIXA C, EM USINA DE ASFALTO CONTÍNUA DE 140 TON/H. AF_03/2020_P</v>
          </cell>
          <cell r="C5249" t="str">
            <v>T</v>
          </cell>
          <cell r="D5249">
            <v>278.08999999999997</v>
          </cell>
        </row>
        <row r="5250">
          <cell r="A5250">
            <v>101024</v>
          </cell>
          <cell r="B5250" t="str">
            <v>USINAGEM DE CONCRETO ASFÁLTICO COM CAP 50/70, PARA CAMADA DE BINDER, PADRÃO DNIT FAIXA B, EM USINA DE ASFALTO GRAVIMÉTRICA DE 150 TON/H. AF_03/2020_P</v>
          </cell>
          <cell r="C5250" t="str">
            <v>T</v>
          </cell>
          <cell r="D5250">
            <v>277.17</v>
          </cell>
        </row>
        <row r="5251">
          <cell r="A5251">
            <v>101025</v>
          </cell>
          <cell r="B5251" t="str">
            <v>USINAGEM DE CONCRETO ASFÁLTICO COM CAP 50/70 PARA CAMADA DE ROLAMENTO, PADRÃO DNIT FAIXA C, EM USINA DE ASFALTO GRAVIMÉTRICA DE 150 TON/H. AF_03/2020_P</v>
          </cell>
          <cell r="C5251" t="str">
            <v>T</v>
          </cell>
          <cell r="D5251">
            <v>280.79000000000002</v>
          </cell>
        </row>
        <row r="5252">
          <cell r="A5252">
            <v>101026</v>
          </cell>
          <cell r="B5252" t="str">
            <v>USINAGEM DE PRÉ MISTURADO A FRIO, PARA CAMADA DE BINDER, PADRÃO DNIT FAIXA B. AF_03/2020_P</v>
          </cell>
          <cell r="C5252" t="str">
            <v>T</v>
          </cell>
          <cell r="D5252">
            <v>291.58999999999997</v>
          </cell>
        </row>
        <row r="5253">
          <cell r="A5253">
            <v>101027</v>
          </cell>
          <cell r="B5253" t="str">
            <v>USINAGEM DE PRÉ MISTURADO A FRIO, PARA CAMADA DE ROLAMENTO, PADRÃO DNIT FAIXA C. AF_03/2020_P</v>
          </cell>
          <cell r="C5253" t="str">
            <v>T</v>
          </cell>
          <cell r="D5253">
            <v>318.57</v>
          </cell>
        </row>
        <row r="5254">
          <cell r="A5254">
            <v>88411</v>
          </cell>
          <cell r="B5254" t="str">
            <v>APLICAÇÃO MANUAL DE FUNDO SELADOR ACRÍLICO EM PANOS COM PRESENÇA DE VÃOS DE EDIFÍCIOS DE MÚLTIPLOS PAVIMENTOS. AF_06/2014</v>
          </cell>
          <cell r="C5254" t="str">
            <v>M2</v>
          </cell>
          <cell r="D5254">
            <v>1.79</v>
          </cell>
        </row>
        <row r="5255">
          <cell r="A5255">
            <v>88412</v>
          </cell>
          <cell r="B5255" t="str">
            <v>APLICAÇÃO MANUAL DE FUNDO SELADOR ACRÍLICO EM PANOS CEGOS DE FACHADA (SEM PRESENÇA DE VÃOS) DE EDIFÍCIOS DE MÚLTIPLOS PAVIMENTOS. AF_06/2014</v>
          </cell>
          <cell r="C5255" t="str">
            <v>M2</v>
          </cell>
          <cell r="D5255">
            <v>1.23</v>
          </cell>
        </row>
        <row r="5256">
          <cell r="A5256">
            <v>88413</v>
          </cell>
          <cell r="B5256" t="str">
            <v>APLICAÇÃO MANUAL DE FUNDO SELADOR ACRÍLICO EM SUPERFÍCIES EXTERNAS DE SACADA DE EDIFÍCIOS DE MÚLTIPLOS PAVIMENTOS. AF_06/2014</v>
          </cell>
          <cell r="C5256" t="str">
            <v>M2</v>
          </cell>
          <cell r="D5256">
            <v>2.9</v>
          </cell>
        </row>
        <row r="5257">
          <cell r="A5257">
            <v>88414</v>
          </cell>
          <cell r="B5257" t="str">
            <v>APLICAÇÃO MANUAL DE FUNDO SELADOR ACRÍLICO EM SUPERFÍCIES INTERNAS DA SACADA DE EDIFÍCIOS DE MÚLTIPLOS PAVIMENTOS. AF_06/2014</v>
          </cell>
          <cell r="C5257" t="str">
            <v>M2</v>
          </cell>
          <cell r="D5257">
            <v>3.25</v>
          </cell>
        </row>
        <row r="5258">
          <cell r="A5258">
            <v>88415</v>
          </cell>
          <cell r="B5258" t="str">
            <v>APLICAÇÃO MANUAL DE FUNDO SELADOR ACRÍLICO EM PAREDES EXTERNAS DE CASAS. AF_06/2014</v>
          </cell>
          <cell r="C5258" t="str">
            <v>M2</v>
          </cell>
          <cell r="D5258">
            <v>1.96</v>
          </cell>
        </row>
        <row r="5259">
          <cell r="A5259">
            <v>88416</v>
          </cell>
          <cell r="B5259" t="str">
            <v>APLICAÇÃO MANUAL DE PINTURA COM TINTA TEXTURIZADA ACRÍLICA EM PANOS COM PRESENÇA DE VÃOS DE EDIFÍCIOS DE MÚLTIPLOS PAVIMENTOS, UMA COR. AF_06/2014</v>
          </cell>
          <cell r="C5259" t="str">
            <v>M2</v>
          </cell>
          <cell r="D5259">
            <v>15.62</v>
          </cell>
        </row>
        <row r="5260">
          <cell r="A5260">
            <v>88417</v>
          </cell>
          <cell r="B5260" t="str">
            <v>APLICAÇÃO MANUAL DE PINTURA COM TINTA TEXTURIZADA ACRÍLICA EM PANOS CEGOS DE FACHADA (SEM PRESENÇA DE VÃOS) DE EDIFÍCIOS DE MÚLTIPLOS PAVIMENTOS, UMA COR. AF_06/2014</v>
          </cell>
          <cell r="C5260" t="str">
            <v>M2</v>
          </cell>
          <cell r="D5260">
            <v>13.65</v>
          </cell>
        </row>
        <row r="5261">
          <cell r="A5261">
            <v>88420</v>
          </cell>
          <cell r="B5261" t="str">
            <v>APLICAÇÃO MANUAL DE PINTURA COM TINTA TEXTURIZADA ACRÍLICA EM SUPERFÍCIES EXTERNAS DE SACADA DE EDIFÍCIOS DE MÚLTIPLOS PAVIMENTOS, UMA COR. AF_06/2014</v>
          </cell>
          <cell r="C5261" t="str">
            <v>M2</v>
          </cell>
          <cell r="D5261">
            <v>19.61</v>
          </cell>
        </row>
        <row r="5262">
          <cell r="A5262">
            <v>88421</v>
          </cell>
          <cell r="B5262" t="str">
            <v>APLICAÇÃO MANUAL DE PINTURA COM TINTA TEXTURIZADA ACRÍLICA EM SUPERFÍCIES INTERNAS DA SACADA DE EDIFÍCIOS DE MÚLTIPLOS PAVIMENTOS, UMA COR. AF_06/2014</v>
          </cell>
          <cell r="C5262" t="str">
            <v>M2</v>
          </cell>
          <cell r="D5262">
            <v>20.87</v>
          </cell>
        </row>
        <row r="5263">
          <cell r="A5263">
            <v>88423</v>
          </cell>
          <cell r="B5263" t="str">
            <v>APLICAÇÃO MANUAL DE PINTURA COM TINTA TEXTURIZADA ACRÍLICA EM PAREDES EXTERNAS DE CASAS, UMA COR. AF_06/2014</v>
          </cell>
          <cell r="C5263" t="str">
            <v>M2</v>
          </cell>
          <cell r="D5263">
            <v>16.25</v>
          </cell>
        </row>
        <row r="5264">
          <cell r="A5264">
            <v>88424</v>
          </cell>
          <cell r="B5264" t="str">
            <v>APLICAÇÃO MANUAL DE PINTURA COM TINTA TEXTURIZADA ACRÍLICA EM PANOS COM PRESENÇA DE VÃOS DE EDIFÍCIOS DE MÚLTIPLOS PAVIMENTOS, DUAS CORES. AF_06/2014</v>
          </cell>
          <cell r="C5264" t="str">
            <v>M2</v>
          </cell>
          <cell r="D5264">
            <v>18.329999999999998</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v>14.93</v>
          </cell>
        </row>
        <row r="5266">
          <cell r="A5266">
            <v>88428</v>
          </cell>
          <cell r="B5266" t="str">
            <v>APLICAÇÃO MANUAL DE PINTURA COM TINTA TEXTURIZADA ACRÍLICA EM SUPERFÍCIES EXTERNAS DE SACADA DE EDIFÍCIOS DE MÚLTIPLOS PAVIMENTOS, DUAS CORES. AF_06/2014</v>
          </cell>
          <cell r="C5266" t="str">
            <v>M2</v>
          </cell>
          <cell r="D5266">
            <v>25.19</v>
          </cell>
        </row>
        <row r="5267">
          <cell r="A5267">
            <v>88429</v>
          </cell>
          <cell r="B5267" t="str">
            <v>APLICAÇÃO MANUAL DE PINTURA COM TINTA TEXTURIZADA ACRÍLICA EM SUPERFÍCIES INTERNAS DA SACADA DE EDIFÍCIOS DE MÚLTIPLOS PAVIMENTOS, DUAS CORES. AF_06/2014</v>
          </cell>
          <cell r="C5267" t="str">
            <v>M2</v>
          </cell>
          <cell r="D5267">
            <v>27.38</v>
          </cell>
        </row>
        <row r="5268">
          <cell r="A5268">
            <v>88431</v>
          </cell>
          <cell r="B5268" t="str">
            <v>APLICAÇÃO MANUAL DE PINTURA COM TINTA TEXTURIZADA ACRÍLICA EM PAREDES EXTERNAS DE CASAS, DUAS CORES. AF_06/2014</v>
          </cell>
          <cell r="C5268" t="str">
            <v>M2</v>
          </cell>
          <cell r="D5268">
            <v>19.399999999999999</v>
          </cell>
        </row>
        <row r="5269">
          <cell r="A5269">
            <v>88432</v>
          </cell>
          <cell r="B5269" t="str">
            <v>APLICAÇÃO MANUAL DE PINTURA COM TINTA TEXTURIZADA ACRÍLICA EM MOLDURAS DE EPS, PRÉ-FABRICADOS, OU OUTROS. AF_06/2014</v>
          </cell>
          <cell r="C5269" t="str">
            <v>M2</v>
          </cell>
          <cell r="D5269">
            <v>14.08</v>
          </cell>
        </row>
        <row r="5270">
          <cell r="A5270">
            <v>88482</v>
          </cell>
          <cell r="B5270" t="str">
            <v>APLICAÇÃO DE FUNDO SELADOR LÁTEX PVA EM TETO, UMA DEMÃO. AF_06/2014</v>
          </cell>
          <cell r="C5270" t="str">
            <v>M2</v>
          </cell>
          <cell r="D5270">
            <v>2.13</v>
          </cell>
        </row>
        <row r="5271">
          <cell r="A5271">
            <v>88483</v>
          </cell>
          <cell r="B5271" t="str">
            <v>APLICAÇÃO DE FUNDO SELADOR LÁTEX PVA EM PAREDES, UMA DEMÃO. AF_06/2014</v>
          </cell>
          <cell r="C5271" t="str">
            <v>M2</v>
          </cell>
          <cell r="D5271">
            <v>1.89</v>
          </cell>
        </row>
        <row r="5272">
          <cell r="A5272">
            <v>88484</v>
          </cell>
          <cell r="B5272" t="str">
            <v>APLICAÇÃO DE FUNDO SELADOR ACRÍLICO EM TETO, UMA DEMÃO. AF_06/2014</v>
          </cell>
          <cell r="C5272" t="str">
            <v>M2</v>
          </cell>
          <cell r="D5272">
            <v>1.98</v>
          </cell>
        </row>
        <row r="5273">
          <cell r="A5273">
            <v>88485</v>
          </cell>
          <cell r="B5273" t="str">
            <v>APLICAÇÃO DE FUNDO SELADOR ACRÍLICO EM PAREDES, UMA DEMÃO. AF_06/2014</v>
          </cell>
          <cell r="C5273" t="str">
            <v>M2</v>
          </cell>
          <cell r="D5273">
            <v>1.65</v>
          </cell>
        </row>
        <row r="5274">
          <cell r="A5274">
            <v>88486</v>
          </cell>
          <cell r="B5274" t="str">
            <v>APLICAÇÃO MANUAL DE PINTURA COM TINTA LÁTEX PVA EM TETO, DUAS DEMÃOS. AF_06/2014</v>
          </cell>
          <cell r="C5274" t="str">
            <v>M2</v>
          </cell>
          <cell r="D5274">
            <v>10.199999999999999</v>
          </cell>
        </row>
        <row r="5275">
          <cell r="A5275">
            <v>88487</v>
          </cell>
          <cell r="B5275" t="str">
            <v>APLICAÇÃO MANUAL DE PINTURA COM TINTA LÁTEX PVA EM PAREDES, DUAS DEMÃOS. AF_06/2014</v>
          </cell>
          <cell r="C5275" t="str">
            <v>M2</v>
          </cell>
          <cell r="D5275">
            <v>9.14</v>
          </cell>
        </row>
        <row r="5276">
          <cell r="A5276">
            <v>88488</v>
          </cell>
          <cell r="B5276" t="str">
            <v>APLICAÇÃO MANUAL DE PINTURA COM TINTA LÁTEX ACRÍLICA EM TETO, DUAS DEMÃOS. AF_06/2014</v>
          </cell>
          <cell r="C5276" t="str">
            <v>M2</v>
          </cell>
          <cell r="D5276">
            <v>13.08</v>
          </cell>
        </row>
        <row r="5277">
          <cell r="A5277">
            <v>88489</v>
          </cell>
          <cell r="B5277" t="str">
            <v>APLICAÇÃO MANUAL DE PINTURA COM TINTA LÁTEX ACRÍLICA EM PAREDES, DUAS DEMÃOS. AF_06/2014</v>
          </cell>
          <cell r="C5277" t="str">
            <v>M2</v>
          </cell>
          <cell r="D5277">
            <v>11.57</v>
          </cell>
        </row>
        <row r="5278">
          <cell r="A5278">
            <v>88490</v>
          </cell>
          <cell r="B5278" t="str">
            <v>APLICAÇÃO MECÂNICA DE PINTURA COM TINTA LÁTEX PVA EM TETO, DUAS DEMÃOS. AF_06/2014</v>
          </cell>
          <cell r="C5278" t="str">
            <v>M2</v>
          </cell>
          <cell r="D5278">
            <v>7.46</v>
          </cell>
        </row>
        <row r="5279">
          <cell r="A5279">
            <v>88491</v>
          </cell>
          <cell r="B5279" t="str">
            <v>APLICAÇÃO MECÂNICA DE PINTURA COM TINTA LÁTEX PVA EM PAREDES, DUAS DEMÃOS. AF_06/2014</v>
          </cell>
          <cell r="C5279" t="str">
            <v>M2</v>
          </cell>
          <cell r="D5279">
            <v>7.22</v>
          </cell>
        </row>
        <row r="5280">
          <cell r="A5280">
            <v>88492</v>
          </cell>
          <cell r="B5280" t="str">
            <v>APLICAÇÃO MECÂNICA DE PINTURA COM TINTA LÁTEX ACRÍLICA EM TETO, DUAS DEMÃOS. AF_06/2014</v>
          </cell>
          <cell r="C5280" t="str">
            <v>M2</v>
          </cell>
          <cell r="D5280">
            <v>8.98</v>
          </cell>
        </row>
        <row r="5281">
          <cell r="A5281">
            <v>88493</v>
          </cell>
          <cell r="B5281" t="str">
            <v>APLICAÇÃO MECÂNICA DE PINTURA COM TINTA LÁTEX ACRÍLICA EM PAREDES, DUAS DEMÃOS. AF_06/2014</v>
          </cell>
          <cell r="C5281" t="str">
            <v>M2</v>
          </cell>
          <cell r="D5281">
            <v>8.61</v>
          </cell>
        </row>
        <row r="5282">
          <cell r="A5282">
            <v>88494</v>
          </cell>
          <cell r="B5282" t="str">
            <v>APLICAÇÃO E LIXAMENTO DE MASSA LÁTEX EM TETO, UMA DEMÃO. AF_06/2014</v>
          </cell>
          <cell r="C5282" t="str">
            <v>M2</v>
          </cell>
          <cell r="D5282">
            <v>15.96</v>
          </cell>
        </row>
        <row r="5283">
          <cell r="A5283">
            <v>88495</v>
          </cell>
          <cell r="B5283" t="str">
            <v>APLICAÇÃO E LIXAMENTO DE MASSA LÁTEX EM PAREDES, UMA DEMÃO. AF_06/2014</v>
          </cell>
          <cell r="C5283" t="str">
            <v>M2</v>
          </cell>
          <cell r="D5283">
            <v>8.73</v>
          </cell>
        </row>
        <row r="5284">
          <cell r="A5284">
            <v>88496</v>
          </cell>
          <cell r="B5284" t="str">
            <v>APLICAÇÃO E LIXAMENTO DE MASSA LÁTEX EM TETO, DUAS DEMÃOS. AF_06/2014</v>
          </cell>
          <cell r="C5284" t="str">
            <v>M2</v>
          </cell>
          <cell r="D5284">
            <v>21.69</v>
          </cell>
        </row>
        <row r="5285">
          <cell r="A5285">
            <v>88497</v>
          </cell>
          <cell r="B5285" t="str">
            <v>APLICAÇÃO E LIXAMENTO DE MASSA LÁTEX EM PAREDES, DUAS DEMÃOS. AF_06/2014</v>
          </cell>
          <cell r="C5285" t="str">
            <v>M2</v>
          </cell>
          <cell r="D5285">
            <v>12.05</v>
          </cell>
        </row>
        <row r="5286">
          <cell r="A5286">
            <v>95305</v>
          </cell>
          <cell r="B5286" t="str">
            <v>TEXTURA ACRÍLICA, APLICAÇÃO MANUAL EM PAREDE, UMA DEMÃO. AF_09/2016</v>
          </cell>
          <cell r="C5286" t="str">
            <v>M2</v>
          </cell>
          <cell r="D5286">
            <v>12</v>
          </cell>
        </row>
        <row r="5287">
          <cell r="A5287">
            <v>95306</v>
          </cell>
          <cell r="B5287" t="str">
            <v>TEXTURA ACRÍLICA, APLICAÇÃO MANUAL EM TETO, UMA DEMÃO. AF_09/2016</v>
          </cell>
          <cell r="C5287" t="str">
            <v>M2</v>
          </cell>
          <cell r="D5287">
            <v>13.91</v>
          </cell>
        </row>
        <row r="5288">
          <cell r="A5288">
            <v>95622</v>
          </cell>
          <cell r="B5288" t="str">
            <v>APLICAÇÃO MANUAL DE TINTA LÁTEX ACRÍLICA EM PANOS COM PRESENÇA DE VÃOS DE EDIFÍCIOS DE MÚLTIPLOS PAVIMENTOS, DUAS DEMÃOS. AF_11/2016</v>
          </cell>
          <cell r="C5288" t="str">
            <v>M2</v>
          </cell>
          <cell r="D5288">
            <v>11.66</v>
          </cell>
        </row>
        <row r="5289">
          <cell r="A5289">
            <v>95623</v>
          </cell>
          <cell r="B5289" t="str">
            <v>APLICAÇÃO MANUAL DE TINTA LÁTEX ACRÍLICA EM PANOS SEM PRESENÇA DE VÃOS DE EDIFÍCIOS DE MÚLTIPLOS PAVIMENTOS, DUAS DEMÃOS. AF_11/2016</v>
          </cell>
          <cell r="C5289" t="str">
            <v>M2</v>
          </cell>
          <cell r="D5289">
            <v>8.9700000000000006</v>
          </cell>
        </row>
        <row r="5290">
          <cell r="A5290">
            <v>95624</v>
          </cell>
          <cell r="B5290" t="str">
            <v>APLICAÇÃO MANUAL DE TINTA LÁTEX ACRÍLICA EM SUPERFÍCIES EXTERNAS DE SACADA DE EDIFÍCIOS DE MÚLTIPLOS PAVIMENTOS, DUAS DEMÃOS. AF_11/2016</v>
          </cell>
          <cell r="C5290" t="str">
            <v>M2</v>
          </cell>
          <cell r="D5290">
            <v>17.14</v>
          </cell>
        </row>
        <row r="5291">
          <cell r="A5291">
            <v>95625</v>
          </cell>
          <cell r="B5291" t="str">
            <v>APLICAÇÃO MANUAL DE TINTA LÁTEX ACRÍLICA EM SUPERFÍCIES INTERNAS DE SACADA DE EDIFÍCIOS DE MÚLTIPLOS PAVIMENTOS, DUAS DEMÃOS. AF_11/2016</v>
          </cell>
          <cell r="C5291" t="str">
            <v>M2</v>
          </cell>
          <cell r="D5291">
            <v>18.87</v>
          </cell>
        </row>
        <row r="5292">
          <cell r="A5292">
            <v>95626</v>
          </cell>
          <cell r="B5292" t="str">
            <v>APLICAÇÃO MANUAL DE TINTA LÁTEX ACRÍLICA EM PAREDE EXTERNAS DE CASAS, DUAS DEMÃOS. AF_11/2016</v>
          </cell>
          <cell r="C5292" t="str">
            <v>M2</v>
          </cell>
          <cell r="D5292">
            <v>12.53</v>
          </cell>
        </row>
        <row r="5293">
          <cell r="A5293">
            <v>96126</v>
          </cell>
          <cell r="B5293" t="str">
            <v>APLICAÇÃO MANUAL DE MASSA ACRÍLICA EM PANOS DE FACHADA COM PRESENÇA DE VÃOS, DE EDIFÍCIOS DE MÚLTIPLOS PAVIMENTOS, UMA DEMÃO. AF_05/2017</v>
          </cell>
          <cell r="C5293" t="str">
            <v>M2</v>
          </cell>
          <cell r="D5293">
            <v>14.56</v>
          </cell>
        </row>
        <row r="5294">
          <cell r="A5294">
            <v>96127</v>
          </cell>
          <cell r="B5294" t="str">
            <v>APLICAÇÃO MANUAL DE MASSA ACRÍLICA EM PANOS DE FACHADA SEM PRESENÇA DE VÃOS, DE EDIFÍCIOS DE MÚLTIPLOS PAVIMENTOS, UMA DEMÃO. AF_05/2017</v>
          </cell>
          <cell r="C5294" t="str">
            <v>M2</v>
          </cell>
          <cell r="D5294">
            <v>11.2</v>
          </cell>
        </row>
        <row r="5295">
          <cell r="A5295">
            <v>96128</v>
          </cell>
          <cell r="B5295" t="str">
            <v>APLICAÇÃO MANUAL DE MASSA ACRÍLICA EM SUPERFÍCIES EXTERNAS DE SACADA DE EDIFÍCIOS DE MÚLTIPLOS PAVIMENTOS, UMA DEMÃO. AF_05/2017</v>
          </cell>
          <cell r="C5295" t="str">
            <v>M2</v>
          </cell>
          <cell r="D5295">
            <v>21.37</v>
          </cell>
        </row>
        <row r="5296">
          <cell r="A5296">
            <v>96129</v>
          </cell>
          <cell r="B5296" t="str">
            <v>APLICAÇÃO MANUAL DE MASSA ACRÍLICA EM SUPERFÍCIES INTERNAS DE SACADA DE EDIFÍCIOS DE MÚLTIPLOS PAVIMENTOS, UMA DEMÃO. AF_05/2017</v>
          </cell>
          <cell r="C5296" t="str">
            <v>M2</v>
          </cell>
          <cell r="D5296">
            <v>23.54</v>
          </cell>
        </row>
        <row r="5297">
          <cell r="A5297">
            <v>96130</v>
          </cell>
          <cell r="B5297" t="str">
            <v>APLICAÇÃO MANUAL DE MASSA ACRÍLICA EM PAREDES EXTERNAS DE CASAS, UMA DEMÃO. AF_05/2017</v>
          </cell>
          <cell r="C5297" t="str">
            <v>M2</v>
          </cell>
          <cell r="D5297">
            <v>15.62</v>
          </cell>
        </row>
        <row r="5298">
          <cell r="A5298">
            <v>96131</v>
          </cell>
          <cell r="B5298" t="str">
            <v>APLICAÇÃO MANUAL DE MASSA ACRÍLICA EM PANOS DE FACHADA COM PRESENÇA DE VÃOS, DE EDIFÍCIOS DE MÚLTIPLOS PAVIMENTOS, DUAS DEMÃOS. AF_05/2017</v>
          </cell>
          <cell r="C5298" t="str">
            <v>M2</v>
          </cell>
          <cell r="D5298">
            <v>20.16</v>
          </cell>
        </row>
        <row r="5299">
          <cell r="A5299">
            <v>96132</v>
          </cell>
          <cell r="B5299" t="str">
            <v>APLICAÇÃO MANUAL DE MASSA ACRÍLICA EM PANOS DE FACHADA SEM PRESENÇA DE VÃOS, DE EDIFÍCIOS DE MÚLTIPLOS PAVIMENTOS, DUAS DEMÃOS. AF_05/2017</v>
          </cell>
          <cell r="C5299" t="str">
            <v>M2</v>
          </cell>
          <cell r="D5299">
            <v>15.68</v>
          </cell>
        </row>
        <row r="5300">
          <cell r="A5300">
            <v>96133</v>
          </cell>
          <cell r="B5300" t="str">
            <v>APLICAÇÃO MANUAL DE MASSA ACRÍLICA EM SUPERFÍCIES EXTERNAS DE SACADA DE EDIFÍCIOS DE MÚLTIPLOS PAVIMENTOS, DUAS DEMÃOS. AF_05/2017</v>
          </cell>
          <cell r="C5300" t="str">
            <v>M2</v>
          </cell>
          <cell r="D5300">
            <v>29.22</v>
          </cell>
        </row>
        <row r="5301">
          <cell r="A5301">
            <v>96134</v>
          </cell>
          <cell r="B5301" t="str">
            <v>APLICAÇÃO MANUAL DE MASSA ACRÍLICA EM SUPERFÍCIES INTERNAS DE SACADA DE EDIFÍCIOS DE MÚLTIPLOS PAVIMENTOS, DUAS DEMÃOS. AF_05/2017</v>
          </cell>
          <cell r="C5301" t="str">
            <v>M2</v>
          </cell>
          <cell r="D5301">
            <v>32.11</v>
          </cell>
        </row>
        <row r="5302">
          <cell r="A5302">
            <v>96135</v>
          </cell>
          <cell r="B5302" t="str">
            <v>APLICAÇÃO MANUAL DE MASSA ACRÍLICA EM PAREDES EXTERNAS DE CASAS, DUAS DEMÃOS. AF_05/2017</v>
          </cell>
          <cell r="C5302" t="str">
            <v>M2</v>
          </cell>
          <cell r="D5302">
            <v>21.59</v>
          </cell>
        </row>
        <row r="5303">
          <cell r="A5303">
            <v>6082</v>
          </cell>
          <cell r="B5303" t="str">
            <v>PINTURA EM VERNIZ SINTETICO BRILHANTE EM MADEIRA, TRES DEMAOS</v>
          </cell>
          <cell r="C5303" t="str">
            <v>M2</v>
          </cell>
          <cell r="D5303">
            <v>16.170000000000002</v>
          </cell>
        </row>
        <row r="5304">
          <cell r="A5304">
            <v>40905</v>
          </cell>
          <cell r="B5304" t="str">
            <v>VERNIZ SINTETICO EM MADEIRA, DUAS DEMAOS</v>
          </cell>
          <cell r="C5304" t="str">
            <v>M2</v>
          </cell>
          <cell r="D5304">
            <v>20.2</v>
          </cell>
        </row>
        <row r="5305">
          <cell r="A5305" t="str">
            <v>73739/1</v>
          </cell>
          <cell r="B5305" t="str">
            <v>PINTURA ESMALTE ACETINADO EM MADEIRA, DUAS DEMAOS</v>
          </cell>
          <cell r="C5305" t="str">
            <v>M2</v>
          </cell>
          <cell r="D5305">
            <v>16.100000000000001</v>
          </cell>
        </row>
        <row r="5306">
          <cell r="A5306" t="str">
            <v>74065/1</v>
          </cell>
          <cell r="B5306" t="str">
            <v>PINTURA ESMALTE FOSCO PARA MADEIRA, DUAS DEMAOS, SOBRE FUNDO NIVELADOR BRANCO</v>
          </cell>
          <cell r="C5306" t="str">
            <v>M2</v>
          </cell>
          <cell r="D5306">
            <v>23</v>
          </cell>
        </row>
        <row r="5307">
          <cell r="A5307" t="str">
            <v>74065/2</v>
          </cell>
          <cell r="B5307" t="str">
            <v>PINTURA ESMALTE ACETINADO PARA MADEIRA, DUAS DEMAOS, SOBRE FUNDO NIVELADOR BRANCO</v>
          </cell>
          <cell r="C5307" t="str">
            <v>M2</v>
          </cell>
          <cell r="D5307">
            <v>22.62</v>
          </cell>
        </row>
        <row r="5308">
          <cell r="A5308" t="str">
            <v>74065/3</v>
          </cell>
          <cell r="B5308" t="str">
            <v>PINTURA ESMALTE BRILHANTE PARA MADEIRA, DUAS DEMAOS, SOBRE FUNDO NIVELADOR BRANCO</v>
          </cell>
          <cell r="C5308" t="str">
            <v>M2</v>
          </cell>
          <cell r="D5308">
            <v>22.51</v>
          </cell>
        </row>
        <row r="5309">
          <cell r="A5309">
            <v>79463</v>
          </cell>
          <cell r="B5309" t="str">
            <v>PINTURA A OLEO, 1 DEMAO</v>
          </cell>
          <cell r="C5309" t="str">
            <v>M2</v>
          </cell>
          <cell r="D5309">
            <v>13.66</v>
          </cell>
        </row>
        <row r="5310">
          <cell r="A5310">
            <v>79464</v>
          </cell>
          <cell r="B5310" t="str">
            <v>PINTURA A OLEO, 2 DEMAOS</v>
          </cell>
          <cell r="C5310" t="str">
            <v>M2</v>
          </cell>
          <cell r="D5310">
            <v>18.260000000000002</v>
          </cell>
        </row>
        <row r="5311">
          <cell r="A5311">
            <v>79466</v>
          </cell>
          <cell r="B5311" t="str">
            <v>PINTURA COM VERNIZ POLIURETANO, 2 DEMAOS</v>
          </cell>
          <cell r="C5311" t="str">
            <v>M2</v>
          </cell>
          <cell r="D5311">
            <v>17.36</v>
          </cell>
        </row>
        <row r="5312">
          <cell r="A5312" t="str">
            <v>79497/1</v>
          </cell>
          <cell r="B5312" t="str">
            <v>PINTURA A OLEO, 3 DEMAOS</v>
          </cell>
          <cell r="C5312" t="str">
            <v>M2</v>
          </cell>
          <cell r="D5312">
            <v>22.63</v>
          </cell>
        </row>
        <row r="5313">
          <cell r="A5313">
            <v>84645</v>
          </cell>
          <cell r="B5313" t="str">
            <v>VERNIZ SINTETICO BRILHANTE, 2 DEMAOS</v>
          </cell>
          <cell r="C5313" t="str">
            <v>M2</v>
          </cell>
          <cell r="D5313">
            <v>17.14</v>
          </cell>
        </row>
        <row r="5314">
          <cell r="A5314">
            <v>84657</v>
          </cell>
          <cell r="B5314" t="str">
            <v>FUNDO SINTETICO NIVELADOR BRANCO</v>
          </cell>
          <cell r="C5314" t="str">
            <v>M2</v>
          </cell>
          <cell r="D5314">
            <v>9.36</v>
          </cell>
        </row>
        <row r="5315">
          <cell r="A5315">
            <v>84659</v>
          </cell>
          <cell r="B5315" t="str">
            <v>PINTURA ESMALTE FOSCO EM MADEIRA, DUAS DEMAOS</v>
          </cell>
          <cell r="C5315" t="str">
            <v>M2</v>
          </cell>
          <cell r="D5315">
            <v>14.92</v>
          </cell>
        </row>
        <row r="5316">
          <cell r="A5316">
            <v>84679</v>
          </cell>
          <cell r="B5316" t="str">
            <v>PINTURA IMUNIZANTE PARA MADEIRA, DUAS DEMAOS</v>
          </cell>
          <cell r="C5316" t="str">
            <v>M2</v>
          </cell>
          <cell r="D5316">
            <v>17.940000000000001</v>
          </cell>
        </row>
        <row r="5317">
          <cell r="A5317">
            <v>95464</v>
          </cell>
          <cell r="B5317" t="str">
            <v>PINTURA VERNIZ POLIURETANO BRILHANTE EM MADEIRA, TRES DEMAOS</v>
          </cell>
          <cell r="C5317" t="str">
            <v>M2</v>
          </cell>
          <cell r="D5317">
            <v>20.28</v>
          </cell>
        </row>
        <row r="5318">
          <cell r="A5318">
            <v>100716</v>
          </cell>
          <cell r="B5318" t="str">
            <v>JATEAMENTO ABRASIVO COM GRANALHA DE AÇO EM PERFIL METÁLICO EM FÁBRICA. AF_01/2020</v>
          </cell>
          <cell r="C5318" t="str">
            <v>M2</v>
          </cell>
          <cell r="D5318">
            <v>21.35</v>
          </cell>
        </row>
        <row r="5319">
          <cell r="A5319">
            <v>100717</v>
          </cell>
          <cell r="B5319" t="str">
            <v>LIXAMENTO MANUAL EM SUPERFÍCIES METÁLICAS EM OBRA. AF_01/2020</v>
          </cell>
          <cell r="C5319" t="str">
            <v>M2</v>
          </cell>
          <cell r="D5319">
            <v>7.06</v>
          </cell>
        </row>
        <row r="5320">
          <cell r="A5320">
            <v>100718</v>
          </cell>
          <cell r="B5320" t="str">
            <v>COLOCAÇÃO DE FITA PROTETORA PARA PINTURA. AF_01/2020</v>
          </cell>
          <cell r="C5320" t="str">
            <v>M</v>
          </cell>
          <cell r="D5320">
            <v>1.02</v>
          </cell>
        </row>
        <row r="5321">
          <cell r="A5321">
            <v>100719</v>
          </cell>
          <cell r="B5321" t="str">
            <v>PINTURA COM TINTA ALQUÍDICA DE FUNDO (TIPO ZARCÃO) PULVERIZADA SOBRE PERFIL METÁLICO EXECUTADO EM FÁBRICA (POR DEMÃO). AF_01/2020</v>
          </cell>
          <cell r="C5321" t="str">
            <v>M2</v>
          </cell>
          <cell r="D5321">
            <v>7.33</v>
          </cell>
        </row>
        <row r="5322">
          <cell r="A5322">
            <v>100720</v>
          </cell>
          <cell r="B5322" t="str">
            <v>PINTURA COM TINTA ALQUÍDICA DE FUNDO (TIPO ZARCÃO) APLICADA A ROLO OU PINCEL SOBRE PERFIL METÁLICO EXECUTADO EM FÁBRICA (POR DEMÃO). AF_01/2020</v>
          </cell>
          <cell r="C5322" t="str">
            <v>M2</v>
          </cell>
          <cell r="D5322">
            <v>7.56</v>
          </cell>
        </row>
        <row r="5323">
          <cell r="A5323">
            <v>100721</v>
          </cell>
          <cell r="B5323" t="str">
            <v>PINTURA COM TINTA ALQUÍDICA DE FUNDO (TIPO ZARCÃO) PULVERIZADA SOBRE SUPERFÍCIES METÁLICAS (EXCETO PERFIL) EXECUTADO EM OBRA (POR DEMÃO). AF_01/2020</v>
          </cell>
          <cell r="C5323" t="str">
            <v>M2</v>
          </cell>
          <cell r="D5323">
            <v>17.75</v>
          </cell>
        </row>
        <row r="5324">
          <cell r="A5324">
            <v>100722</v>
          </cell>
          <cell r="B5324" t="str">
            <v>PINTURA COM TINTA ALQUÍDICA DE FUNDO (TIPO ZARCÃO) APLICADA A ROLO OU PINCEL SOBRE SUPERFÍCIES METÁLICAS (EXCETO PERFIL) EXECUTADO EM OBRA (POR DEMÃO). AF_01/2020</v>
          </cell>
          <cell r="C5324" t="str">
            <v>M2</v>
          </cell>
          <cell r="D5324">
            <v>17.350000000000001</v>
          </cell>
        </row>
        <row r="5325">
          <cell r="A5325">
            <v>100723</v>
          </cell>
          <cell r="B5325" t="str">
            <v>PINTURA COM TINTA ALQUÍDICA DE FUNDO E ACABAMENTO (ESMALTE SINTÉTICO GRAFITE) PULVERIZADA SOBRE PERFIL METÁLICO EXECUTADO EM FÁBRICA (POR DEMÃO). AF_01/2020</v>
          </cell>
          <cell r="C5325" t="str">
            <v>M2</v>
          </cell>
          <cell r="D5325">
            <v>7.09</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v>9.0399999999999991</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v>17.149999999999999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v>18.77</v>
          </cell>
        </row>
        <row r="5329">
          <cell r="A5329">
            <v>100727</v>
          </cell>
          <cell r="B5329" t="str">
            <v>PINTURA COM TINTA EPOXÍDICA DE FUNDO PULVERIZADA SOBRE PERFIL METÁLICO EXECUTADO EM FÁBRICA (POR DEMÃO). AF_01/2020</v>
          </cell>
          <cell r="C5329" t="str">
            <v>M2</v>
          </cell>
          <cell r="D5329">
            <v>12.11</v>
          </cell>
        </row>
        <row r="5330">
          <cell r="A5330">
            <v>100728</v>
          </cell>
          <cell r="B5330" t="str">
            <v>PINTURA COM TINTA EPOXÍDICA DE FUNDO APLICADA A ROLO OU PINCEL SOBRE PERFIL METÁLICO EXECUTADO EM FÁBRICA (POR DEMÃO). AF_01/2020</v>
          </cell>
          <cell r="C5330" t="str">
            <v>M2</v>
          </cell>
          <cell r="D5330">
            <v>12.38</v>
          </cell>
        </row>
        <row r="5331">
          <cell r="A5331">
            <v>100729</v>
          </cell>
          <cell r="B5331" t="str">
            <v>PINTURA COM TINTA EPOXÍDICA DE ACABAMENTO PULVERIZADA SOBRE PERFIL METÁLICO EXECUTADO EM FÁBRICA (POR DEMÃO). AF_01/2020</v>
          </cell>
          <cell r="C5331" t="str">
            <v>M2</v>
          </cell>
          <cell r="D5331">
            <v>14.34</v>
          </cell>
        </row>
        <row r="5332">
          <cell r="A5332">
            <v>100730</v>
          </cell>
          <cell r="B5332" t="str">
            <v>PINTURA COM TINTA EPOXÍDICA DE ACABAMENTO APLICADA A ROLO OU PINCEL SOBRE PERFIL METÁLICO EXECUTADO EM FÁBRICA (POR DEMÃO). AF_01/2020</v>
          </cell>
          <cell r="C5332" t="str">
            <v>M2</v>
          </cell>
          <cell r="D5332">
            <v>16.940000000000001</v>
          </cell>
        </row>
        <row r="5333">
          <cell r="A5333">
            <v>100733</v>
          </cell>
          <cell r="B5333" t="str">
            <v>PINTURA COM TINTA ACRÍLICA DE FUNDO PULVERIZADA SOBRE SUPERFÍCIES METÁLICAS (EXCETO PERFIL) EXECUTADO EM OBRA (POR DEMÃO). AF_01/2020</v>
          </cell>
          <cell r="C5333" t="str">
            <v>M2</v>
          </cell>
          <cell r="D5333">
            <v>7.83</v>
          </cell>
        </row>
        <row r="5334">
          <cell r="A5334">
            <v>100734</v>
          </cell>
          <cell r="B5334" t="str">
            <v>PINTURA COM TINTA ACRÍLICA DE FUNDO APLICADA A ROLO OU PINCEL SOBRE SUPERFÍCIES METÁLICAS (EXCETO PERFIL) EXECUTADO EM OBRA (POR DEMÃO). AF_01/2020</v>
          </cell>
          <cell r="C5334" t="str">
            <v>M2</v>
          </cell>
          <cell r="D5334">
            <v>10.52</v>
          </cell>
        </row>
        <row r="5335">
          <cell r="A5335">
            <v>100735</v>
          </cell>
          <cell r="B5335" t="str">
            <v>PINTURA COM TINTA ACRÍLICA DE ACABAMENTO PULVERIZADA SOBRE SUPERFÍCIES METÁLICAS (EXCETO PERFIL) EXECUTADO EM OBRA (POR DEMÃO). AF_01/2020</v>
          </cell>
          <cell r="C5335" t="str">
            <v>M2</v>
          </cell>
          <cell r="D5335">
            <v>7.62</v>
          </cell>
        </row>
        <row r="5336">
          <cell r="A5336">
            <v>100736</v>
          </cell>
          <cell r="B5336" t="str">
            <v>PINTURA COM TINTA ACRÍLICA DE ACABAMENTO APLICADA A ROLO OU PINCEL SOBRE SUPERFÍCIES METÁLICAS (EXCETO PERFIL) EXECUTADO EM OBRA (POR DEMÃO). AF_01/2020</v>
          </cell>
          <cell r="C5336" t="str">
            <v>M2</v>
          </cell>
          <cell r="D5336">
            <v>10.29</v>
          </cell>
        </row>
        <row r="5337">
          <cell r="A5337">
            <v>100739</v>
          </cell>
          <cell r="B5337" t="str">
            <v>PINTURA COM TINTA ALQUÍDICA DE ACABAMENTO (ESMALTE SINTÉTICO ACETINADO) PULVERIZADA SOBRE PERFIL METÁLICO EXECUTADO EM FÁBRICA (POR DEMÃO). AF_01/2020</v>
          </cell>
          <cell r="C5337" t="str">
            <v>M2</v>
          </cell>
          <cell r="D5337">
            <v>6.69</v>
          </cell>
        </row>
        <row r="5338">
          <cell r="A5338">
            <v>100740</v>
          </cell>
          <cell r="B5338" t="str">
            <v>PINTURA COM TINTA ALQUÍDICA DE ACABAMENTO (ESMALTE SINTÉTICO ACETINADO) APLICADA A ROLO OU PINCEL SOBRE PERFIL METÁLICO EXECUTADO EM FÁBRICA (POR DEMÃO). AF_01/2020</v>
          </cell>
          <cell r="C5338" t="str">
            <v>M2</v>
          </cell>
          <cell r="D5338">
            <v>7.6</v>
          </cell>
        </row>
        <row r="5339">
          <cell r="A5339">
            <v>100741</v>
          </cell>
          <cell r="B5339" t="str">
            <v>PINTURA COM TINTA ALQUÍDICA DE ACABAMENTO (ESMALTE SINTÉTICO ACETINADO) PULVERIZADA SOBRE SUPERFÍCIES METÁLICAS (EXCETO PERFIL) EXECUTADO EM OBRA (POR DEMÃO). AF_01/2020</v>
          </cell>
          <cell r="C5339" t="str">
            <v>M2</v>
          </cell>
          <cell r="D5339">
            <v>16.95</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v>17.36</v>
          </cell>
        </row>
        <row r="5341">
          <cell r="A5341">
            <v>100743</v>
          </cell>
          <cell r="B5341" t="str">
            <v>PINTURA COM TINTA ALQUÍDICA DE ACABAMENTO (ESMALTE SINTÉTICO BRILHANTE) PULVERIZADA SOBRE PERFIL METÁLICO EXECUTADO EM FÁBRICA  (POR DEMÃO). AF_01/2020</v>
          </cell>
          <cell r="C5341" t="str">
            <v>M2</v>
          </cell>
          <cell r="D5341">
            <v>6.56</v>
          </cell>
        </row>
        <row r="5342">
          <cell r="A5342">
            <v>100744</v>
          </cell>
          <cell r="B5342" t="str">
            <v>PINTURA COM TINTA ALQUÍDICA DE ACABAMENTO (ESMALTE SINTÉTICO BRILHANTE) APLICADA A ROLO OU PINCEL SOBRE PERFIL METÁLICO EXECUTADO EM FÁBRICA (POR DEMÃO). AF_01/2020</v>
          </cell>
          <cell r="C5342" t="str">
            <v>M2</v>
          </cell>
          <cell r="D5342">
            <v>7.51</v>
          </cell>
        </row>
        <row r="5343">
          <cell r="A5343">
            <v>100745</v>
          </cell>
          <cell r="B5343" t="str">
            <v>PINTURA COM TINTA ALQUÍDICA DE ACABAMENTO (ESMALTE SINTÉTICO BRILHANTE) PULVERIZADA SOBRE SUPERFÍCIES METÁLICAS (EXCETO PERFIL) EXECUTADO EM OBRA  (POR DEMÃO). AF_01/2020</v>
          </cell>
          <cell r="C5343" t="str">
            <v>M2</v>
          </cell>
          <cell r="D5343">
            <v>16.809999999999999</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v>17.27</v>
          </cell>
        </row>
        <row r="5345">
          <cell r="A5345">
            <v>100747</v>
          </cell>
          <cell r="B5345" t="str">
            <v>PINTURA COM TINTA ALQUÍDICA DE ACABAMENTO (ESMALTE SINTÉTICO FOSCO) PULVERIZADA SOBRE PERFIL METÁLICO EXECUTADO EM FÁBRICA (POR DEMÃO). AF_01/2020</v>
          </cell>
          <cell r="C5345" t="str">
            <v>M2</v>
          </cell>
          <cell r="D5345">
            <v>7.16</v>
          </cell>
        </row>
        <row r="5346">
          <cell r="A5346">
            <v>100748</v>
          </cell>
          <cell r="B5346" t="str">
            <v>PINTURA COM TINTA ALQUÍDICA DE ACABAMENTO (ESMALTE SINTÉTICO FOSCO) APLICADA A ROLO OU PINCEL SOBRE PERFIL METÁLICO EXECUTADO EM FÁBRICA (POR DEMÃO). AF_01/2020</v>
          </cell>
          <cell r="C5346" t="str">
            <v>M2</v>
          </cell>
          <cell r="D5346">
            <v>7.89</v>
          </cell>
        </row>
        <row r="5347">
          <cell r="A5347">
            <v>100749</v>
          </cell>
          <cell r="B5347" t="str">
            <v>PINTURA COM TINTA ALQUÍDICA DE ACABAMENTO (ESMALTE SINTÉTICO FOSCO) PULVERIZADA SOBRE SUPERFÍCIES METÁLICAS (EXCETO PERFIL) EXECUTADO EM OBRA (POR DEMÃO). AF_01/2020</v>
          </cell>
          <cell r="C5347" t="str">
            <v>M2</v>
          </cell>
          <cell r="D5347">
            <v>17.45</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v>17.670000000000002</v>
          </cell>
        </row>
        <row r="5349">
          <cell r="A5349">
            <v>100751</v>
          </cell>
          <cell r="B5349" t="str">
            <v>PINTURA COM TINTA EPOXÍDICA DE ACABAMENTO PULVERIZADA SOBRE PERFIL METÁLICO EXECUTADO EM FÁBRICA (02 DEMÃOS). AF_01/2020</v>
          </cell>
          <cell r="C5349" t="str">
            <v>M2</v>
          </cell>
          <cell r="D5349">
            <v>28.69</v>
          </cell>
        </row>
        <row r="5350">
          <cell r="A5350">
            <v>100752</v>
          </cell>
          <cell r="B5350" t="str">
            <v>PINTURA COM TINTA EPOXÍDICA DE ACABAMENTO APLICADA A ROLO OU PINCEL SOBRE PERFIL METÁLICO EXECUTADO EM FÁBRICA (02 DEMÃOS). AF_01/2020</v>
          </cell>
          <cell r="C5350" t="str">
            <v>M2</v>
          </cell>
          <cell r="D5350">
            <v>33.9</v>
          </cell>
        </row>
        <row r="5351">
          <cell r="A5351">
            <v>100753</v>
          </cell>
          <cell r="B5351" t="str">
            <v>PINTURA COM TINTA ACRÍLICA DE ACABAMENTO PULVERIZADA SOBRE SUPERFÍCIES METÁLICAS (EXCETO PERFIL) EXECUTADO EM OBRA (02 DEMÃOS). AF_01/2020</v>
          </cell>
          <cell r="C5351" t="str">
            <v>M2</v>
          </cell>
          <cell r="D5351">
            <v>15.27</v>
          </cell>
        </row>
        <row r="5352">
          <cell r="A5352">
            <v>100754</v>
          </cell>
          <cell r="B5352" t="str">
            <v>PINTURA COM TINTA ACRÍLICA DE ACABAMENTO APLICADA A ROLO OU PINCEL SOBRE SUPERFÍCIES METÁLICAS (EXCETO PERFIL) EXECUTADO EM OBRA (02 DEMÃOS). AF_01/2020</v>
          </cell>
          <cell r="C5352" t="str">
            <v>M2</v>
          </cell>
          <cell r="D5352">
            <v>20.6</v>
          </cell>
        </row>
        <row r="5353">
          <cell r="A5353">
            <v>100757</v>
          </cell>
          <cell r="B5353" t="str">
            <v>PINTURA COM TINTA ALQUÍDICA DE ACABAMENTO (ESMALTE SINTÉTICO ACETINADO) PULVERIZADA SOBRE SUPERFÍCIES METÁLICAS (EXCETO PERFIL) EXECUTADO EM OBRA (02 DEMÃOS). AF_01/2020</v>
          </cell>
          <cell r="C5353" t="str">
            <v>M2</v>
          </cell>
          <cell r="D5353">
            <v>33.92</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v>34.74</v>
          </cell>
        </row>
        <row r="5355">
          <cell r="A5355">
            <v>100759</v>
          </cell>
          <cell r="B5355" t="str">
            <v>PINTURA COM TINTA ALQUÍDICA DE ACABAMENTO (ESMALTE SINTÉTICO BRILHANTE) PULVERIZADA SOBRE SUPERFÍCIES METÁLICAS (EXCETO PERFIL) EXECUTADO EM OBRA (02 DEMÃOS). AF_01/2020</v>
          </cell>
          <cell r="C5355" t="str">
            <v>M2</v>
          </cell>
          <cell r="D5355">
            <v>33.64</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v>34.57</v>
          </cell>
        </row>
        <row r="5357">
          <cell r="A5357">
            <v>100761</v>
          </cell>
          <cell r="B5357" t="str">
            <v>PINTURA COM TINTA ALQUÍDICA DE ACABAMENTO (ESMALTE SINTÉTICO FOSCO) PULVERIZADA SOBRE SUPERFÍCIES METÁLICAS (EXCETO PERFIL) EXECUTADO EM OBRA (02 DEMÃOS). AF_01/2020</v>
          </cell>
          <cell r="C5357" t="str">
            <v>M2</v>
          </cell>
          <cell r="D5357">
            <v>34.909999999999997</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v>35.35</v>
          </cell>
        </row>
        <row r="5359">
          <cell r="A5359">
            <v>41595</v>
          </cell>
          <cell r="B5359" t="str">
            <v>PINTURA ACRILICA DE FAIXAS DE DEMARCACAO EM QUADRA POLIESPORTIVA, 5 CM DE LARGURA</v>
          </cell>
          <cell r="C5359" t="str">
            <v>M</v>
          </cell>
          <cell r="D5359">
            <v>10.59</v>
          </cell>
        </row>
        <row r="5360">
          <cell r="A5360" t="str">
            <v>73978/1</v>
          </cell>
          <cell r="B5360" t="str">
            <v>PINTURA HIDROFUGANTE COM SILICONE SOBRE PISO CIMENTADO, UMA DEMAO</v>
          </cell>
          <cell r="C5360" t="str">
            <v>M2</v>
          </cell>
          <cell r="D5360">
            <v>16.7</v>
          </cell>
        </row>
        <row r="5361">
          <cell r="A5361" t="str">
            <v>74245/1</v>
          </cell>
          <cell r="B5361" t="str">
            <v>PINTURA ACRILICA EM PISO CIMENTADO DUAS DEMAOS</v>
          </cell>
          <cell r="C5361" t="str">
            <v>M2</v>
          </cell>
          <cell r="D5361">
            <v>13.54</v>
          </cell>
        </row>
        <row r="5362">
          <cell r="A5362">
            <v>79467</v>
          </cell>
          <cell r="B5362" t="str">
            <v>PINTURA COM TINTA A BASE DE BORRACHA CLORADA , DE FAIXAS DE DEMARCACAO, EM QUADRA POLIESPORTIVA, 5 CM DE LARGURA.</v>
          </cell>
          <cell r="C5362" t="str">
            <v>ML</v>
          </cell>
          <cell r="D5362">
            <v>13.29</v>
          </cell>
        </row>
        <row r="5363">
          <cell r="A5363" t="str">
            <v>79500/2</v>
          </cell>
          <cell r="B5363" t="str">
            <v>PINTURA ACRILICA EM PISO CIMENTADO, TRES DEMAOS</v>
          </cell>
          <cell r="C5363" t="str">
            <v>M2</v>
          </cell>
          <cell r="D5363">
            <v>18.93</v>
          </cell>
        </row>
        <row r="5364">
          <cell r="A5364">
            <v>84663</v>
          </cell>
          <cell r="B5364" t="str">
            <v>APLICACAO DE VERNIZ POLIURETANO FOSCO SOBRE PISO DE PEDRAS DECORATIVAS, 3 DEMAOS</v>
          </cell>
          <cell r="C5364" t="str">
            <v>M2</v>
          </cell>
          <cell r="D5364">
            <v>20.61</v>
          </cell>
        </row>
        <row r="5365">
          <cell r="A5365">
            <v>84665</v>
          </cell>
          <cell r="B5365" t="str">
            <v>PINTURA ACRILICA PARA SINALIZAÇÃO HORIZONTAL EM PISO CIMENTADO</v>
          </cell>
          <cell r="C5365" t="str">
            <v>M2</v>
          </cell>
          <cell r="D5365">
            <v>18.190000000000001</v>
          </cell>
        </row>
        <row r="5366">
          <cell r="A5366">
            <v>84666</v>
          </cell>
          <cell r="B5366" t="str">
            <v>POLIMENTO E ENCERAMENTO DE PISO EM MADEIRA</v>
          </cell>
          <cell r="C5366" t="str">
            <v>M2</v>
          </cell>
          <cell r="D5366">
            <v>20.22</v>
          </cell>
        </row>
        <row r="5367">
          <cell r="A5367">
            <v>72191</v>
          </cell>
          <cell r="B5367" t="str">
            <v>RECOLOCACAO DE TACOS DE MADEIRA COM REAPROVEITAMENTO DE MATERIAL E ASSENTAMENTO COM ARGAMASSA 1:4 (CIMENTO E AREIA)</v>
          </cell>
          <cell r="C5367" t="str">
            <v>M2</v>
          </cell>
          <cell r="D5367">
            <v>76.28</v>
          </cell>
        </row>
        <row r="5368">
          <cell r="A5368" t="str">
            <v>73734/1</v>
          </cell>
          <cell r="B5368" t="str">
            <v>PISO EM TACO DE MADEIRA 7X21CM, ASSENTADO COM ARGAMASSA TRACO 1:4 (CIMENTO E AREIA MEDIA)</v>
          </cell>
          <cell r="C5368" t="str">
            <v>M2</v>
          </cell>
          <cell r="D5368">
            <v>162.65</v>
          </cell>
        </row>
        <row r="5369">
          <cell r="A5369">
            <v>84181</v>
          </cell>
          <cell r="B5369" t="str">
            <v>PISO EM TACO DE MADEIRA 7X21CM, FIXADO COM COLA BASE DE PVA</v>
          </cell>
          <cell r="C5369" t="str">
            <v>M2</v>
          </cell>
          <cell r="D5369">
            <v>131.52000000000001</v>
          </cell>
        </row>
        <row r="5370">
          <cell r="A5370">
            <v>87246</v>
          </cell>
          <cell r="B5370" t="str">
            <v>REVESTIMENTO CERÂMICO PARA PISO COM PLACAS TIPO ESMALTADA EXTRA DE DIMENSÕES 35X35 CM APLICADA EM AMBIENTES DE ÁREA MENOR QUE 5 M2. AF_06/2014</v>
          </cell>
          <cell r="C5370" t="str">
            <v>M2</v>
          </cell>
          <cell r="D5370">
            <v>39.17</v>
          </cell>
        </row>
        <row r="5371">
          <cell r="A5371">
            <v>87247</v>
          </cell>
          <cell r="B5371" t="str">
            <v>REVESTIMENTO CERÂMICO PARA PISO COM PLACAS TIPO ESMALTADA EXTRA DE DIMENSÕES 35X35 CM APLICADA EM AMBIENTES DE ÁREA ENTRE 5 M2 E 10 M2. AF_06/2014</v>
          </cell>
          <cell r="C5371" t="str">
            <v>M2</v>
          </cell>
          <cell r="D5371">
            <v>33.729999999999997</v>
          </cell>
        </row>
        <row r="5372">
          <cell r="A5372">
            <v>87248</v>
          </cell>
          <cell r="B5372" t="str">
            <v>REVESTIMENTO CERÂMICO PARA PISO COM PLACAS TIPO ESMALTADA EXTRA DE DIMENSÕES 35X35 CM APLICADA EM AMBIENTES DE ÁREA MAIOR QUE 10 M2. AF_06/2014</v>
          </cell>
          <cell r="C5372" t="str">
            <v>M2</v>
          </cell>
          <cell r="D5372">
            <v>29.18</v>
          </cell>
        </row>
        <row r="5373">
          <cell r="A5373">
            <v>87249</v>
          </cell>
          <cell r="B5373" t="str">
            <v>REVESTIMENTO CERÂMICO PARA PISO COM PLACAS TIPO ESMALTADA EXTRA DE DIMENSÕES 45X45 CM APLICADA EM AMBIENTES DE ÁREA MENOR QUE 5 M2. AF_06/2014</v>
          </cell>
          <cell r="C5373" t="str">
            <v>M2</v>
          </cell>
          <cell r="D5373">
            <v>44.51</v>
          </cell>
        </row>
        <row r="5374">
          <cell r="A5374">
            <v>87250</v>
          </cell>
          <cell r="B5374" t="str">
            <v>REVESTIMENTO CERÂMICO PARA PISO COM PLACAS TIPO ESMALTADA EXTRA DE DIMENSÕES 45X45 CM APLICADA EM AMBIENTES DE ÁREA ENTRE 5 M2 E 10 M2. AF_06/2014</v>
          </cell>
          <cell r="C5374" t="str">
            <v>M2</v>
          </cell>
          <cell r="D5374">
            <v>35.89</v>
          </cell>
        </row>
        <row r="5375">
          <cell r="A5375">
            <v>87251</v>
          </cell>
          <cell r="B5375" t="str">
            <v>REVESTIMENTO CERÂMICO PARA PISO COM PLACAS TIPO ESMALTADA EXTRA DE DIMENSÕES 45X45 CM APLICADA EM AMBIENTES DE ÁREA MAIOR QUE 10 M2. AF_06/2014</v>
          </cell>
          <cell r="C5375" t="str">
            <v>M2</v>
          </cell>
          <cell r="D5375">
            <v>30.22</v>
          </cell>
        </row>
        <row r="5376">
          <cell r="A5376">
            <v>87255</v>
          </cell>
          <cell r="B5376" t="str">
            <v>REVESTIMENTO CERÂMICO PARA PISO COM PLACAS TIPO ESMALTADA EXTRA DE DIMENSÕES 60X60 CM APLICADA EM AMBIENTES DE ÁREA MENOR QUE 5 M2. AF_06/2014</v>
          </cell>
          <cell r="C5376" t="str">
            <v>M2</v>
          </cell>
          <cell r="D5376">
            <v>68.67</v>
          </cell>
        </row>
        <row r="5377">
          <cell r="A5377">
            <v>87256</v>
          </cell>
          <cell r="B5377" t="str">
            <v>REVESTIMENTO CERÂMICO PARA PISO COM PLACAS TIPO ESMALTADA EXTRA DE DIMENSÕES 60X60 CM APLICADA EM AMBIENTES DE ÁREA ENTRE 5 M2 E 10 M2. AF_06/2014</v>
          </cell>
          <cell r="C5377" t="str">
            <v>M2</v>
          </cell>
          <cell r="D5377">
            <v>58.59</v>
          </cell>
        </row>
        <row r="5378">
          <cell r="A5378">
            <v>87257</v>
          </cell>
          <cell r="B5378" t="str">
            <v>REVESTIMENTO CERÂMICO PARA PISO COM PLACAS TIPO ESMALTADA EXTRA DE DIMENSÕES 60X60 CM APLICADA EM AMBIENTES DE ÁREA MAIOR QUE 10 M2. AF_06/2014</v>
          </cell>
          <cell r="C5378" t="str">
            <v>M2</v>
          </cell>
          <cell r="D5378">
            <v>52</v>
          </cell>
        </row>
        <row r="5379">
          <cell r="A5379">
            <v>87258</v>
          </cell>
          <cell r="B5379" t="str">
            <v>REVESTIMENTO CERÂMICO PARA PISO COM PLACAS TIPO PORCELANATO DE DIMENSÕES 45X45 CM APLICADA EM AMBIENTES DE ÁREA MENOR QUE 5 M². AF_06/2014</v>
          </cell>
          <cell r="C5379" t="str">
            <v>M2</v>
          </cell>
          <cell r="D5379">
            <v>92.99</v>
          </cell>
        </row>
        <row r="5380">
          <cell r="A5380">
            <v>87259</v>
          </cell>
          <cell r="B5380" t="str">
            <v>REVESTIMENTO CERÂMICO PARA PISO COM PLACAS TIPO PORCELANATO DE DIMENSÕES 45X45 CM APLICADA EM AMBIENTES DE ÁREA ENTRE 5 M² E 10 M². AF_06/2014</v>
          </cell>
          <cell r="C5380" t="str">
            <v>M2</v>
          </cell>
          <cell r="D5380">
            <v>83.46</v>
          </cell>
        </row>
        <row r="5381">
          <cell r="A5381">
            <v>87260</v>
          </cell>
          <cell r="B5381" t="str">
            <v>REVESTIMENTO CERÂMICO PARA PISO COM PLACAS TIPO PORCELANATO DE DIMENSÕES 45X45 CM APLICADA EM AMBIENTES DE ÁREA MAIOR QUE 10 M². AF_06/2014</v>
          </cell>
          <cell r="C5381" t="str">
            <v>M2</v>
          </cell>
          <cell r="D5381">
            <v>77.7</v>
          </cell>
        </row>
        <row r="5382">
          <cell r="A5382">
            <v>87261</v>
          </cell>
          <cell r="B5382" t="str">
            <v>REVESTIMENTO CERÂMICO PARA PISO COM PLACAS TIPO PORCELANATO DE DIMENSÕES 60X60 CM APLICADA EM AMBIENTES DE ÁREA MENOR QUE 5 M². AF_06/2014</v>
          </cell>
          <cell r="C5382" t="str">
            <v>M2</v>
          </cell>
          <cell r="D5382">
            <v>105.55</v>
          </cell>
        </row>
        <row r="5383">
          <cell r="A5383">
            <v>87262</v>
          </cell>
          <cell r="B5383" t="str">
            <v>REVESTIMENTO CERÂMICO PARA PISO COM PLACAS TIPO PORCELANATO DE DIMENSÕES 60X60 CM APLICADA EM AMBIENTES DE ÁREA ENTRE 5 M² E 10 M². AF_06/2014</v>
          </cell>
          <cell r="C5383" t="str">
            <v>M2</v>
          </cell>
          <cell r="D5383">
            <v>94.67</v>
          </cell>
        </row>
        <row r="5384">
          <cell r="A5384">
            <v>87263</v>
          </cell>
          <cell r="B5384" t="str">
            <v>REVESTIMENTO CERÂMICO PARA PISO COM PLACAS TIPO PORCELANATO DE DIMENSÕES 60X60 CM APLICADA EM AMBIENTES DE ÁREA MAIOR QUE 10 M². AF_06/2014</v>
          </cell>
          <cell r="C5384" t="str">
            <v>M2</v>
          </cell>
          <cell r="D5384">
            <v>87.88</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v>33.450000000000003</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v>31.25</v>
          </cell>
        </row>
        <row r="5387">
          <cell r="A5387">
            <v>93389</v>
          </cell>
          <cell r="B5387" t="str">
            <v>REVESTIMENTO CERÂMICO PARA PISO COM PLACAS TIPO ESMALTADA PADRÃO POPULAR DE DIMENSÕES 35X35 CM APLICADA EM AMBIENTES DE ÁREA MENOR QUE 5 M2. AF_06/2014</v>
          </cell>
          <cell r="C5387" t="str">
            <v>M2</v>
          </cell>
          <cell r="D5387">
            <v>36.04</v>
          </cell>
        </row>
        <row r="5388">
          <cell r="A5388">
            <v>93390</v>
          </cell>
          <cell r="B5388" t="str">
            <v>REVESTIMENTO CERÂMICO PARA PISO COM PLACAS TIPO ESMALTADA PADRÃO POPULAR DE DIMENSÕES 35X35 CM APLICADA EM AMBIENTES DE ÁREA ENTRE 5 M2 E 10 M2. AF_06/2014</v>
          </cell>
          <cell r="C5388" t="str">
            <v>M2</v>
          </cell>
          <cell r="D5388">
            <v>30.66</v>
          </cell>
        </row>
        <row r="5389">
          <cell r="A5389">
            <v>93391</v>
          </cell>
          <cell r="B5389" t="str">
            <v>REVESTIMENTO CERÂMICO PARA PISO COM PLACAS TIPO ESMALTADA PADRÃO POPULAR DE DIMENSÕES 35X35 CM APLICADA EM AMBIENTES DE ÁREA MAIOR QUE 10 M2. AF_06/2014</v>
          </cell>
          <cell r="C5389" t="str">
            <v>M2</v>
          </cell>
          <cell r="D5389">
            <v>26.11</v>
          </cell>
        </row>
        <row r="5390">
          <cell r="A5390" t="str">
            <v>73743/1</v>
          </cell>
          <cell r="B5390" t="str">
            <v>PISO EM PEDRA SÃO TOME ASSENTADO SOBRE ARGAMASSA 1:3 (CIMENTO E AREIA) REJUNTADO COM CIMENTO BRANCO</v>
          </cell>
          <cell r="C5390" t="str">
            <v>M2</v>
          </cell>
          <cell r="D5390">
            <v>186.79</v>
          </cell>
        </row>
        <row r="5391">
          <cell r="A5391" t="str">
            <v>73921/2</v>
          </cell>
          <cell r="B5391" t="str">
            <v>PISO EM PEDRA ARDOSIA ASSENTADO SOBRE ARGAMASSA COLANTE REJUNTADO COM CIMENTO COMUM</v>
          </cell>
          <cell r="C5391" t="str">
            <v>M2</v>
          </cell>
          <cell r="D5391">
            <v>40.07</v>
          </cell>
        </row>
        <row r="5392">
          <cell r="A5392">
            <v>84183</v>
          </cell>
          <cell r="B5392" t="str">
            <v>PISO EM PEDRA PORTUGUESA ASSENTADO SOBRE BASE DE AREIA, REJUNTADO COM CIMENTO COMUM</v>
          </cell>
          <cell r="C5392" t="str">
            <v>M2</v>
          </cell>
          <cell r="D5392">
            <v>134.15</v>
          </cell>
        </row>
        <row r="5393">
          <cell r="A5393">
            <v>98670</v>
          </cell>
          <cell r="B5393" t="str">
            <v>PISO EM LADRILHO HIDRÁULICO APLICADO EM AMBIENTES INTERNOS, INCLUSO APLICAÇÃO DE RESINA. AF_06/2018</v>
          </cell>
          <cell r="C5393" t="str">
            <v>M2</v>
          </cell>
          <cell r="D5393">
            <v>131.19999999999999</v>
          </cell>
        </row>
        <row r="5394">
          <cell r="A5394">
            <v>98671</v>
          </cell>
          <cell r="B5394" t="str">
            <v>PISO EM GRANITO APLICADO EM AMBIENTES INTERNOS. AF_06/2018</v>
          </cell>
          <cell r="C5394" t="str">
            <v>M2</v>
          </cell>
          <cell r="D5394">
            <v>366.13</v>
          </cell>
        </row>
        <row r="5395">
          <cell r="A5395">
            <v>98672</v>
          </cell>
          <cell r="B5395" t="str">
            <v>PISO EM MÁRMORE APLICADO EM AMBIENTES INTERNOS. AF_06/2018</v>
          </cell>
          <cell r="C5395" t="str">
            <v>M2</v>
          </cell>
          <cell r="D5395">
            <v>426.81</v>
          </cell>
        </row>
        <row r="5396">
          <cell r="A5396">
            <v>98673</v>
          </cell>
          <cell r="B5396" t="str">
            <v>PISO VINÍLICO SEMI-FLEXÍVEL EM PLACAS, PADRÃO LISO, ESPESSURA 3,2 MM, FIXADO COM COLA. AF_06/2018</v>
          </cell>
          <cell r="C5396" t="str">
            <v>M2</v>
          </cell>
          <cell r="D5396">
            <v>154.85</v>
          </cell>
        </row>
        <row r="5397">
          <cell r="A5397">
            <v>98679</v>
          </cell>
          <cell r="B5397" t="str">
            <v>PISO CIMENTADO, TRAÇO 1:3 (CIMENTO E AREIA), ACABAMENTO LISO, ESPESSURA 2,0 CM, PREPARO MECÂNICO DA ARGAMASSA. AF_06/2018</v>
          </cell>
          <cell r="C5397" t="str">
            <v>M2</v>
          </cell>
          <cell r="D5397">
            <v>24.72</v>
          </cell>
        </row>
        <row r="5398">
          <cell r="A5398">
            <v>98680</v>
          </cell>
          <cell r="B5398" t="str">
            <v>PISO CIMENTADO, TRAÇO 1:3 (CIMENTO E AREIA), ACABAMENTO LISO, ESPESSURA 3,0 CM, PREPARO MECÂNICO DA ARGAMASSA. AF_06/2018</v>
          </cell>
          <cell r="C5398" t="str">
            <v>M2</v>
          </cell>
          <cell r="D5398">
            <v>30.85</v>
          </cell>
        </row>
        <row r="5399">
          <cell r="A5399">
            <v>98681</v>
          </cell>
          <cell r="B5399" t="str">
            <v>PISO CIMENTADO, TRAÇO 1:3 (CIMENTO E AREIA), ACABAMENTO RÚSTICO, ESPESSURA 2,0 CM, PREPARO MECÂNICO DA ARGAMASSA. AF_06/2018</v>
          </cell>
          <cell r="C5399" t="str">
            <v>M2</v>
          </cell>
          <cell r="D5399">
            <v>22.93</v>
          </cell>
        </row>
        <row r="5400">
          <cell r="A5400">
            <v>98682</v>
          </cell>
          <cell r="B5400" t="str">
            <v>PISO CIMENTADO, TRAÇO 1:3 (CIMENTO E AREIA), ACABAMENTO RÚSTICO, ESPESSURA 3,0 CM, PREPARO MECÂNICO DA ARGAMASSA. AF_06/2018</v>
          </cell>
          <cell r="C5400" t="str">
            <v>M2</v>
          </cell>
          <cell r="D5400">
            <v>29.05</v>
          </cell>
        </row>
        <row r="5401">
          <cell r="A5401">
            <v>98685</v>
          </cell>
          <cell r="B5401" t="str">
            <v>RODAPÉ EM GRANITO, ALTURA 10 CM. AF_06/2018</v>
          </cell>
          <cell r="C5401" t="str">
            <v>M</v>
          </cell>
          <cell r="D5401">
            <v>66.260000000000005</v>
          </cell>
        </row>
        <row r="5402">
          <cell r="A5402">
            <v>98686</v>
          </cell>
          <cell r="B5402" t="str">
            <v>RODAPÉ EM LADRILHO HIDRÁULICO, ALTURA 7 CM. AF_06/2018</v>
          </cell>
          <cell r="C5402" t="str">
            <v>M</v>
          </cell>
          <cell r="D5402">
            <v>30.76</v>
          </cell>
        </row>
        <row r="5403">
          <cell r="A5403">
            <v>98688</v>
          </cell>
          <cell r="B5403" t="str">
            <v>RODAPÉ EM POLIESTIRENO, ALTURA 5 CM. AF_06/2018</v>
          </cell>
          <cell r="C5403" t="str">
            <v>M</v>
          </cell>
          <cell r="D5403">
            <v>34.28</v>
          </cell>
        </row>
        <row r="5404">
          <cell r="A5404">
            <v>98689</v>
          </cell>
          <cell r="B5404" t="str">
            <v>SOLEIRA EM GRANITO, LARGURA 15 CM, ESPESSURA 2,0 CM. AF_06/2018</v>
          </cell>
          <cell r="C5404" t="str">
            <v>M</v>
          </cell>
          <cell r="D5404">
            <v>93.71</v>
          </cell>
        </row>
        <row r="5405">
          <cell r="A5405">
            <v>101090</v>
          </cell>
          <cell r="B5405" t="str">
            <v>PISO EM PEDRA PORTUGUESA ASSENTADO SOBRE ARGAMASSA SECA DE CIMENTO E AREIA, TRAÇO 1:3, REJUNTADO COM CIMENTO COMUM. AF_05/2020</v>
          </cell>
          <cell r="C5405" t="str">
            <v>M2</v>
          </cell>
          <cell r="D5405">
            <v>136.66999999999999</v>
          </cell>
        </row>
        <row r="5406">
          <cell r="A5406">
            <v>101091</v>
          </cell>
          <cell r="B5406" t="str">
            <v>PISO EM LADRILHO HIDRÁULICO APLICADO EM AMBIENTES EXTERNOS. AF_05/2020</v>
          </cell>
          <cell r="C5406" t="str">
            <v>M2</v>
          </cell>
          <cell r="D5406">
            <v>100.95</v>
          </cell>
        </row>
        <row r="5407">
          <cell r="A5407">
            <v>72187</v>
          </cell>
          <cell r="B5407" t="str">
            <v>PISO DE BORRACHA FRISADO, ESPESSURA 7MM, ASSENTADO COM ARGAMASSA TRACO 1:3 (CIMENTO E AREIA)</v>
          </cell>
          <cell r="C5407" t="str">
            <v>M2</v>
          </cell>
          <cell r="D5407">
            <v>200.39</v>
          </cell>
        </row>
        <row r="5408">
          <cell r="A5408">
            <v>72188</v>
          </cell>
          <cell r="B5408" t="str">
            <v>PISO DE BORRACHA PASTILHADO, ESPESSURA 7MM, ASSENTADO COM ARGAMASSA TRACO 1:3 (CIMENTO E AREIA)</v>
          </cell>
          <cell r="C5408" t="str">
            <v>M2</v>
          </cell>
          <cell r="D5408">
            <v>200.39</v>
          </cell>
        </row>
        <row r="5409">
          <cell r="A5409" t="str">
            <v>73876/1</v>
          </cell>
          <cell r="B5409" t="str">
            <v>PISO DE BORRACHA PASTILHADO, ESPESSURA 7MM, FIXADO COM COLA</v>
          </cell>
          <cell r="C5409" t="str">
            <v>M2</v>
          </cell>
          <cell r="D5409">
            <v>181.19</v>
          </cell>
        </row>
        <row r="5410">
          <cell r="A5410">
            <v>84186</v>
          </cell>
          <cell r="B5410" t="str">
            <v>PISO DE BORRACHA CANELADA, ESPESSURA 3,5MM, FIXADO COM COLA</v>
          </cell>
          <cell r="C5410" t="str">
            <v>M2</v>
          </cell>
          <cell r="D5410">
            <v>75.77</v>
          </cell>
        </row>
        <row r="5411">
          <cell r="A5411">
            <v>84187</v>
          </cell>
          <cell r="B5411" t="str">
            <v>ASSENTAMENTO DE PISO DE BORRACHA PASTILHADA FIXADO COM COLA</v>
          </cell>
          <cell r="C5411" t="str">
            <v>M2</v>
          </cell>
          <cell r="D5411">
            <v>11.06</v>
          </cell>
        </row>
        <row r="5412">
          <cell r="A5412">
            <v>101094</v>
          </cell>
          <cell r="B5412" t="str">
            <v>PISO PODOTÁTIL, DIRECIONAL OU ALERTA, ASSENTADO SOBRE ARGAMASSA. AF_05/2020</v>
          </cell>
          <cell r="C5412" t="str">
            <v>M</v>
          </cell>
          <cell r="D5412">
            <v>130.63</v>
          </cell>
        </row>
        <row r="5413">
          <cell r="A5413">
            <v>72815</v>
          </cell>
          <cell r="B5413" t="str">
            <v>APLICACAO DE TINTA A BASE DE EPOXI SOBRE PISO</v>
          </cell>
          <cell r="C5413" t="str">
            <v>M2</v>
          </cell>
          <cell r="D5413">
            <v>46.75</v>
          </cell>
        </row>
        <row r="5414">
          <cell r="A5414">
            <v>84191</v>
          </cell>
          <cell r="B5414" t="str">
            <v>PISO EM GRANILITE, MARMORITE OU GRANITINA ESPESSURA 8 MM, INCLUSO JUNTAS DE DILATACAO PLASTICAS</v>
          </cell>
          <cell r="C5414" t="str">
            <v>M2</v>
          </cell>
          <cell r="D5414">
            <v>98.17</v>
          </cell>
        </row>
        <row r="5415">
          <cell r="A5415">
            <v>101092</v>
          </cell>
          <cell r="B5415" t="str">
            <v>PISO EM GRANITO APLICADO EM CALÇADAS OU PISOS EXTERNOS. AF_05/2020</v>
          </cell>
          <cell r="C5415" t="str">
            <v>M2</v>
          </cell>
          <cell r="D5415">
            <v>374.18</v>
          </cell>
        </row>
        <row r="5416">
          <cell r="A5416">
            <v>101093</v>
          </cell>
          <cell r="B5416" t="str">
            <v>PISO EM MÁRMORE APLICADO EM CALÇADAS OU PISOS EXTERNOS. AF_05/2020</v>
          </cell>
          <cell r="C5416" t="str">
            <v>M2</v>
          </cell>
          <cell r="D5416">
            <v>434.86</v>
          </cell>
        </row>
        <row r="5417">
          <cell r="A5417" t="str">
            <v>74111/1</v>
          </cell>
          <cell r="B5417" t="str">
            <v>SOLEIRA / TABEIRA EM MARMORE BRANCO COMUM, POLIDO, LARGURA 5 CM, ESPESSURA 2 CM, ASSENTADA COM ARGAMASSA COLANTE</v>
          </cell>
          <cell r="C5417" t="str">
            <v>M</v>
          </cell>
          <cell r="D5417">
            <v>36.159999999999997</v>
          </cell>
        </row>
        <row r="5418">
          <cell r="A5418">
            <v>98695</v>
          </cell>
          <cell r="B5418" t="str">
            <v>SOLEIRA EM MÁRMORE, LARGURA 15 CM, ESPESSURA 2,0 CM. AF_06/2018</v>
          </cell>
          <cell r="C5418" t="str">
            <v>M</v>
          </cell>
          <cell r="D5418">
            <v>75.44</v>
          </cell>
        </row>
        <row r="5419">
          <cell r="A5419">
            <v>98697</v>
          </cell>
          <cell r="B5419" t="str">
            <v>RODAPÉ EM MÁRMORE, ALTURA 7 CM. AF_06/2018</v>
          </cell>
          <cell r="C5419" t="str">
            <v>M</v>
          </cell>
          <cell r="D5419">
            <v>50</v>
          </cell>
        </row>
        <row r="5420">
          <cell r="A5420" t="str">
            <v>73886/1</v>
          </cell>
          <cell r="B5420" t="str">
            <v>RODAPE EM MADEIRA, ALTURA 7CM, FIXADO EM PECAS DE MADEIRA</v>
          </cell>
          <cell r="C5420" t="str">
            <v>M</v>
          </cell>
          <cell r="D5420">
            <v>16.38</v>
          </cell>
        </row>
        <row r="5421">
          <cell r="A5421">
            <v>84162</v>
          </cell>
          <cell r="B5421" t="str">
            <v>RODAPE EM MADEIRA, ALTURA 7CM, FIXADO COM COLA</v>
          </cell>
          <cell r="C5421" t="str">
            <v>M</v>
          </cell>
          <cell r="D5421">
            <v>17.649999999999999</v>
          </cell>
        </row>
        <row r="5422">
          <cell r="A5422">
            <v>88648</v>
          </cell>
          <cell r="B5422" t="str">
            <v>RODAPÉ CERÂMICO DE 7CM DE ALTURA COM PLACAS TIPO ESMALTADA EXTRA  DE DIMENSÕES 35X35CM. AF_06/2014</v>
          </cell>
          <cell r="C5422" t="str">
            <v>M</v>
          </cell>
          <cell r="D5422">
            <v>4.66</v>
          </cell>
        </row>
        <row r="5423">
          <cell r="A5423">
            <v>88649</v>
          </cell>
          <cell r="B5423" t="str">
            <v>RODAPÉ CERÂMICO DE 7CM DE ALTURA COM PLACAS TIPO ESMALTADA EXTRA DE DIMENSÕES 45X45CM. AF_06/2014</v>
          </cell>
          <cell r="C5423" t="str">
            <v>M</v>
          </cell>
          <cell r="D5423">
            <v>5.2</v>
          </cell>
        </row>
        <row r="5424">
          <cell r="A5424">
            <v>88650</v>
          </cell>
          <cell r="B5424" t="str">
            <v>RODAPÉ CERÂMICO DE 7CM DE ALTURA COM PLACAS TIPO ESMALTADA EXTRA DE DIMENSÕES 60X60CM. AF_06/2014</v>
          </cell>
          <cell r="C5424" t="str">
            <v>M</v>
          </cell>
          <cell r="D5424">
            <v>9.3800000000000008</v>
          </cell>
        </row>
        <row r="5425">
          <cell r="A5425">
            <v>96467</v>
          </cell>
          <cell r="B5425" t="str">
            <v>RODAPÉ CERÂMICO DE 7CM DE ALTURA COM PLACAS TIPO ESMALTADA COMERCIAL DE DIMENSÕES 35X35CM (PADRAO POPULAR). AF_06/2017</v>
          </cell>
          <cell r="C5425" t="str">
            <v>M</v>
          </cell>
          <cell r="D5425">
            <v>4.3099999999999996</v>
          </cell>
        </row>
        <row r="5426">
          <cell r="A5426" t="str">
            <v>73850/1</v>
          </cell>
          <cell r="B5426" t="str">
            <v>RODAPE EM MARMORITE, ALTURA 10CM</v>
          </cell>
          <cell r="C5426" t="str">
            <v>M</v>
          </cell>
          <cell r="D5426">
            <v>24.37</v>
          </cell>
        </row>
        <row r="5427">
          <cell r="A5427">
            <v>84168</v>
          </cell>
          <cell r="B5427" t="str">
            <v>RODAPE EM ARDOSIA ASSENTADO COM ARGAMASSA TRACO 1:4 (CIMENTO E AREIA) ALTURA 10CM</v>
          </cell>
          <cell r="C5427" t="str">
            <v>M</v>
          </cell>
          <cell r="D5427">
            <v>18.03</v>
          </cell>
        </row>
        <row r="5428">
          <cell r="A5428">
            <v>68325</v>
          </cell>
          <cell r="B5428" t="str">
            <v>PISO EM CONCRETO 20 MPA PREPARO MECANICO, ESPESSURA 7CM, INCLUSO SELANTE ELASTICO A BASE DE POLIURETANO</v>
          </cell>
          <cell r="C5428" t="str">
            <v>M2</v>
          </cell>
          <cell r="D5428">
            <v>43.17</v>
          </cell>
        </row>
        <row r="5429">
          <cell r="A5429">
            <v>68333</v>
          </cell>
          <cell r="B5429" t="str">
            <v>PISO EM CONCRETO 20 MPA PREPARO MECANICO, ESPESSURA 7CM, INCLUSO JUNTAS DE DILATACAO EM MADEIRA</v>
          </cell>
          <cell r="C5429" t="str">
            <v>M2</v>
          </cell>
          <cell r="D5429">
            <v>44.57</v>
          </cell>
        </row>
        <row r="5430">
          <cell r="A5430">
            <v>72183</v>
          </cell>
          <cell r="B5430" t="str">
            <v>PISO EM CONCRETO 20MPA PREPARO MECANICO, ESPESSURA 7 CM, COM ARMACAO EM TELA SOLDADA</v>
          </cell>
          <cell r="C5430" t="str">
            <v>M2</v>
          </cell>
          <cell r="D5430">
            <v>80.040000000000006</v>
          </cell>
        </row>
        <row r="5431">
          <cell r="A5431">
            <v>94990</v>
          </cell>
          <cell r="B5431" t="str">
            <v>EXECUÇÃO DE PASSEIO (CALÇADA) OU PISO DE CONCRETO COM CONCRETO MOLDADO IN LOCO, FEITO EM OBRA, ACABAMENTO CONVENCIONAL, NÃO ARMADO. AF_07/2016</v>
          </cell>
          <cell r="C5431" t="str">
            <v>M3</v>
          </cell>
          <cell r="D5431">
            <v>552.71</v>
          </cell>
        </row>
        <row r="5432">
          <cell r="A5432">
            <v>94991</v>
          </cell>
          <cell r="B5432" t="str">
            <v>EXECUÇÃO DE PASSEIO (CALÇADA) OU PISO DE CONCRETO COM CONCRETO MOLDADO IN LOCO, USINADO, ACABAMENTO CONVENCIONAL, NÃO ARMADO. AF_07/2016</v>
          </cell>
          <cell r="C5432" t="str">
            <v>M3</v>
          </cell>
          <cell r="D5432">
            <v>558.92999999999995</v>
          </cell>
        </row>
        <row r="5433">
          <cell r="A5433">
            <v>94992</v>
          </cell>
          <cell r="B5433" t="str">
            <v>EXECUÇÃO DE PASSEIO (CALÇADA) OU PISO DE CONCRETO COM CONCRETO MOLDADO IN LOCO, FEITO EM OBRA, ACABAMENTO CONVENCIONAL, ESPESSURA 6 CM, ARMADO. AF_07/2016</v>
          </cell>
          <cell r="C5433" t="str">
            <v>M2</v>
          </cell>
          <cell r="D5433">
            <v>61.33</v>
          </cell>
        </row>
        <row r="5434">
          <cell r="A5434">
            <v>94993</v>
          </cell>
          <cell r="B5434" t="str">
            <v>EXECUÇÃO DE PASSEIO (CALÇADA) OU PISO DE CONCRETO COM CONCRETO MOLDADO IN LOCO, USINADO, ACABAMENTO CONVENCIONAL, ESPESSURA 6 CM, ARMADO. AF_07/2016</v>
          </cell>
          <cell r="C5434" t="str">
            <v>M2</v>
          </cell>
          <cell r="D5434">
            <v>61.71</v>
          </cell>
        </row>
        <row r="5435">
          <cell r="A5435">
            <v>94994</v>
          </cell>
          <cell r="B5435" t="str">
            <v>EXECUÇÃO DE PASSEIO (CALÇADA) OU PISO DE CONCRETO COM CONCRETO MOLDADO IN LOCO, FEITO EM OBRA, ACABAMENTO CONVENCIONAL, ESPESSURA 8 CM, ARMADO. AF_07/2016</v>
          </cell>
          <cell r="C5435" t="str">
            <v>M2</v>
          </cell>
          <cell r="D5435">
            <v>73.39</v>
          </cell>
        </row>
        <row r="5436">
          <cell r="A5436">
            <v>94995</v>
          </cell>
          <cell r="B5436" t="str">
            <v>EXECUÇÃO DE PASSEIO (CALÇADA) OU PISO DE CONCRETO COM CONCRETO MOLDADO IN LOCO, USINADO, ACABAMENTO CONVENCIONAL, ESPESSURA 8 CM, ARMADO. AF_07/2016</v>
          </cell>
          <cell r="C5436" t="str">
            <v>M2</v>
          </cell>
          <cell r="D5436">
            <v>73.88</v>
          </cell>
        </row>
        <row r="5437">
          <cell r="A5437">
            <v>94996</v>
          </cell>
          <cell r="B5437" t="str">
            <v>EXECUÇÃO DE PASSEIO (CALÇADA) OU PISO DE CONCRETO COM CONCRETO MOLDADO IN LOCO, FEITO EM OBRA, ACABAMENTO CONVENCIONAL, ESPESSURA 10 CM, ARMADO. AF_07/2016</v>
          </cell>
          <cell r="C5437" t="str">
            <v>M2</v>
          </cell>
          <cell r="D5437">
            <v>84.65</v>
          </cell>
        </row>
        <row r="5438">
          <cell r="A5438">
            <v>94997</v>
          </cell>
          <cell r="B5438" t="str">
            <v>EXECUÇÃO DE PASSEIO (CALÇADA) OU PISO DE CONCRETO COM CONCRETO MOLDADO IN LOCO, USINADO, ACABAMENTO CONVENCIONAL, ESPESSURA 10 CM, ARMADO. AF_07/2016</v>
          </cell>
          <cell r="C5438" t="str">
            <v>M2</v>
          </cell>
          <cell r="D5438">
            <v>85.27</v>
          </cell>
        </row>
        <row r="5439">
          <cell r="A5439">
            <v>94998</v>
          </cell>
          <cell r="B5439" t="str">
            <v>EXECUÇÃO DE PASSEIO (CALÇADA) OU PISO DE CONCRETO COM CONCRETO MOLDADO IN LOCO, FEITO EM OBRA, ACABAMENTO CONVENCIONAL, ESPESSURA 12 CM, ARMADO. AF_07/2016</v>
          </cell>
          <cell r="C5439" t="str">
            <v>M2</v>
          </cell>
          <cell r="D5439">
            <v>95.66</v>
          </cell>
        </row>
        <row r="5440">
          <cell r="A5440">
            <v>94999</v>
          </cell>
          <cell r="B5440" t="str">
            <v>EXECUÇÃO DE PASSEIO (CALÇADA) OU PISO DE CONCRETO COM CONCRETO MOLDADO IN LOCO, USINADO, ACABAMENTO CONVENCIONAL, ESPESSURA 12 CM, ARMADO. AF_07/2016</v>
          </cell>
          <cell r="C5440" t="str">
            <v>M2</v>
          </cell>
          <cell r="D5440">
            <v>96.41</v>
          </cell>
        </row>
        <row r="5441">
          <cell r="A5441">
            <v>87620</v>
          </cell>
          <cell r="B5441" t="str">
            <v>CONTRAPISO EM ARGAMASSA TRAÇO 1:4 (CIMENTO E AREIA), PREPARO MECÂNICO COM BETONEIRA 400 L, APLICADO EM ÁREAS SECAS SOBRE LAJE, ADERIDO, ESPESSURA 2CM. AF_06/2014</v>
          </cell>
          <cell r="C5441" t="str">
            <v>M2</v>
          </cell>
          <cell r="D5441">
            <v>24.03</v>
          </cell>
        </row>
        <row r="5442">
          <cell r="A5442">
            <v>87622</v>
          </cell>
          <cell r="B5442" t="str">
            <v>CONTRAPISO EM ARGAMASSA TRAÇO 1:4 (CIMENTO E AREIA), PREPARO MANUAL, APLICADO EM ÁREAS SECAS SOBRE LAJE, ADERIDO, ESPESSURA 2CM. AF_06/2014</v>
          </cell>
          <cell r="C5442" t="str">
            <v>M2</v>
          </cell>
          <cell r="D5442">
            <v>27.14</v>
          </cell>
        </row>
        <row r="5443">
          <cell r="A5443">
            <v>87623</v>
          </cell>
          <cell r="B5443" t="str">
            <v>CONTRAPISO EM ARGAMASSA PRONTA, PREPARO MECÂNICO COM MISTURADOR 300 KG, APLICADO EM ÁREAS SECAS SOBRE LAJE, ADERIDO, ESPESSURA 2CM. AF_06/2014</v>
          </cell>
          <cell r="C5443" t="str">
            <v>M2</v>
          </cell>
          <cell r="D5443">
            <v>61.42</v>
          </cell>
        </row>
        <row r="5444">
          <cell r="A5444">
            <v>87624</v>
          </cell>
          <cell r="B5444" t="str">
            <v>CONTRAPISO EM ARGAMASSA PRONTA, PREPARO MANUAL, APLICADO EM ÁREAS SECAS SOBRE LAJE, ADERIDO, ESPESSURA 2CM. AF_06/2014</v>
          </cell>
          <cell r="C5444" t="str">
            <v>M2</v>
          </cell>
          <cell r="D5444">
            <v>66.84</v>
          </cell>
        </row>
        <row r="5445">
          <cell r="A5445">
            <v>87630</v>
          </cell>
          <cell r="B5445" t="str">
            <v>CONTRAPISO EM ARGAMASSA TRAÇO 1:4 (CIMENTO E AREIA), PREPARO MECÂNICO COM BETONEIRA 400 L, APLICADO EM ÁREAS SECAS SOBRE LAJE, ADERIDO, ESPESSURA 3CM. AF_06/2014</v>
          </cell>
          <cell r="C5445" t="str">
            <v>M2</v>
          </cell>
          <cell r="D5445">
            <v>29.77</v>
          </cell>
        </row>
        <row r="5446">
          <cell r="A5446">
            <v>87632</v>
          </cell>
          <cell r="B5446" t="str">
            <v>CONTRAPISO EM ARGAMASSA TRAÇO 1:4 (CIMENTO E AREIA), PREPARO MANUAL, APLICADO EM ÁREAS SECAS SOBRE LAJE, ADERIDO, ESPESSURA 3CM. AF_06/2014</v>
          </cell>
          <cell r="C5446" t="str">
            <v>M2</v>
          </cell>
          <cell r="D5446">
            <v>34.090000000000003</v>
          </cell>
        </row>
        <row r="5447">
          <cell r="A5447">
            <v>87633</v>
          </cell>
          <cell r="B5447" t="str">
            <v>CONTRAPISO EM ARGAMASSA PRONTA, PREPARO MECÂNICO COM MISTURADOR 300 KG, APLICADO EM ÁREAS SECAS SOBRE LAJE, ADERIDO, ESPESSURA 3CM. AF_06/2014</v>
          </cell>
          <cell r="C5447" t="str">
            <v>M2</v>
          </cell>
          <cell r="D5447">
            <v>81.739999999999995</v>
          </cell>
        </row>
        <row r="5448">
          <cell r="A5448">
            <v>87634</v>
          </cell>
          <cell r="B5448" t="str">
            <v>CONTRAPISO EM ARGAMASSA PRONTA, PREPARO MANUAL, APLICADO EM ÁREAS SECAS SOBRE LAJE, ADERIDO, ESPESSURA 3CM. AF_06/2014</v>
          </cell>
          <cell r="C5448" t="str">
            <v>M2</v>
          </cell>
          <cell r="D5448">
            <v>89.28</v>
          </cell>
        </row>
        <row r="5449">
          <cell r="A5449">
            <v>87640</v>
          </cell>
          <cell r="B5449" t="str">
            <v>CONTRAPISO EM ARGAMASSA TRAÇO 1:4 (CIMENTO E AREIA), PREPARO MECÂNICO COM BETONEIRA 400 L, APLICADO EM ÁREAS SECAS SOBRE LAJE, ADERIDO, ESPESSURA 4CM. AF_06/2014</v>
          </cell>
          <cell r="C5449" t="str">
            <v>M2</v>
          </cell>
          <cell r="D5449">
            <v>34.39</v>
          </cell>
        </row>
        <row r="5450">
          <cell r="A5450">
            <v>87642</v>
          </cell>
          <cell r="B5450" t="str">
            <v>CONTRAPISO EM ARGAMASSA TRAÇO 1:4 (CIMENTO E AREIA), PREPARO MANUAL, APLICADO EM ÁREAS SECAS SOBRE LAJE, ADERIDO, ESPESSURA 4CM. AF_06/2014</v>
          </cell>
          <cell r="C5450" t="str">
            <v>M2</v>
          </cell>
          <cell r="D5450">
            <v>39.700000000000003</v>
          </cell>
        </row>
        <row r="5451">
          <cell r="A5451">
            <v>87643</v>
          </cell>
          <cell r="B5451" t="str">
            <v>CONTRAPISO EM ARGAMASSA PRONTA, PREPARO MECÂNICO COM MISTURADOR 300 KG, APLICADO EM ÁREAS SECAS SOBRE LAJE, ADERIDO, ESPESSURA 4CM. AF_06/2014</v>
          </cell>
          <cell r="C5451" t="str">
            <v>M2</v>
          </cell>
          <cell r="D5451">
            <v>98.31</v>
          </cell>
        </row>
        <row r="5452">
          <cell r="A5452">
            <v>87644</v>
          </cell>
          <cell r="B5452" t="str">
            <v>CONTRAPISO EM ARGAMASSA PRONTA, PREPARO MANUAL, APLICADO EM ÁREAS SECAS SOBRE LAJE, ADERIDO, ESPESSURA 4CM. AF_06/2014</v>
          </cell>
          <cell r="C5452" t="str">
            <v>M2</v>
          </cell>
          <cell r="D5452">
            <v>107.57</v>
          </cell>
        </row>
        <row r="5453">
          <cell r="A5453">
            <v>87680</v>
          </cell>
          <cell r="B5453" t="str">
            <v>CONTRAPISO EM ARGAMASSA TRAÇO 1:4 (CIMENTO E AREIA), PREPARO MECÂNICO COM BETONEIRA 400 L, APLICADO EM ÁREAS SECAS SOBRE LAJE, NÃO ADERIDO, ESPESSURA 4CM. AF_06/2014</v>
          </cell>
          <cell r="C5453" t="str">
            <v>M2</v>
          </cell>
          <cell r="D5453">
            <v>28.29</v>
          </cell>
        </row>
        <row r="5454">
          <cell r="A5454">
            <v>87682</v>
          </cell>
          <cell r="B5454" t="str">
            <v>CONTRAPISO EM ARGAMASSA TRAÇO 1:4 (CIMENTO E AREIA), PREPARO MANUAL, APLICADO EM ÁREAS SECAS SOBRE LAJE, NÃO ADERIDO, ESPESSURA 4CM. AF_06/2014</v>
          </cell>
          <cell r="C5454" t="str">
            <v>M2</v>
          </cell>
          <cell r="D5454">
            <v>33.6</v>
          </cell>
        </row>
        <row r="5455">
          <cell r="A5455">
            <v>87683</v>
          </cell>
          <cell r="B5455" t="str">
            <v>CONTRAPISO EM ARGAMASSA PRONTA, PREPARO MECÂNICO COM MISTURADOR 300 KG, APLICADO EM ÁREAS SECAS SOBRE LAJE, NÃO ADERIDO, ESPESSURA 4CM. AF_06/2014</v>
          </cell>
          <cell r="C5455" t="str">
            <v>M2</v>
          </cell>
          <cell r="D5455">
            <v>92.21</v>
          </cell>
        </row>
        <row r="5456">
          <cell r="A5456">
            <v>87684</v>
          </cell>
          <cell r="B5456" t="str">
            <v>CONTRAPISO EM ARGAMASSA PRONTA, PREPARO MANUAL, APLICADO EM ÁREAS SECAS SOBRE LAJE, NÃO ADERIDO, ESPESSURA 4CM. AF_06/2014</v>
          </cell>
          <cell r="C5456" t="str">
            <v>M2</v>
          </cell>
          <cell r="D5456">
            <v>101.47</v>
          </cell>
        </row>
        <row r="5457">
          <cell r="A5457">
            <v>87690</v>
          </cell>
          <cell r="B5457" t="str">
            <v>CONTRAPISO EM ARGAMASSA TRAÇO 1:4 (CIMENTO E AREIA), PREPARO MECÂNICO COM BETONEIRA 400 L, APLICADO EM ÁREAS SECAS SOBRE LAJE, NÃO ADERIDO, ESPESSURA 5CM. AF_06/2014</v>
          </cell>
          <cell r="C5457" t="str">
            <v>M2</v>
          </cell>
          <cell r="D5457">
            <v>32.9</v>
          </cell>
        </row>
        <row r="5458">
          <cell r="A5458">
            <v>87692</v>
          </cell>
          <cell r="B5458" t="str">
            <v>CONTRAPISO EM ARGAMASSA TRAÇO 1:4 (CIMENTO E AREIA), PREPARO MANUAL, APLICADO EM ÁREAS SECAS SOBRE LAJE, NÃO ADERIDO, ESPESSURA 5CM. AF_06/2014</v>
          </cell>
          <cell r="C5458" t="str">
            <v>M2</v>
          </cell>
          <cell r="D5458">
            <v>38.99</v>
          </cell>
        </row>
        <row r="5459">
          <cell r="A5459">
            <v>87693</v>
          </cell>
          <cell r="B5459" t="str">
            <v>CONTRAPISO EM ARGAMASSA PRONTA, PREPARO MECÂNICO COM MISTURADOR 300 KG, APLICADO EM ÁREAS SECAS SOBRE LAJE, NÃO ADERIDO, ESPESSURA 5CM. AF_06/2014</v>
          </cell>
          <cell r="C5459" t="str">
            <v>M2</v>
          </cell>
          <cell r="D5459">
            <v>106.11</v>
          </cell>
        </row>
        <row r="5460">
          <cell r="A5460">
            <v>87694</v>
          </cell>
          <cell r="B5460" t="str">
            <v>CONTRAPISO EM ARGAMASSA PRONTA, PREPARO MANUAL, APLICADO EM ÁREAS SECAS SOBRE LAJE, NÃO ADERIDO, ESPESSURA 5CM. AF_06/2014</v>
          </cell>
          <cell r="C5460" t="str">
            <v>M2</v>
          </cell>
          <cell r="D5460">
            <v>116.72</v>
          </cell>
        </row>
        <row r="5461">
          <cell r="A5461">
            <v>87700</v>
          </cell>
          <cell r="B5461" t="str">
            <v>CONTRAPISO EM ARGAMASSA TRAÇO 1:4 (CIMENTO E AREIA), PREPARO MECÂNICO COM BETONEIRA 400 L, APLICADO EM ÁREAS SECAS SOBRE LAJE, NÃO ADERIDO, ESPESSURA 6CM. AF_06/2014</v>
          </cell>
          <cell r="C5461" t="str">
            <v>M2</v>
          </cell>
          <cell r="D5461">
            <v>35.520000000000003</v>
          </cell>
        </row>
        <row r="5462">
          <cell r="A5462">
            <v>87702</v>
          </cell>
          <cell r="B5462" t="str">
            <v>CONTRAPISO EM ARGAMASSA TRAÇO 1:4 (CIMENTO E AREIA), PREPARO MANUAL, APLICADO EM ÁREAS SECAS SOBRE LAJE, NÃO ADERIDO, ESPESSURA 6CM. AF_06/2014</v>
          </cell>
          <cell r="C5462" t="str">
            <v>M2</v>
          </cell>
          <cell r="D5462">
            <v>42.14</v>
          </cell>
        </row>
        <row r="5463">
          <cell r="A5463">
            <v>87703</v>
          </cell>
          <cell r="B5463" t="str">
            <v>CONTRAPISO EM ARGAMASSA PRONTA, PREPARO MECÂNICO COM MISTURADOR 300 KG, APLICADO EM ÁREAS SECAS SOBRE LAJE, NÃO ADERIDO, ESPESSURA 6CM. AF_06/2014</v>
          </cell>
          <cell r="C5463" t="str">
            <v>M2</v>
          </cell>
          <cell r="D5463">
            <v>115.23</v>
          </cell>
        </row>
        <row r="5464">
          <cell r="A5464">
            <v>87704</v>
          </cell>
          <cell r="B5464" t="str">
            <v>CONTRAPISO EM ARGAMASSA PRONTA, PREPARO MANUAL, APLICADO EM ÁREAS SECAS SOBRE LAJE, NÃO ADERIDO, ESPESSURA 6CM. AF_06/2014</v>
          </cell>
          <cell r="C5464" t="str">
            <v>M2</v>
          </cell>
          <cell r="D5464">
            <v>126.79</v>
          </cell>
        </row>
        <row r="5465">
          <cell r="A5465">
            <v>87735</v>
          </cell>
          <cell r="B5465" t="str">
            <v>CONTRAPISO EM ARGAMASSA TRAÇO 1:4 (CIMENTO E AREIA), PREPARO MECÂNICO COM BETONEIRA 400 L, APLICADO EM ÁREAS MOLHADAS SOBRE LAJE, ADERIDO, ESPESSURA 2CM. AF_06/2014</v>
          </cell>
          <cell r="C5465" t="str">
            <v>M2</v>
          </cell>
          <cell r="D5465">
            <v>32.36</v>
          </cell>
        </row>
        <row r="5466">
          <cell r="A5466">
            <v>87737</v>
          </cell>
          <cell r="B5466" t="str">
            <v>CONTRAPISO EM ARGAMASSA TRAÇO 1:4 (CIMENTO E AREIA), PREPARO MANUAL, APLICADO EM ÁREAS MOLHADAS SOBRE LAJE, ADERIDO, ESPESSURA 2CM. AF_06/2014</v>
          </cell>
          <cell r="C5466" t="str">
            <v>M2</v>
          </cell>
          <cell r="D5466">
            <v>35.47</v>
          </cell>
        </row>
        <row r="5467">
          <cell r="A5467">
            <v>87738</v>
          </cell>
          <cell r="B5467" t="str">
            <v>CONTRAPISO EM ARGAMASSA PRONTA, PREPARO MECÂNICO COM MISTURADOR 300 KG, APLICADO EM ÁREAS MOLHADAS SOBRE LAJE, ADERIDO, ESPESSURA 2CM. AF_06/2014</v>
          </cell>
          <cell r="C5467" t="str">
            <v>M2</v>
          </cell>
          <cell r="D5467">
            <v>69.75</v>
          </cell>
        </row>
        <row r="5468">
          <cell r="A5468">
            <v>87739</v>
          </cell>
          <cell r="B5468" t="str">
            <v>CONTRAPISO EM ARGAMASSA PRONTA, PREPARO MANUAL, APLICADO EM ÁREAS MOLHADAS SOBRE LAJE, ADERIDO, ESPESSURA 2CM. AF_06/2014</v>
          </cell>
          <cell r="C5468" t="str">
            <v>M2</v>
          </cell>
          <cell r="D5468">
            <v>75.17</v>
          </cell>
        </row>
        <row r="5469">
          <cell r="A5469">
            <v>87745</v>
          </cell>
          <cell r="B5469" t="str">
            <v>CONTRAPISO EM ARGAMASSA TRAÇO 1:4 (CIMENTO E AREIA), PREPARO MECÂNICO COM BETONEIRA 400 L, APLICADO EM ÁREAS MOLHADAS SOBRE LAJE, ADERIDO, ESPESSURA 3CM. AF_06/2014</v>
          </cell>
          <cell r="C5469" t="str">
            <v>M2</v>
          </cell>
          <cell r="D5469">
            <v>38.11</v>
          </cell>
        </row>
        <row r="5470">
          <cell r="A5470">
            <v>87747</v>
          </cell>
          <cell r="B5470" t="str">
            <v>CONTRAPISO EM ARGAMASSA TRAÇO 1:4 (CIMENTO E AREIA), PREPARO MANUAL, APLICADO EM ÁREAS MOLHADAS SOBRE LAJE, ADERIDO, ESPESSURA 3CM. AF_06/2014</v>
          </cell>
          <cell r="C5470" t="str">
            <v>M2</v>
          </cell>
          <cell r="D5470">
            <v>42.43</v>
          </cell>
        </row>
        <row r="5471">
          <cell r="A5471">
            <v>87748</v>
          </cell>
          <cell r="B5471" t="str">
            <v>CONTRAPISO EM ARGAMASSA PRONTA, PREPARO MECÂNICO COM MISTURADOR 300 KG, APLICADO EM ÁREAS MOLHADAS SOBRE LAJE, ADERIDO, ESPESSURA 3CM. AF_06/2014</v>
          </cell>
          <cell r="C5471" t="str">
            <v>M2</v>
          </cell>
          <cell r="D5471">
            <v>90.08</v>
          </cell>
        </row>
        <row r="5472">
          <cell r="A5472">
            <v>87749</v>
          </cell>
          <cell r="B5472" t="str">
            <v>CONTRAPISO EM ARGAMASSA PRONTA, PREPARO MANUAL, APLICADO EM ÁREAS MOLHADAS SOBRE LAJE, ADERIDO, ESPESSURA 3CM. AF_06/2014</v>
          </cell>
          <cell r="C5472" t="str">
            <v>M2</v>
          </cell>
          <cell r="D5472">
            <v>97.62</v>
          </cell>
        </row>
        <row r="5473">
          <cell r="A5473">
            <v>87755</v>
          </cell>
          <cell r="B5473" t="str">
            <v>CONTRAPISO EM ARGAMASSA TRAÇO 1:4 (CIMENTO E AREIA), PREPARO MECÂNICO COM BETONEIRA 400 L, APLICADO EM ÁREAS MOLHADAS SOBRE IMPERMEABILIZAÇÃO, ESPESSURA 3CM. AF_06/2014</v>
          </cell>
          <cell r="C5473" t="str">
            <v>M2</v>
          </cell>
          <cell r="D5473">
            <v>35.03</v>
          </cell>
        </row>
        <row r="5474">
          <cell r="A5474">
            <v>87757</v>
          </cell>
          <cell r="B5474" t="str">
            <v>CONTRAPISO EM ARGAMASSA TRAÇO 1:4 (CIMENTO E AREIA), PREPARO MANUAL, APLICADO EM ÁREAS MOLHADAS SOBRE IMPERMEABILIZAÇÃO, ESPESSURA 3CM. AF_06/2014</v>
          </cell>
          <cell r="C5474" t="str">
            <v>M2</v>
          </cell>
          <cell r="D5474">
            <v>39.35</v>
          </cell>
        </row>
        <row r="5475">
          <cell r="A5475">
            <v>87758</v>
          </cell>
          <cell r="B5475" t="str">
            <v>CONTRAPISO EM ARGAMASSA PRONTA, PREPARO MECÂNICO COM MISTURADOR 300 KG, APLICADO EM ÁREAS MOLHADAS SOBRE IMPERMEABILIZAÇÃO, ESPESSURA 3CM. AF_06/2014</v>
          </cell>
          <cell r="C5475" t="str">
            <v>M2</v>
          </cell>
          <cell r="D5475">
            <v>87</v>
          </cell>
        </row>
        <row r="5476">
          <cell r="A5476">
            <v>87759</v>
          </cell>
          <cell r="B5476" t="str">
            <v>CONTRAPISO EM ARGAMASSA PRONTA, PREPARO MANUAL, APLICADO EM ÁREAS MOLHADAS SOBRE IMPERMEABILIZAÇÃO, ESPESSURA 3CM. AF_06/2014</v>
          </cell>
          <cell r="C5476" t="str">
            <v>M2</v>
          </cell>
          <cell r="D5476">
            <v>94.54</v>
          </cell>
        </row>
        <row r="5477">
          <cell r="A5477">
            <v>87765</v>
          </cell>
          <cell r="B5477" t="str">
            <v>CONTRAPISO EM ARGAMASSA TRAÇO 1:4 (CIMENTO E AREIA), PREPARO MECÂNICO COM BETONEIRA 400 L, APLICADO EM ÁREAS MOLHADAS SOBRE IMPERMEABILIZAÇÃO, ESPESSURA 4CM. AF_06/2014</v>
          </cell>
          <cell r="C5477" t="str">
            <v>M2</v>
          </cell>
          <cell r="D5477">
            <v>39.630000000000003</v>
          </cell>
        </row>
        <row r="5478">
          <cell r="A5478">
            <v>87767</v>
          </cell>
          <cell r="B5478" t="str">
            <v>CONTRAPISO EM ARGAMASSA TRAÇO 1:4 (CIMENTO E AREIA), PREPARO MANUAL, APLICADO EM ÁREAS MOLHADAS SOBRE IMPERMEABILIZAÇÃO, ESPESSURA 4CM. AF_06/2014</v>
          </cell>
          <cell r="C5478" t="str">
            <v>M2</v>
          </cell>
          <cell r="D5478">
            <v>44.94</v>
          </cell>
        </row>
        <row r="5479">
          <cell r="A5479">
            <v>87768</v>
          </cell>
          <cell r="B5479" t="str">
            <v>CONTRAPISO EM ARGAMASSA PRONTA, PREPARO MECÂNICO COM MISTURADOR 300 KG, APLICADO EM ÁREAS MOLHADAS SOBRE IMPERMEABILIZAÇÃO, ESPESSURA 4CM. AF_06/2014</v>
          </cell>
          <cell r="C5479" t="str">
            <v>M2</v>
          </cell>
          <cell r="D5479">
            <v>103.55</v>
          </cell>
        </row>
        <row r="5480">
          <cell r="A5480">
            <v>87769</v>
          </cell>
          <cell r="B5480" t="str">
            <v>CONTRAPISO EM ARGAMASSA PRONTA, PREPARO MANUAL, APLICADO EM ÁREAS MOLHADAS SOBRE IMPERMEABILIZAÇÃO, ESPESSURA 4CM. AF_06/2014</v>
          </cell>
          <cell r="C5480" t="str">
            <v>M2</v>
          </cell>
          <cell r="D5480">
            <v>112.81</v>
          </cell>
        </row>
        <row r="5481">
          <cell r="A5481">
            <v>88470</v>
          </cell>
          <cell r="B5481" t="str">
            <v>CONTRAPISO AUTONIVELANTE, APLICADO SOBRE LAJE, NÃO ADERIDO, ESPESSURA 3CM. AF_06/2014</v>
          </cell>
          <cell r="C5481" t="str">
            <v>M2</v>
          </cell>
          <cell r="D5481">
            <v>21.46</v>
          </cell>
        </row>
        <row r="5482">
          <cell r="A5482">
            <v>88471</v>
          </cell>
          <cell r="B5482" t="str">
            <v>CONTRAPISO AUTONIVELANTE, APLICADO SOBRE LAJE, NÃO ADERIDO, ESPESSURA 4CM. AF_06/2014</v>
          </cell>
          <cell r="C5482" t="str">
            <v>M2</v>
          </cell>
          <cell r="D5482">
            <v>26.52</v>
          </cell>
        </row>
        <row r="5483">
          <cell r="A5483">
            <v>88472</v>
          </cell>
          <cell r="B5483" t="str">
            <v>CONTRAPISO AUTONIVELANTE, APLICADO SOBRE LAJE, NÃO ADERIDO, ESPESSURA 5CM. AF_06/2014</v>
          </cell>
          <cell r="C5483" t="str">
            <v>M2</v>
          </cell>
          <cell r="D5483">
            <v>30.48</v>
          </cell>
        </row>
        <row r="5484">
          <cell r="A5484">
            <v>88476</v>
          </cell>
          <cell r="B5484" t="str">
            <v>CONTRAPISO AUTONIVELANTE, APLICADO SOBRE LAJE, ADERIDO, ESPESSURA 2CM. AF_06/2014</v>
          </cell>
          <cell r="C5484" t="str">
            <v>M2</v>
          </cell>
          <cell r="D5484">
            <v>17.29</v>
          </cell>
        </row>
        <row r="5485">
          <cell r="A5485">
            <v>88477</v>
          </cell>
          <cell r="B5485" t="str">
            <v>CONTRAPISO AUTONIVELANTE, APLICADO SOBRE LAJE, ADERIDO, ESPESSURA 3CM. AF_06/2014</v>
          </cell>
          <cell r="C5485" t="str">
            <v>M2</v>
          </cell>
          <cell r="D5485">
            <v>23.78</v>
          </cell>
        </row>
        <row r="5486">
          <cell r="A5486">
            <v>88478</v>
          </cell>
          <cell r="B5486" t="str">
            <v>CONTRAPISO AUTONIVELANTE, APLICADO SOBRE LAJE, ADERIDO, ESPESSURA 4CM. AF_06/2014</v>
          </cell>
          <cell r="C5486" t="str">
            <v>M2</v>
          </cell>
          <cell r="D5486">
            <v>29.05</v>
          </cell>
        </row>
        <row r="5487">
          <cell r="A5487">
            <v>90900</v>
          </cell>
          <cell r="B5487" t="str">
            <v>CONTRAPISO ACÚSTICO EM ARGAMASSA TRAÇO 1:4 (CIMENTO E AREIA), PREPARO MECÂNICO COM BETONEIRA 400L, APLICADO EM ÁREAS SECAS MENORES QUE 15M2, ESPESSURA 5CM. AF_10/2014</v>
          </cell>
          <cell r="C5487" t="str">
            <v>M2</v>
          </cell>
          <cell r="D5487">
            <v>57.48</v>
          </cell>
        </row>
        <row r="5488">
          <cell r="A5488">
            <v>90902</v>
          </cell>
          <cell r="B5488" t="str">
            <v>CONTRAPISO ACÚSTICO EM ARGAMASSA TRAÇO 1:4 (CIMENTO E AREIA), PREPARO MANUAL, APLICADO EM ÁREAS SECAS MENORES QUE 15M2, ESPESSURA 5CM. AF_10/2014</v>
          </cell>
          <cell r="C5488" t="str">
            <v>M2</v>
          </cell>
          <cell r="D5488">
            <v>63.57</v>
          </cell>
        </row>
        <row r="5489">
          <cell r="A5489">
            <v>90903</v>
          </cell>
          <cell r="B5489" t="str">
            <v>CONTRAPISO ACÚSTICO EM ARGAMASSA PRONTA, PREPARO MECÂNICO COM MISTURADOR 300 KG, APLICADO EM ÁREAS SECAS MENORES QUE 15M2, ESPESSURA 5CM. AF_10/2014</v>
          </cell>
          <cell r="C5489" t="str">
            <v>M2</v>
          </cell>
          <cell r="D5489">
            <v>130.69</v>
          </cell>
        </row>
        <row r="5490">
          <cell r="A5490">
            <v>90904</v>
          </cell>
          <cell r="B5490" t="str">
            <v>CONTRAPISO ACÚSTICO EM ARGAMASSA PRONTA, PREPARO MANUAL, APLICADO EM ÁREAS SECAS MENORES QUE 15M2, ESPESSURA 5CM. AF_10/2014</v>
          </cell>
          <cell r="C5490" t="str">
            <v>M2</v>
          </cell>
          <cell r="D5490">
            <v>141.30000000000001</v>
          </cell>
        </row>
        <row r="5491">
          <cell r="A5491">
            <v>90910</v>
          </cell>
          <cell r="B5491" t="str">
            <v>CONTRAPISO ACÚSTICO EM ARGAMASSA TRAÇO 1:4 (CIMENTO E AREIA), PREPARO MECÂNICO COM BETONEIRA 400L, APLICADO EM ÁREAS SECAS MENORES QUE 15M2, ESPESSURA 6CM. AF_10/2014</v>
          </cell>
          <cell r="C5491" t="str">
            <v>M2</v>
          </cell>
          <cell r="D5491">
            <v>60.86</v>
          </cell>
        </row>
        <row r="5492">
          <cell r="A5492">
            <v>90912</v>
          </cell>
          <cell r="B5492" t="str">
            <v>CONTRAPISO ACÚSTICO EM ARGAMASSA TRAÇO 1:4 (CIMENTO E AREIA), PREPARO MANUAL, APLICADO EM ÁREAS SECAS MENORES QUE 15M2, ESPESSURA 6CM. AF_10/2014</v>
          </cell>
          <cell r="C5492" t="str">
            <v>M2</v>
          </cell>
          <cell r="D5492">
            <v>67.48</v>
          </cell>
        </row>
        <row r="5493">
          <cell r="A5493">
            <v>90913</v>
          </cell>
          <cell r="B5493" t="str">
            <v>CONTRAPISO ACÚSTICO EM ARGAMASSA PRONTA, PREPARO MECÂNICO COM MISTURADOR 300 KG, APLICADO EM ÁREAS SECAS MENORES QUE 15M2, ESPESSURA 6CM. AF_10/2014</v>
          </cell>
          <cell r="C5493" t="str">
            <v>M2</v>
          </cell>
          <cell r="D5493">
            <v>140.57</v>
          </cell>
        </row>
        <row r="5494">
          <cell r="A5494">
            <v>90914</v>
          </cell>
          <cell r="B5494" t="str">
            <v>CONTRAPISO ACÚSTICO EM ARGAMASSA PRONTA, PREPARO MANUAL, APLICADO EM ÁREAS SECAS MENORES QUE 15M2, ESPESSURA 6CM. AF_10/2014</v>
          </cell>
          <cell r="C5494" t="str">
            <v>M2</v>
          </cell>
          <cell r="D5494">
            <v>152.13</v>
          </cell>
        </row>
        <row r="5495">
          <cell r="A5495">
            <v>90920</v>
          </cell>
          <cell r="B5495" t="str">
            <v>CONTRAPISO ACÚSTICO EM ARGAMASSA TRAÇO 1:4 (CIMENTO E AREIA), PREPARO MECÂNICO COM BETONEIRA 400L, APLICADO EM ÁREAS SECAS MENORES QUE 15M2, ESPESSURA 7CM. AF_10/2014</v>
          </cell>
          <cell r="C5495" t="str">
            <v>M2</v>
          </cell>
          <cell r="D5495">
            <v>67.08</v>
          </cell>
        </row>
        <row r="5496">
          <cell r="A5496">
            <v>90922</v>
          </cell>
          <cell r="B5496" t="str">
            <v>CONTRAPISO ACÚSTICO EM ARGAMASSA TRAÇO 1:4 (CIMENTO E AREIA), PREPARO MANUAL, APLICADO EM ÁREAS SECAS MENORES QUE 15M2, ESPESSURA 7CM. AF_10/2014</v>
          </cell>
          <cell r="C5496" t="str">
            <v>M2</v>
          </cell>
          <cell r="D5496">
            <v>74.7</v>
          </cell>
        </row>
        <row r="5497">
          <cell r="A5497">
            <v>90923</v>
          </cell>
          <cell r="B5497" t="str">
            <v>CONTRAPISO ACÚSTICO EM ARGAMASSA PRONTA, PREPARO MECÂNICO COM MISTURADOR 300 KG, APLICADO EM ÁREAS SECAS MENORES QUE 15M2, ESPESSURA 7CM. AF_10/2014</v>
          </cell>
          <cell r="C5497" t="str">
            <v>M2</v>
          </cell>
          <cell r="D5497">
            <v>158.72999999999999</v>
          </cell>
        </row>
        <row r="5498">
          <cell r="A5498">
            <v>90924</v>
          </cell>
          <cell r="B5498" t="str">
            <v>CONTRAPISO ACÚSTICO EM ARGAMASSA PRONTA, PREPARO MANUAL, APLICADO EM ÁREAS SECAS MENORES QUE 15M2, ESPESSURA 7CM. AF_10/2014</v>
          </cell>
          <cell r="C5498" t="str">
            <v>M2</v>
          </cell>
          <cell r="D5498">
            <v>172.02</v>
          </cell>
        </row>
        <row r="5499">
          <cell r="A5499">
            <v>90930</v>
          </cell>
          <cell r="B5499" t="str">
            <v>CONTRAPISO ACÚSTICO EM ARGAMASSA TRAÇO 1:4 (CIMENTO E AREIA), PREPARO MECÂNICO COM BETONEIRA 400L, APLICADO EM ÁREAS SECAS MAIORES QUE 15M2, ESPESSURA 5CM. AF_10/2014</v>
          </cell>
          <cell r="C5499" t="str">
            <v>M2</v>
          </cell>
          <cell r="D5499">
            <v>52.2</v>
          </cell>
        </row>
        <row r="5500">
          <cell r="A5500">
            <v>90932</v>
          </cell>
          <cell r="B5500" t="str">
            <v>CONTRAPISO ACÚSTICO EM ARGAMASSA TRAÇO 1:4 (CIMENTO E AREIA), PREPARO MANUAL, APLICADO EM ÁREAS SECAS MAIORES QUE 15M2, ESPESSURA 5CM. AF_10/2014</v>
          </cell>
          <cell r="C5500" t="str">
            <v>M2</v>
          </cell>
          <cell r="D5500">
            <v>58.29</v>
          </cell>
        </row>
        <row r="5501">
          <cell r="A5501">
            <v>90933</v>
          </cell>
          <cell r="B5501" t="str">
            <v>CONTRAPISO ACÚSTICO EM ARGAMASSA PRONTA, PREPARO MECÂNICO COM MISTURADOR 300 KG, APLICADO EM ÁREAS SECAS MAIORES QUE 15M2, ESPESSURA 5CM. AF_10/2014</v>
          </cell>
          <cell r="C5501" t="str">
            <v>M2</v>
          </cell>
          <cell r="D5501">
            <v>125.41</v>
          </cell>
        </row>
        <row r="5502">
          <cell r="A5502">
            <v>90934</v>
          </cell>
          <cell r="B5502" t="str">
            <v>CONTRAPISO ACÚSTICO EM ARGAMASSA PRONTA, PREPARO MANUAL, APLICADO EM ÁREAS SECAS MAIORES QUE 15M2, ESPESSURA 5CM. AF_10/2014</v>
          </cell>
          <cell r="C5502" t="str">
            <v>M2</v>
          </cell>
          <cell r="D5502">
            <v>136.02000000000001</v>
          </cell>
        </row>
        <row r="5503">
          <cell r="A5503">
            <v>90940</v>
          </cell>
          <cell r="B5503" t="str">
            <v>CONTRAPISO ACÚSTICO EM ARGAMASSA TRAÇO 1:4 (CIMENTO E AREIA), PREPARO MECÂNICO COM BETONEIRA 400L, APLICADO EM ÁREAS SECAS MAIORES QUE 15M2, ESPESSURA 6CM. AF_10/2014</v>
          </cell>
          <cell r="C5503" t="str">
            <v>M2</v>
          </cell>
          <cell r="D5503">
            <v>55.6</v>
          </cell>
        </row>
        <row r="5504">
          <cell r="A5504">
            <v>90942</v>
          </cell>
          <cell r="B5504" t="str">
            <v>CONTRAPISO ACÚSTICO EM ARGAMASSA TRAÇO 1:4 (CIMENTO E AREIA), PREPARO MANUAL, APLICADO EM ÁREAS SECAS MAIORES QUE 15M2, ESPESSURA 6CM. AF_10/2014</v>
          </cell>
          <cell r="C5504" t="str">
            <v>M2</v>
          </cell>
          <cell r="D5504">
            <v>62.22</v>
          </cell>
        </row>
        <row r="5505">
          <cell r="A5505">
            <v>90943</v>
          </cell>
          <cell r="B5505" t="str">
            <v>CONTRAPISO ACÚSTICO EM ARGAMASSA PRONTA, PREPARO MECÂNICO COM MISTURADOR 300 KG, APLICADO EM ÁREAS SECAS MAIORES QUE 15M2, ESPESSURA 6CM. AF_10/2014</v>
          </cell>
          <cell r="C5505" t="str">
            <v>M2</v>
          </cell>
          <cell r="D5505">
            <v>135.31</v>
          </cell>
        </row>
        <row r="5506">
          <cell r="A5506">
            <v>90944</v>
          </cell>
          <cell r="B5506" t="str">
            <v>CONTRAPISO ACÚSTICO EM ARGAMASSA PRONTA, PREPARO MANUAL, APLICADO EM ÁREAS SECAS MAIORES QUE 15M2, ESPESSURA 6CM. AF_10/2014</v>
          </cell>
          <cell r="C5506" t="str">
            <v>M2</v>
          </cell>
          <cell r="D5506">
            <v>146.87</v>
          </cell>
        </row>
        <row r="5507">
          <cell r="A5507">
            <v>90950</v>
          </cell>
          <cell r="B5507" t="str">
            <v>CONTRAPISO ACÚSTICO EM ARGAMASSA TRAÇO 1:4 (CIMENTO E AREIA), PREPARO MECÂNICO COM BETONEIRA 400L, APLICADO EM ÁREAS SECAS MAIORES QUE 15M2, ESPESSURA 7CM. AF_10/2014</v>
          </cell>
          <cell r="C5507" t="str">
            <v>M2</v>
          </cell>
          <cell r="D5507">
            <v>61.79</v>
          </cell>
        </row>
        <row r="5508">
          <cell r="A5508">
            <v>90952</v>
          </cell>
          <cell r="B5508" t="str">
            <v>CONTRAPISO ACÚSTICO EM ARGAMASSA TRAÇO 1:4 (CIMENTO E AREIA), PREPARO MANUAL, APLICADO EM ÁREAS SECAS MAIORES QUE 15M2, ESPESSURA 7CM. AF_10/2014</v>
          </cell>
          <cell r="C5508" t="str">
            <v>M2</v>
          </cell>
          <cell r="D5508">
            <v>69.41</v>
          </cell>
        </row>
        <row r="5509">
          <cell r="A5509">
            <v>90953</v>
          </cell>
          <cell r="B5509" t="str">
            <v>CONTRAPISO ACÚSTICO EM ARGAMASSA PRONTA, PREPARO MECÂNICO COM MISTURADOR 300 KG, APLICADO EM ÁREAS SECAS MAIORES QUE 15M2, ESPESSURA 7CM. AF_10/2014</v>
          </cell>
          <cell r="C5509" t="str">
            <v>M2</v>
          </cell>
          <cell r="D5509">
            <v>153.44</v>
          </cell>
        </row>
        <row r="5510">
          <cell r="A5510">
            <v>90954</v>
          </cell>
          <cell r="B5510" t="str">
            <v>CONTRAPISO ACÚSTICO EM ARGAMASSA PRONTA, PREPARO MANUAL, APLICADO EM ÁREAS SECAS MAIORES QUE 15M2, ESPESSURA 7CM. AF_10/2014</v>
          </cell>
          <cell r="C5510" t="str">
            <v>M2</v>
          </cell>
          <cell r="D5510">
            <v>166.73</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v>32.270000000000003</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v>35.97</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v>31.29</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v>35.39</v>
          </cell>
        </row>
        <row r="5515">
          <cell r="A5515">
            <v>72190</v>
          </cell>
          <cell r="B5515" t="str">
            <v>RODAPE BORRACHA LISO, ALTURA = 7CM, ESPESSURA = 2 MM, PARA ARGAMASSA</v>
          </cell>
          <cell r="C5515" t="str">
            <v>M</v>
          </cell>
          <cell r="D5515">
            <v>33.68</v>
          </cell>
        </row>
        <row r="5516">
          <cell r="A5516">
            <v>87871</v>
          </cell>
          <cell r="B5516" t="str">
            <v>CHAPISCO APLICADO SOMENTE EM ESTRUTURAS DE CONCRETO EM ALVENARIAS INTERNAS, COM DESEMPENADEIRA DENTADA. ARGAMASSA INDUSTRIALIZADA COM PREPARO MANUAL. AF_06/2014</v>
          </cell>
          <cell r="C5516" t="str">
            <v>M2</v>
          </cell>
          <cell r="D5516">
            <v>12.24</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v>11.61</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v>3.96</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v>3.82</v>
          </cell>
        </row>
        <row r="5520">
          <cell r="A5520">
            <v>87876</v>
          </cell>
          <cell r="B5520" t="str">
            <v>CHAPISCO APLICADO EM ALVENARIAS E ESTRUTURAS DE CONCRETO INTERNAS, COM ROLO PARA TEXTURA ACRÍLICA.  ARGAMASSA INDUSTRIALIZADA COM PREPARO MANUAL. AF_06/2014</v>
          </cell>
          <cell r="C5520" t="str">
            <v>M2</v>
          </cell>
          <cell r="D5520">
            <v>7.64</v>
          </cell>
        </row>
        <row r="5521">
          <cell r="A5521">
            <v>87877</v>
          </cell>
          <cell r="B5521" t="str">
            <v>CHAPISCO APLICADO EM ALVENARIAS E ESTRUTURAS DE CONCRETO INTERNAS, COM ROLO PARA TEXTURA ACRÍLICA.  ARGAMASSA INDUSTRIALIZADA COM PREPARO EM MISTURADOR 300 KG. AF_06/2014</v>
          </cell>
          <cell r="C5521" t="str">
            <v>M2</v>
          </cell>
          <cell r="D5521">
            <v>7.33</v>
          </cell>
        </row>
        <row r="5522">
          <cell r="A5522">
            <v>87878</v>
          </cell>
          <cell r="B5522" t="str">
            <v>CHAPISCO APLICADO EM ALVENARIAS E ESTRUTURAS DE CONCRETO INTERNAS, COM COLHER DE PEDREIRO.  ARGAMASSA TRAÇO 1:3 COM PREPARO MANUAL. AF_06/2014</v>
          </cell>
          <cell r="C5522" t="str">
            <v>M2</v>
          </cell>
          <cell r="D5522">
            <v>3.35</v>
          </cell>
        </row>
        <row r="5523">
          <cell r="A5523">
            <v>87879</v>
          </cell>
          <cell r="B5523" t="str">
            <v>CHAPISCO APLICADO EM ALVENARIAS E ESTRUTURAS DE CONCRETO INTERNAS, COM COLHER DE PEDREIRO.  ARGAMASSA TRAÇO 1:3 COM PREPARO EM BETONEIRA 400L. AF_06/2014</v>
          </cell>
          <cell r="C5523" t="str">
            <v>M2</v>
          </cell>
          <cell r="D5523">
            <v>2.9</v>
          </cell>
        </row>
        <row r="5524">
          <cell r="A5524">
            <v>87881</v>
          </cell>
          <cell r="B5524" t="str">
            <v>CHAPISCO APLICADO NO TETO, COM ROLO PARA TEXTURA ACRÍLICA. ARGAMASSA TRAÇO 1:4 E EMULSÃO POLIMÉRICA (ADESIVO) COM PREPARO MANUAL. AF_06/2014</v>
          </cell>
          <cell r="C5524" t="str">
            <v>M2</v>
          </cell>
          <cell r="D5524">
            <v>3.88</v>
          </cell>
        </row>
        <row r="5525">
          <cell r="A5525">
            <v>87882</v>
          </cell>
          <cell r="B5525" t="str">
            <v>CHAPISCO APLICADO NO TETO, COM ROLO PARA TEXTURA ACRÍLICA. ARGAMASSA TRAÇO 1:4 E EMULSÃO POLIMÉRICA (ADESIVO) COM PREPARO EM BETONEIRA 400L. AF_06/2014</v>
          </cell>
          <cell r="C5525" t="str">
            <v>M2</v>
          </cell>
          <cell r="D5525">
            <v>3.74</v>
          </cell>
        </row>
        <row r="5526">
          <cell r="A5526">
            <v>87884</v>
          </cell>
          <cell r="B5526" t="str">
            <v>CHAPISCO APLICADO NO TETO, COM ROLO PARA TEXTURA ACRÍLICA. ARGAMASSA INDUSTRIALIZADA COM PREPARO MANUAL. AF_06/2014</v>
          </cell>
          <cell r="C5526" t="str">
            <v>M2</v>
          </cell>
          <cell r="D5526">
            <v>7.56</v>
          </cell>
        </row>
        <row r="5527">
          <cell r="A5527">
            <v>87885</v>
          </cell>
          <cell r="B5527" t="str">
            <v>CHAPISCO APLICADO NO TETO, COM ROLO PARA TEXTURA ACRÍLICA. ARGAMASSA INDUSTRIALIZADA COM PREPARO EM MISTURADOR 300 KG. AF_06/2014</v>
          </cell>
          <cell r="C5527" t="str">
            <v>M2</v>
          </cell>
          <cell r="D5527">
            <v>7.25</v>
          </cell>
        </row>
        <row r="5528">
          <cell r="A5528">
            <v>87886</v>
          </cell>
          <cell r="B5528" t="str">
            <v>CHAPISCO APLICADO NO TETO, COM DESEMPENADEIRA DENTADA. ARGAMASSA INDUSTRIALIZADA COM PREPARO MANUAL. AF_06/2014</v>
          </cell>
          <cell r="C5528" t="str">
            <v>M2</v>
          </cell>
          <cell r="D5528">
            <v>17.440000000000001</v>
          </cell>
        </row>
        <row r="5529">
          <cell r="A5529">
            <v>87887</v>
          </cell>
          <cell r="B5529" t="str">
            <v>CHAPISCO APLICADO NO TETO, COM DESEMPENADEIRA DENTADA. ARGAMASSA INDUSTRIALIZADA COM PREPARO EM MISTURADOR 300 KG. AF_06/2014</v>
          </cell>
          <cell r="C5529" t="str">
            <v>M2</v>
          </cell>
          <cell r="D5529">
            <v>16.809999999999999</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v>5.08</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v>4.9400000000000004</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v>8.76</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v>8.4499999999999993</v>
          </cell>
        </row>
        <row r="5534">
          <cell r="A5534">
            <v>87893</v>
          </cell>
          <cell r="B5534" t="str">
            <v>CHAPISCO APLICADO EM ALVENARIA (SEM PRESENÇA DE VÃOS) E ESTRUTURAS DE CONCRETO DE FACHADA, COM COLHER DE PEDREIRO.  ARGAMASSA TRAÇO 1:3 COM PREPARO MANUAL. AF_06/2014</v>
          </cell>
          <cell r="C5534" t="str">
            <v>M2</v>
          </cell>
          <cell r="D5534">
            <v>5.29</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v>4.84</v>
          </cell>
        </row>
        <row r="5536">
          <cell r="A5536">
            <v>87896</v>
          </cell>
          <cell r="B5536" t="str">
            <v>CHAPISCO APLICADO EM ALVENARIA (SEM PRESENÇA DE VÃOS) E ESTRUTURAS DE CONCRETO DE FACHADA, COM EQUIPAMENTO DE PROJEÇÃO.  ARGAMASSA TRAÇO 1:3 COM PREPARO MANUAL. AF_06/2014</v>
          </cell>
          <cell r="C5536" t="str">
            <v>M2</v>
          </cell>
          <cell r="D5536">
            <v>4.8099999999999996</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v>4.3600000000000003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v>6.05</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v>5.91</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v>9.73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v>9.42</v>
          </cell>
        </row>
        <row r="5542">
          <cell r="A5542">
            <v>87904</v>
          </cell>
          <cell r="B5542" t="str">
            <v>CHAPISCO APLICADO EM ALVENARIA (COM PRESENÇA DE VÃOS) E ESTRUTURAS DE CONCRETO DE FACHADA, COM COLHER DE PEDREIRO.  ARGAMASSA TRAÇO 1:3 COM PREPARO MANUAL. AF_06/2014</v>
          </cell>
          <cell r="C5542" t="str">
            <v>M2</v>
          </cell>
          <cell r="D5542">
            <v>6.92</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v>6.47</v>
          </cell>
        </row>
        <row r="5544">
          <cell r="A5544">
            <v>87907</v>
          </cell>
          <cell r="B5544" t="str">
            <v>CHAPISCO APLICADO EM ALVENARIA (COM PRESENÇA DE VÃOS) E ESTRUTURAS DE CONCRETO DE FACHADA, COM EQUIPAMENTO DE PROJEÇÃO.  ARGAMASSA TRAÇO 1:3 COM PREPARO MANUAL. AF_06/2014</v>
          </cell>
          <cell r="C5544" t="str">
            <v>M2</v>
          </cell>
          <cell r="D5544">
            <v>6.23</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v>5.78</v>
          </cell>
        </row>
        <row r="5546">
          <cell r="A5546">
            <v>87910</v>
          </cell>
          <cell r="B5546" t="str">
            <v>CHAPISCO APLICADO SOMENTE NA ESTRUTURA DE CONCRETO DA FACHADA, COM DESEMPENADEIRA DENTADA. ARGAMASSA INDUSTRIALIZADA COM PREPARO MANUAL. AF_06/2014</v>
          </cell>
          <cell r="C5546" t="str">
            <v>M2</v>
          </cell>
          <cell r="D5546">
            <v>17.329999999999998</v>
          </cell>
        </row>
        <row r="5547">
          <cell r="A5547">
            <v>87911</v>
          </cell>
          <cell r="B5547" t="str">
            <v>CHAPISCO APLICADO SOMENTE NA ESTRUTURA DE CONCRETO DA FACHADA, COM DESEMPENADEIRA DENTADA. ARGAMASSA INDUSTRIALIZADA COM PREPARO EM MISTURADOR 300 KG. AF_06/2014</v>
          </cell>
          <cell r="C5547" t="str">
            <v>M2</v>
          </cell>
          <cell r="D5547">
            <v>16.7</v>
          </cell>
        </row>
        <row r="5548">
          <cell r="A5548">
            <v>87411</v>
          </cell>
          <cell r="B5548" t="str">
            <v>APLICAÇÃO MANUAL DE GESSO DESEMPENADO (SEM TALISCAS) EM TETO DE AMBIENTES DE ÁREA MAIOR QUE 10M², ESPESSURA DE 0,5CM. AF_06/2014</v>
          </cell>
          <cell r="C5548" t="str">
            <v>M2</v>
          </cell>
          <cell r="D5548">
            <v>12.45</v>
          </cell>
        </row>
        <row r="5549">
          <cell r="A5549">
            <v>87412</v>
          </cell>
          <cell r="B5549" t="str">
            <v>APLICAÇÃO MANUAL DE GESSO DESEMPENADO (SEM TALISCAS) EM TETO DE AMBIENTES DE ÁREA ENTRE 5M² E 10M², ESPESSURA DE 0,5CM. AF_06/2014</v>
          </cell>
          <cell r="C5549" t="str">
            <v>M2</v>
          </cell>
          <cell r="D5549">
            <v>17.78</v>
          </cell>
        </row>
        <row r="5550">
          <cell r="A5550">
            <v>87413</v>
          </cell>
          <cell r="B5550" t="str">
            <v>APLICAÇÃO MANUAL DE GESSO DESEMPENADO (SEM TALISCAS) EM TETO DE AMBIENTES DE ÁREA MENOR QUE 5M², ESPESSURA DE 0,5CM. AF_06/2014</v>
          </cell>
          <cell r="C5550" t="str">
            <v>M2</v>
          </cell>
          <cell r="D5550">
            <v>20.81</v>
          </cell>
        </row>
        <row r="5551">
          <cell r="A5551">
            <v>87414</v>
          </cell>
          <cell r="B5551" t="str">
            <v>APLICAÇÃO MANUAL DE GESSO DESEMPENADO (SEM TALISCAS) EM TETO DE AMBIENTES DE ÁREA MAIOR QUE 10M², ESPESSURA DE 1,0CM. AF_06/2014</v>
          </cell>
          <cell r="C5551" t="str">
            <v>M2</v>
          </cell>
          <cell r="D5551">
            <v>18.489999999999998</v>
          </cell>
        </row>
        <row r="5552">
          <cell r="A5552">
            <v>87415</v>
          </cell>
          <cell r="B5552" t="str">
            <v>APLICAÇÃO MANUAL DE GESSO DESEMPENADO (SEM TALISCAS) EM TETO DE AMBIENTES DE ÁREA ENTRE 5M² E 10M², ESPESSURA DE 1,0CM. AF_06/2014</v>
          </cell>
          <cell r="C5552" t="str">
            <v>M2</v>
          </cell>
          <cell r="D5552">
            <v>23.65</v>
          </cell>
        </row>
        <row r="5553">
          <cell r="A5553">
            <v>87416</v>
          </cell>
          <cell r="B5553" t="str">
            <v>APLICAÇÃO MANUAL DE GESSO DESEMPENADO (SEM TALISCAS) EM TETO DE AMBIENTES DE ÁREA MENOR QUE 5M², ESPESSURA DE 1,0CM. AF_06/2014</v>
          </cell>
          <cell r="C5553" t="str">
            <v>M2</v>
          </cell>
          <cell r="D5553">
            <v>26.89</v>
          </cell>
        </row>
        <row r="5554">
          <cell r="A5554">
            <v>87417</v>
          </cell>
          <cell r="B5554" t="str">
            <v>APLICAÇÃO MANUAL DE GESSO DESEMPENADO (SEM TALISCAS) EM PAREDES DE AMBIENTES DE ÁREA MAIOR QUE 10M², ESPESSURA DE 0,5CM. AF_06/2014</v>
          </cell>
          <cell r="C5554" t="str">
            <v>M2</v>
          </cell>
          <cell r="D5554">
            <v>13.2</v>
          </cell>
        </row>
        <row r="5555">
          <cell r="A5555">
            <v>87418</v>
          </cell>
          <cell r="B5555" t="str">
            <v>APLICAÇÃO MANUAL DE GESSO DESEMPENADO (SEM TALISCAS) EM PAREDES DE AMBIENTES DE ÁREA ENTRE 5M² E 10M², ESPESSURA DE 0,5CM. AF_06/2014</v>
          </cell>
          <cell r="C5555" t="str">
            <v>M2</v>
          </cell>
          <cell r="D5555">
            <v>13.59</v>
          </cell>
        </row>
        <row r="5556">
          <cell r="A5556">
            <v>87419</v>
          </cell>
          <cell r="B5556" t="str">
            <v>APLICAÇÃO MANUAL DE GESSO DESEMPENADO (SEM TALISCAS) EM PAREDES DE AMBIENTES DE ÁREA MENOR QUE 5M², ESPESSURA DE 0,5CM. AF_06/2014</v>
          </cell>
          <cell r="C5556" t="str">
            <v>M2</v>
          </cell>
          <cell r="D5556">
            <v>14.74</v>
          </cell>
        </row>
        <row r="5557">
          <cell r="A5557">
            <v>87420</v>
          </cell>
          <cell r="B5557" t="str">
            <v>APLICAÇÃO MANUAL DE GESSO DESEMPENADO (SEM TALISCAS) EM PAREDES DE AMBIENTES DE ÁREA MAIOR QUE 10M², ESPESSURA DE 1,0CM. AF_06/2014</v>
          </cell>
          <cell r="C5557" t="str">
            <v>M2</v>
          </cell>
          <cell r="D5557">
            <v>19.829999999999998</v>
          </cell>
        </row>
        <row r="5558">
          <cell r="A5558">
            <v>87421</v>
          </cell>
          <cell r="B5558" t="str">
            <v>APLICAÇÃO MANUAL DE GESSO DESEMPENADO (SEM TALISCAS) EM PAREDES DE AMBIENTES DE ÁREA ENTRE 5M² E 10M², ESPESSURA DE 1,0CM. AF_06/2014</v>
          </cell>
          <cell r="C5558" t="str">
            <v>M2</v>
          </cell>
          <cell r="D5558">
            <v>20.22</v>
          </cell>
        </row>
        <row r="5559">
          <cell r="A5559">
            <v>87422</v>
          </cell>
          <cell r="B5559" t="str">
            <v>APLICAÇÃO MANUAL DE GESSO DESEMPENADO (SEM TALISCAS) EM PAREDES DE AMBIENTES DE ÁREA MENOR QUE 5M², ESPESSURA DE 1,0CM. AF_06/2014</v>
          </cell>
          <cell r="C5559" t="str">
            <v>M2</v>
          </cell>
          <cell r="D5559">
            <v>21.37</v>
          </cell>
        </row>
        <row r="5560">
          <cell r="A5560">
            <v>87423</v>
          </cell>
          <cell r="B5560" t="str">
            <v>APLICAÇÃO MANUAL DE GESSO SARRAFEADO (COM TALISCAS) EM PAREDES DE AMBIENTES DE ÁREA MAIOR QUE 10M², ESPESSURA DE 1,0CM. AF_06/2014</v>
          </cell>
          <cell r="C5560" t="str">
            <v>M2</v>
          </cell>
          <cell r="D5560">
            <v>26.3</v>
          </cell>
        </row>
        <row r="5561">
          <cell r="A5561">
            <v>87424</v>
          </cell>
          <cell r="B5561" t="str">
            <v>APLICAÇÃO MANUAL DE GESSO SARRAFEADO (COM TALISCAS) EM PAREDES DE AMBIENTES DE ÁREA ENTRE 5M² E 10M², ESPESSURA DE 1,0CM. AF_06/2014</v>
          </cell>
          <cell r="C5561" t="str">
            <v>M2</v>
          </cell>
          <cell r="D5561">
            <v>26.89</v>
          </cell>
        </row>
        <row r="5562">
          <cell r="A5562">
            <v>87425</v>
          </cell>
          <cell r="B5562" t="str">
            <v>APLICAÇÃO MANUAL DE GESSO SARRAFEADO (COM TALISCAS) EM PAREDES DE AMBIENTES DE ÁREA MENOR QUE 5M², ESPESSURA DE 1,0CM. AF_06/2014</v>
          </cell>
          <cell r="C5562" t="str">
            <v>M2</v>
          </cell>
          <cell r="D5562">
            <v>27.84</v>
          </cell>
        </row>
        <row r="5563">
          <cell r="A5563">
            <v>87426</v>
          </cell>
          <cell r="B5563" t="str">
            <v>APLICAÇÃO MANUAL DE GESSO SARRAFEADO (COM TALISCAS) EM PAREDES DE AMBIENTES DE ÁREA MAIOR QUE 10M², ESPESSURA DE 1,5CM. AF_06/2014</v>
          </cell>
          <cell r="C5563" t="str">
            <v>M2</v>
          </cell>
          <cell r="D5563">
            <v>30.91</v>
          </cell>
        </row>
        <row r="5564">
          <cell r="A5564">
            <v>87427</v>
          </cell>
          <cell r="B5564" t="str">
            <v>APLICAÇÃO MANUAL DE GESSO SARRAFEADO (COM TALISCAS) EM PAREDES DE AMBIENTES DE ÁREA ENTRE 5M² E 10M², ESPESSURA DE 1,5CM. AF_06/2014</v>
          </cell>
          <cell r="C5564" t="str">
            <v>M2</v>
          </cell>
          <cell r="D5564">
            <v>31.5</v>
          </cell>
        </row>
        <row r="5565">
          <cell r="A5565">
            <v>87428</v>
          </cell>
          <cell r="B5565" t="str">
            <v>APLICAÇÃO MANUAL DE GESSO SARRAFEADO (COM TALISCAS) EM PAREDES DE AMBIENTES DE ÁREA MENOR QUE 5M², ESPESSURA DE 1,5CM. AF_06/2014</v>
          </cell>
          <cell r="C5565" t="str">
            <v>M2</v>
          </cell>
          <cell r="D5565">
            <v>32.450000000000003</v>
          </cell>
        </row>
        <row r="5566">
          <cell r="A5566">
            <v>87429</v>
          </cell>
          <cell r="B5566" t="str">
            <v>APLICAÇÃO DE GESSO PROJETADO COM EQUIPAMENTO DE PROJEÇÃO EM PAREDES DE AMBIENTES DE ÁREA MAIOR QUE 10M², DESEMPENADO (SEM TALISCAS), ESPESSURA DE 0,5CM. AF_06/2014</v>
          </cell>
          <cell r="C5566" t="str">
            <v>M2</v>
          </cell>
          <cell r="D5566">
            <v>14.77</v>
          </cell>
        </row>
        <row r="5567">
          <cell r="A5567">
            <v>87430</v>
          </cell>
          <cell r="B5567" t="str">
            <v>APLICAÇÃO DE GESSO PROJETADO COM EQUIPAMENTO DE PROJEÇÃO EM PAREDES DE AMBIENTES DE ÁREA ENTRE 5M² E 10M², DESEMPENADO (SEM TALISCAS), ESPESSURA DE 0,5CM. AF_06/2014</v>
          </cell>
          <cell r="C5567" t="str">
            <v>M2</v>
          </cell>
          <cell r="D5567">
            <v>15.16</v>
          </cell>
        </row>
        <row r="5568">
          <cell r="A5568">
            <v>87431</v>
          </cell>
          <cell r="B5568" t="str">
            <v>APLICAÇÃO DE GESSO PROJETADO COM EQUIPAMENTO DE PROJEÇÃO EM PAREDES DE AMBIENTES DE ÁREA MENOR QUE 5M², DESEMPENADO (SEM TALISCAS), ESPESSURA DE 0,5CM. AF_06/2014</v>
          </cell>
          <cell r="C5568" t="str">
            <v>M2</v>
          </cell>
          <cell r="D5568">
            <v>15.36</v>
          </cell>
        </row>
        <row r="5569">
          <cell r="A5569">
            <v>87432</v>
          </cell>
          <cell r="B5569" t="str">
            <v>APLICAÇÃO DE GESSO PROJETADO COM EQUIPAMENTO DE PROJEÇÃO EM PAREDES DE AMBIENTES DE ÁREA MAIOR QUE 10M², DESEMPENADO (SEM TALISCAS), ESPESSURA DE 1,0CM. AF_06/2014</v>
          </cell>
          <cell r="C5569" t="str">
            <v>M2</v>
          </cell>
          <cell r="D5569">
            <v>21.26</v>
          </cell>
        </row>
        <row r="5570">
          <cell r="A5570">
            <v>87433</v>
          </cell>
          <cell r="B5570" t="str">
            <v>APLICAÇÃO DE GESSO PROJETADO COM EQUIPAMENTO DE PROJEÇÃO EM PAREDES DE AMBIENTES DE ÁREA ENTRE 5M² E 10M², DESEMPENADO (SEM TALISCAS), ESPESSURA DE 1,0CM. AF_06/2014</v>
          </cell>
          <cell r="C5570" t="str">
            <v>M2</v>
          </cell>
          <cell r="D5570">
            <v>22.05</v>
          </cell>
        </row>
        <row r="5571">
          <cell r="A5571">
            <v>87434</v>
          </cell>
          <cell r="B5571" t="str">
            <v>APLICAÇÃO DE GESSO PROJETADO COM EQUIPAMENTO DE PROJEÇÃO EM PAREDES DE AMBIENTES DE ÁREA MENOR QUE 5M², DESEMPENADO (SEM TALISCAS), ESPESSURA DE 1,0CM. AF_06/2014</v>
          </cell>
          <cell r="C5571" t="str">
            <v>M2</v>
          </cell>
          <cell r="D5571">
            <v>22.6</v>
          </cell>
        </row>
        <row r="5572">
          <cell r="A5572">
            <v>87435</v>
          </cell>
          <cell r="B5572" t="str">
            <v>APLICAÇÃO DE GESSO PROJETADO COM EQUIPAMENTO DE PROJEÇÃO EM PAREDES DE AMBIENTES DE ÁREA MAIOR QUE 10M², SARRAFEADO (COM TALISCAS), ESPESSURA DE 1,0CM. AF_06/2014</v>
          </cell>
          <cell r="C5572" t="str">
            <v>M2</v>
          </cell>
          <cell r="D5572">
            <v>23.75</v>
          </cell>
        </row>
        <row r="5573">
          <cell r="A5573">
            <v>87436</v>
          </cell>
          <cell r="B5573" t="str">
            <v>APLICAÇÃO DE GESSO PROJETADO COM EQUIPAMENTO DE PROJEÇÃO EM PAREDES DE AMBIENTES DE ÁREA ENTRE 5M² E 10M², SARRAFEADO (COM TALISCAS), ESPESSURA DE 1,0CM. AF_06/2014</v>
          </cell>
          <cell r="C5573" t="str">
            <v>M2</v>
          </cell>
          <cell r="D5573">
            <v>25.09</v>
          </cell>
        </row>
        <row r="5574">
          <cell r="A5574">
            <v>87437</v>
          </cell>
          <cell r="B5574" t="str">
            <v>APLICAÇÃO DE GESSO PROJETADO COM EQUIPAMENTO DE PROJEÇÃO EM PAREDES DE AMBIENTES DE ÁREA MENOR QUE 5M², SARRAFEADO (COM TALISCAS), ESPESSURA DE 1,0CM. AF_06/2014</v>
          </cell>
          <cell r="C5574" t="str">
            <v>M2</v>
          </cell>
          <cell r="D5574">
            <v>26.03</v>
          </cell>
        </row>
        <row r="5575">
          <cell r="A5575">
            <v>87438</v>
          </cell>
          <cell r="B5575" t="str">
            <v>APLICAÇÃO DE GESSO PROJETADO COM EQUIPAMENTO DE PROJEÇÃO EM PAREDES DE AMBIENTES DE ÁREA MAIOR QUE 10M², SARRAFEADO (COM TALISCAS), ESPESSURA DE 1,5CM. AF_06/2014</v>
          </cell>
          <cell r="C5575" t="str">
            <v>M2</v>
          </cell>
          <cell r="D5575">
            <v>29.28</v>
          </cell>
        </row>
        <row r="5576">
          <cell r="A5576">
            <v>87439</v>
          </cell>
          <cell r="B5576" t="str">
            <v>APLICAÇÃO DE GESSO PROJETADO COM EQUIPAMENTO DE PROJEÇÃO EM PAREDES DE AMBIENTES DE ÁREA ENTRE 5M² E 10M², SARRAFEADO (COM TALISCAS), ESPESSURA DE 1,5CM. AF_06/2014</v>
          </cell>
          <cell r="C5576" t="str">
            <v>M2</v>
          </cell>
          <cell r="D5576">
            <v>30.97</v>
          </cell>
        </row>
        <row r="5577">
          <cell r="A5577">
            <v>87440</v>
          </cell>
          <cell r="B5577" t="str">
            <v>APLICAÇÃO DE GESSO PROJETADO COM EQUIPAMENTO DE PROJEÇÃO EM PAREDES DE AMBIENTES DE ÁREA MENOR QUE 5M², SARRAFEADO (COM TALISCAS), ESPESSURA DE 1,5CM. AF_06/2014</v>
          </cell>
          <cell r="C5577" t="str">
            <v>M2</v>
          </cell>
          <cell r="D5577">
            <v>31.75</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v>27.92</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v>31.87</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v>25.12</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v>29.07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v>24.11</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v>28.06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v>21.29</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v>25.24</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v>64.47</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v>62.07</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v>61.21</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v>58.81</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v>20.190000000000001</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v>19.170000000000002</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v>21.41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v>16.37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v>18.61</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v>15.36</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v>17.600000000000001</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v>12.54</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v>14.78</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v>39</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v>36.619999999999997</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v>35.74</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v>33.33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v>35.950000000000003</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v>40.67</v>
          </cell>
        </row>
        <row r="5605">
          <cell r="A5605">
            <v>87777</v>
          </cell>
          <cell r="B5605" t="str">
            <v>EMBOÇO OU MASSA ÚNICA EM ARGAMASSA TRAÇO 1:2:8, PREPARO MANUAL, APLICADA MANUALMENTE EM PANOS DE FACHADA COM PRESENÇA DE VÃOS, ESPESSURA DE 25 MM. AF_06/2014</v>
          </cell>
          <cell r="C5605" t="str">
            <v>M2</v>
          </cell>
          <cell r="D5605">
            <v>43.97</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v>69.13</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v>47.26</v>
          </cell>
        </row>
        <row r="5608">
          <cell r="A5608">
            <v>87781</v>
          </cell>
          <cell r="B5608" t="str">
            <v>EMBOÇO OU MASSA ÚNICA EM ARGAMASSA TRAÇO 1:2:8, PREPARO MANUAL, APLICADA MANUALMENTE EM PANOS DE FACHADA COM PRESENÇA DE VÃOS, ESPESSURA DE 35 MM. AF_06/2014</v>
          </cell>
          <cell r="C5608" t="str">
            <v>M2</v>
          </cell>
          <cell r="D5608">
            <v>51.68</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v>86.99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v>53.84</v>
          </cell>
        </row>
        <row r="5611">
          <cell r="A5611">
            <v>87786</v>
          </cell>
          <cell r="B5611" t="str">
            <v>EMBOÇO OU MASSA ÚNICA EM ARGAMASSA TRAÇO 1:2:8, PREPARO MANUAL, APLICADA MANUALMENTE EM PANOS DE FACHADA COM PRESENÇA DE VÃOS, ESPESSURA DE 45 MM. AF_06/2014</v>
          </cell>
          <cell r="C5611" t="str">
            <v>M2</v>
          </cell>
          <cell r="D5611">
            <v>59.4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v>104.84</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v>69.62</v>
          </cell>
        </row>
        <row r="5614">
          <cell r="A5614">
            <v>87790</v>
          </cell>
          <cell r="B5614" t="str">
            <v>EMBOÇO OU MASSA ÚNICA EM ARGAMASSA TRAÇO 1:2:8, PREPARO MANUAL, APLICADA MANUALMENTE EM PANOS DE FACHADA COM PRESENÇA DE VÃOS, ESPESSURA MAIOR OU IGUAL A 50 MM. AF_06/2014</v>
          </cell>
          <cell r="C5614" t="str">
            <v>M2</v>
          </cell>
          <cell r="D5614">
            <v>75.73</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v>122.99</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v>26.63</v>
          </cell>
        </row>
        <row r="5617">
          <cell r="A5617">
            <v>87794</v>
          </cell>
          <cell r="B5617" t="str">
            <v>EMBOÇO OU MASSA ÚNICA EM ARGAMASSA TRAÇO 1:2:8, PREPARO MANUAL, APLICADA MANUALMENTE EM PANOS CEGOS DE FACHADA (SEM PRESENÇA DE VÃOS), ESPESSURA DE 25 MM. AF_06/2014</v>
          </cell>
          <cell r="C5617" t="str">
            <v>M2</v>
          </cell>
          <cell r="D5617">
            <v>29.71</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v>52.86</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v>32.96</v>
          </cell>
        </row>
        <row r="5620">
          <cell r="A5620">
            <v>87799</v>
          </cell>
          <cell r="B5620" t="str">
            <v>EMBOÇO OU MASSA ÚNICA EM ARGAMASSA TRAÇO 1:2:8, PREPARO MANUAL, APLICADA MANUALMENTE EM PANOS CEGOS DE FACHADA (SEM PRESENÇA DE VÃOS), ESPESSURA DE 35 MM. AF_06/2014</v>
          </cell>
          <cell r="C5620" t="str">
            <v>M2</v>
          </cell>
          <cell r="D5620">
            <v>37.090000000000003</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v>69.739999999999995</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v>39.31</v>
          </cell>
        </row>
        <row r="5623">
          <cell r="A5623">
            <v>87803</v>
          </cell>
          <cell r="B5623" t="str">
            <v>EMBOÇO OU MASSA ÚNICA EM ARGAMASSA TRAÇO 1:2:8, PREPARO MANUAL, APLICADA MANUALMENTE EM PANOS CEGOS DE FACHADA (SEM PRESENÇA DE VÃOS), ESPESSURA DE 45 MM. AF_06/2014</v>
          </cell>
          <cell r="C5623" t="str">
            <v>M2</v>
          </cell>
          <cell r="D5623">
            <v>44.49</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v>86.62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v>45.34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v>51.05</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v>94.71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v>65.56</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v>68.64</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v>91.44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v>71.900000000000006</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v>76.03</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v>108.31</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v>77.88</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v>83.06</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v>125.19</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v>112.85</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v>118.56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v>161.86000000000001</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v>51.43</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v>55.2</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v>84.62</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v>58.53</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v>63.58</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v>104.58</v>
          </cell>
        </row>
        <row r="5646">
          <cell r="A5646">
            <v>87834</v>
          </cell>
          <cell r="B5646" t="str">
            <v>REVESTIMENTO DECORATIVO MONOCAMADA APLICADO MANUALMENTE EM PANOS CEGOS DA FACHADA DE UM EDIFÍCIO DE ESTRUTURA CONVENCIONAL, COM ACABAMENTO RASPADO. AF_06/2014</v>
          </cell>
          <cell r="C5646" t="str">
            <v>M2</v>
          </cell>
          <cell r="D5646">
            <v>158.30000000000001</v>
          </cell>
        </row>
        <row r="5647">
          <cell r="A5647">
            <v>87835</v>
          </cell>
          <cell r="B5647" t="str">
            <v>REVESTIMENTO DECORATIVO MONOCAMADA APLICADO MANUALMENTE EM PANOS CEGOS DA FACHADA DE UM EDIFÍCIO DE ALVENARIA ESTRUTURAL, COM ACABAMENTO RASPADO. AF_06/2014</v>
          </cell>
          <cell r="C5647" t="str">
            <v>M2</v>
          </cell>
          <cell r="D5647">
            <v>108.52</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v>151.83000000000001</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v>102.87</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v>164.92</v>
          </cell>
        </row>
        <row r="5651">
          <cell r="A5651">
            <v>87839</v>
          </cell>
          <cell r="B5651" t="str">
            <v>REVESTIMENTO DECORATIVO MONOCAMADA APLICADO MANUALMENTE EM PANOS DA FACHADA COM PRESENÇA DE VÃOS, DE UM EDIFÍCIO DE ALVENARIA ESTRUTURAL E ACABAMENTO RASPADO. AF_06/2014</v>
          </cell>
          <cell r="C5651" t="str">
            <v>M2</v>
          </cell>
          <cell r="D5651">
            <v>113.04</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v>156.99</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v>105.9</v>
          </cell>
        </row>
        <row r="5654">
          <cell r="A5654">
            <v>87842</v>
          </cell>
          <cell r="B5654" t="str">
            <v>REVESTIMENTO DECORATIVO MONOCAMADA APLICADO MANUALMENTE EM SUPERFÍCIES EXTERNAS DA SACADA DE UM EDIFÍCIO DE ESTRUTURA CONVENCIONAL E ACABAMENTO RASPADO. AF_06/2014</v>
          </cell>
          <cell r="C5654" t="str">
            <v>M2</v>
          </cell>
          <cell r="D5654">
            <v>163.05000000000001</v>
          </cell>
        </row>
        <row r="5655">
          <cell r="A5655">
            <v>87843</v>
          </cell>
          <cell r="B5655" t="str">
            <v>REVESTIMENTO DECORATIVO MONOCAMADA APLICADO MANUALMENTE EM SUPERFÍCIES EXTERNAS DA SACADA DE UM EDIFÍCIO DE ALVENARIA ESTRUTURAL E ACABAMENTO RASPADO. AF_06/2014</v>
          </cell>
          <cell r="C5655" t="str">
            <v>M2</v>
          </cell>
          <cell r="D5655">
            <v>120.02</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v>151.25</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v>109.05</v>
          </cell>
        </row>
        <row r="5658">
          <cell r="A5658">
            <v>87846</v>
          </cell>
          <cell r="B5658" t="str">
            <v>REVESTIMENTO DECORATIVO MONOCAMADA APLICADO MANUALMENTE EM PANOS CEGOS DA FACHADA DE UM EDIFÍCIO DE ESTRUTURA CONVENCIONAL, COM ACABAMENTO TRAVERTINO. AF_06/2014</v>
          </cell>
          <cell r="C5658" t="str">
            <v>M2</v>
          </cell>
          <cell r="D5658">
            <v>171.28</v>
          </cell>
        </row>
        <row r="5659">
          <cell r="A5659">
            <v>87847</v>
          </cell>
          <cell r="B5659" t="str">
            <v>REVESTIMENTO DECORATIVO MONOCAMADA APLICADO MANUALMENTE EM PANOS CEGOS DA FACHADA DE UM EDIFÍCIO DE ALVENARIA ESTRUTURAL, COM ACABAMENTO TRAVERTINO. AF_06/2014</v>
          </cell>
          <cell r="C5659" t="str">
            <v>M2</v>
          </cell>
          <cell r="D5659">
            <v>121.49</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v>163.72999999999999</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v>114.76</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v>177.92</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v>126.02</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v>168.86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v>117.78</v>
          </cell>
        </row>
        <row r="5666">
          <cell r="A5666">
            <v>87854</v>
          </cell>
          <cell r="B5666" t="str">
            <v>REVESTIMENTO DECORATIVO MONOCAMADA APLICADO MANUALMENTE EM SUPERFÍCIES EXTERNAS DA SACADA DE UM EDIFÍCIO DE ESTRUTURA CONVENCIONAL E ACABAMENTO TRAVERTINO. AF_06/2014</v>
          </cell>
          <cell r="C5666" t="str">
            <v>M2</v>
          </cell>
          <cell r="D5666">
            <v>176.03</v>
          </cell>
        </row>
        <row r="5667">
          <cell r="A5667">
            <v>87855</v>
          </cell>
          <cell r="B5667" t="str">
            <v>REVESTIMENTO DECORATIVO MONOCAMADA APLICADO MANUALMENTE EM SUPERFÍCIES EXTERNAS DA SACADA DE UM EDIFÍCIO DE ALVENARIA ESTRUTURAL E ACABAMENTO TRAVERTINO. AF_06/2014</v>
          </cell>
          <cell r="C5667" t="str">
            <v>M2</v>
          </cell>
          <cell r="D5667">
            <v>133</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v>163.13999999999999</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v>120.93</v>
          </cell>
        </row>
        <row r="5670">
          <cell r="A5670">
            <v>87858</v>
          </cell>
          <cell r="B5670" t="str">
            <v>REVESTIMENTO DECORATIVO MONOCAMADA APLICADO MANUALMENTE NAS PAREDES INTERNAS DA SACADA COM ACABAMENTO RASPADO. AF_06/2014</v>
          </cell>
          <cell r="C5670" t="str">
            <v>M2</v>
          </cell>
          <cell r="D5670">
            <v>116.11</v>
          </cell>
        </row>
        <row r="5671">
          <cell r="A5671">
            <v>87859</v>
          </cell>
          <cell r="B5671" t="str">
            <v>REVESTIMENTO DECORATIVO MONOCAMADA APLICADO MANUALMENTE NAS PAREDES INTERNAS DA SACADA COM ACABAMENTO TRAVERTINO. AF_06/2014</v>
          </cell>
          <cell r="C5671" t="str">
            <v>M2</v>
          </cell>
          <cell r="D5671">
            <v>133.74</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v>25.72</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v>17.32</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v>25.26</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v>33.32</v>
          </cell>
        </row>
        <row r="5676">
          <cell r="A5676">
            <v>90407</v>
          </cell>
          <cell r="B5676" t="str">
            <v>MASSA ÚNICA, PARA RECEBIMENTO DE PINTURA, EM ARGAMASSA TRAÇO 1:2:8, PREPARO MANUAL, APLICADA MANUALMENTE EM TETO, ESPESSURA DE 20MM, COM EXECUÇÃO DE TALISCAS. AF_03/2015</v>
          </cell>
          <cell r="C5676" t="str">
            <v>M2</v>
          </cell>
          <cell r="D5676">
            <v>37.270000000000003</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v>24.34</v>
          </cell>
        </row>
        <row r="5678">
          <cell r="A5678">
            <v>90409</v>
          </cell>
          <cell r="B5678" t="str">
            <v>MASSA ÚNICA, PARA RECEBIMENTO DE PINTURA, EM ARGAMASSA TRAÇO 1:2:8, PREPARO MANUAL, APLICADA MANUALMENTE EM TETO, ESPESSURA DE 10MM, COM EXECUÇÃO DE TALISCAS. AF_03/2015</v>
          </cell>
          <cell r="C5678" t="str">
            <v>M2</v>
          </cell>
          <cell r="D5678">
            <v>26.58</v>
          </cell>
        </row>
        <row r="5679">
          <cell r="A5679">
            <v>87242</v>
          </cell>
          <cell r="B5679" t="str">
            <v>REVESTIMENTO CERÂMICO PARA PAREDES EXTERNAS EM PASTILHAS DE PORCELANA 5 X 5 CM (PLACAS DE 30 X 30 CM), ALINHADAS A PRUMO, APLICADO EM PANOS COM VÃOS. AF_06/2014</v>
          </cell>
          <cell r="C5679" t="str">
            <v>M2</v>
          </cell>
          <cell r="D5679">
            <v>201.13</v>
          </cell>
        </row>
        <row r="5680">
          <cell r="A5680">
            <v>87243</v>
          </cell>
          <cell r="B5680" t="str">
            <v>REVESTIMENTO CERÂMICO PARA PAREDES EXTERNAS EM PASTILHAS DE PORCELANA 5 X 5 CM (PLACAS DE 30 X 30 CM), ALINHADAS A PRUMO, APLICADO EM PANOS SEM VÃOS. AF_06/2014</v>
          </cell>
          <cell r="C5680" t="str">
            <v>M2</v>
          </cell>
          <cell r="D5680">
            <v>184.86</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v>194.63</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v>234.06</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v>43.98</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v>37.82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v>46.2</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v>43.42</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v>47.56</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v>40.840000000000003</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v>49.41</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v>46.27</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v>51.11</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v>42.9</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v>52.42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v>49.61</v>
          </cell>
        </row>
        <row r="5695">
          <cell r="A5695">
            <v>88786</v>
          </cell>
          <cell r="B5695" t="str">
            <v>REVESTIMENTO CERÂMICO PARA PAREDES EXTERNAS EM PASTILHAS DE PORCELANA 2,5 X 2,5 CM (PLACAS DE 30 X 30 CM), ALINHADAS A PRUMO, APLICADO EM PANOS COM VÃOS. AF_10/2014</v>
          </cell>
          <cell r="C5695" t="str">
            <v>M2</v>
          </cell>
          <cell r="D5695">
            <v>223.64</v>
          </cell>
        </row>
        <row r="5696">
          <cell r="A5696">
            <v>88787</v>
          </cell>
          <cell r="B5696" t="str">
            <v>REVESTIMENTO CERÂMICO PARA PAREDES EXTERNAS EM PASTILHAS DE PORCELANA 2,5 X 2,5 CM (PLACAS DE 30 X 30 CM), ALINHADAS A PRUMO, APLICADO EM PANOS SEM VÃOS. AF_10/2014</v>
          </cell>
          <cell r="C5696" t="str">
            <v>M2</v>
          </cell>
          <cell r="D5696">
            <v>206.3</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v>216.07</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v>259.14</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v>43.83</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v>42.26</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v>36.200000000000003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v>30.11</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v>38.42</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v>35.64</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v>42.72</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v>36.630000000000003</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v>44.94</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v>42.16</v>
          </cell>
        </row>
        <row r="5709">
          <cell r="A5709">
            <v>84088</v>
          </cell>
          <cell r="B5709" t="str">
            <v>PEITORIL EM MARMORE BRANCO, LARGURA DE 15CM, ASSENTADO COM ARGAMASSA TRACO 1:4 (CIMENTO E AREIA MEDIA), PREPARO MANUAL DA ARGAMASSA</v>
          </cell>
          <cell r="C5709" t="str">
            <v>M</v>
          </cell>
          <cell r="D5709">
            <v>97.83</v>
          </cell>
        </row>
        <row r="5710">
          <cell r="A5710">
            <v>84089</v>
          </cell>
          <cell r="B5710" t="str">
            <v>PEITORIL EM MARMORE BRANCO, LARGURA DE 25CM, ASSENTADO COM ARGAMASSA TRACO 1:3 (CIMENTO E AREIA MEDIA), PREPARO MANUAL DA ARGAMASSA</v>
          </cell>
          <cell r="C5710" t="str">
            <v>M</v>
          </cell>
          <cell r="D5710">
            <v>137.87</v>
          </cell>
        </row>
        <row r="5711">
          <cell r="A5711">
            <v>40675</v>
          </cell>
          <cell r="B5711" t="str">
            <v>ASSENTAMENTO DE PEITORIL COM ARGAMASSA DE CIMENTO COLANTE</v>
          </cell>
          <cell r="C5711" t="str">
            <v>M</v>
          </cell>
          <cell r="D5711">
            <v>4.21</v>
          </cell>
        </row>
        <row r="5712">
          <cell r="A5712">
            <v>96112</v>
          </cell>
          <cell r="B5712" t="str">
            <v>FORRO EM MADEIRA PINUS, PARA AMBIENTES RESIDENCIAIS, INCLUSIVE ESTRUTURA DE FIXAÇÃO. AF_05/2017</v>
          </cell>
          <cell r="C5712" t="str">
            <v>M2</v>
          </cell>
          <cell r="D5712">
            <v>90.2</v>
          </cell>
        </row>
        <row r="5713">
          <cell r="A5713">
            <v>96117</v>
          </cell>
          <cell r="B5713" t="str">
            <v>FORRO EM MADEIRA PINUS, PARA AMBIENTES COMERCIAIS, INCLUSIVE ESTRUTURA DE FIXAÇÃO. AF_05/2017</v>
          </cell>
          <cell r="C5713" t="str">
            <v>M2</v>
          </cell>
          <cell r="D5713">
            <v>100.15</v>
          </cell>
        </row>
        <row r="5714">
          <cell r="A5714">
            <v>96122</v>
          </cell>
          <cell r="B5714" t="str">
            <v>ACABAMENTOS PARA FORRO (RODA-FORRO EM MADEIRA PINUS). AF_05/2017</v>
          </cell>
          <cell r="C5714" t="str">
            <v>M</v>
          </cell>
          <cell r="D5714">
            <v>22.34</v>
          </cell>
        </row>
        <row r="5715">
          <cell r="A5715">
            <v>96109</v>
          </cell>
          <cell r="B5715" t="str">
            <v>FORRO EM PLACAS DE GESSO, PARA AMBIENTES RESIDENCIAIS. AF_05/2017_P</v>
          </cell>
          <cell r="C5715" t="str">
            <v>M2</v>
          </cell>
          <cell r="D5715">
            <v>37.200000000000003</v>
          </cell>
        </row>
        <row r="5716">
          <cell r="A5716">
            <v>96110</v>
          </cell>
          <cell r="B5716" t="str">
            <v>FORRO EM DRYWALL, PARA AMBIENTES RESIDENCIAIS, INCLUSIVE ESTRUTURA DE FIXAÇÃO. AF_05/2017_P</v>
          </cell>
          <cell r="C5716" t="str">
            <v>M2</v>
          </cell>
          <cell r="D5716">
            <v>56.14</v>
          </cell>
        </row>
        <row r="5717">
          <cell r="A5717">
            <v>96113</v>
          </cell>
          <cell r="B5717" t="str">
            <v>FORRO EM PLACAS DE GESSO, PARA AMBIENTES COMERCIAIS. AF_05/2017_P</v>
          </cell>
          <cell r="C5717" t="str">
            <v>M2</v>
          </cell>
          <cell r="D5717">
            <v>33.19</v>
          </cell>
        </row>
        <row r="5718">
          <cell r="A5718">
            <v>96114</v>
          </cell>
          <cell r="B5718" t="str">
            <v>FORRO EM DRYWALL, PARA AMBIENTES COMERCIAIS, INCLUSIVE ESTRUTURA DE FIXAÇÃO. AF_05/2017_P</v>
          </cell>
          <cell r="C5718" t="str">
            <v>M2</v>
          </cell>
          <cell r="D5718">
            <v>58.03</v>
          </cell>
        </row>
        <row r="5719">
          <cell r="A5719">
            <v>96120</v>
          </cell>
          <cell r="B5719" t="str">
            <v>ACABAMENTOS PARA FORRO (MOLDURA DE GESSO). AF_05/2017</v>
          </cell>
          <cell r="C5719" t="str">
            <v>M</v>
          </cell>
          <cell r="D5719">
            <v>2.56</v>
          </cell>
        </row>
        <row r="5720">
          <cell r="A5720">
            <v>96123</v>
          </cell>
          <cell r="B5720" t="str">
            <v>ACABAMENTOS PARA FORRO (MOLDURA EM DRYWALL, COM LARGURA DE 15 CM). AF_05/2017_P</v>
          </cell>
          <cell r="C5720" t="str">
            <v>M</v>
          </cell>
          <cell r="D5720">
            <v>23.96</v>
          </cell>
        </row>
        <row r="5721">
          <cell r="A5721">
            <v>99054</v>
          </cell>
          <cell r="B5721" t="str">
            <v>ACABAMENTOS PARA FORRO (SANCA DE GESSO MONTADA NA OBRA). AF_05/2017_P</v>
          </cell>
          <cell r="C5721" t="str">
            <v>M2</v>
          </cell>
          <cell r="D5721">
            <v>45.49</v>
          </cell>
        </row>
        <row r="5722">
          <cell r="A5722" t="str">
            <v>73807/1</v>
          </cell>
          <cell r="B5722" t="str">
            <v>CORRIMAO EM MARMORITE, LARGURA 15CM</v>
          </cell>
          <cell r="C5722" t="str">
            <v>M</v>
          </cell>
          <cell r="D5722">
            <v>92.91</v>
          </cell>
        </row>
        <row r="5723">
          <cell r="A5723">
            <v>96111</v>
          </cell>
          <cell r="B5723" t="str">
            <v>FORRO EM RÉGUAS DE PVC, FRISADO, PARA AMBIENTES RESIDENCIAIS, INCLUSIVE ESTRUTURA DE FIXAÇÃO. AF_05/2017_P</v>
          </cell>
          <cell r="C5723" t="str">
            <v>M2</v>
          </cell>
          <cell r="D5723">
            <v>38.1</v>
          </cell>
        </row>
        <row r="5724">
          <cell r="A5724">
            <v>96116</v>
          </cell>
          <cell r="B5724" t="str">
            <v>FORRO EM RÉGUAS DE PVC, FRISADO, PARA AMBIENTES COMERCIAIS, INCLUSIVE ESTRUTURA DE FIXAÇÃO. AF_05/2017_P</v>
          </cell>
          <cell r="C5724" t="str">
            <v>M2</v>
          </cell>
          <cell r="D5724">
            <v>42.16</v>
          </cell>
        </row>
        <row r="5725">
          <cell r="A5725">
            <v>96121</v>
          </cell>
          <cell r="B5725" t="str">
            <v>ACABAMENTOS PARA FORRO (RODA-FORRO EM PERFIL METÁLICO E PLÁSTICO). AF_05/2017</v>
          </cell>
          <cell r="C5725" t="str">
            <v>M</v>
          </cell>
          <cell r="D5725">
            <v>7.35</v>
          </cell>
        </row>
        <row r="5726">
          <cell r="A5726">
            <v>96485</v>
          </cell>
          <cell r="B5726" t="str">
            <v>FORRO EM RÉGUAS DE PVC, LISO, PARA AMBIENTES RESIDENCIAIS, INCLUSIVE ESTRUTURA DE FIXAÇÃO. AF_05/2017_P</v>
          </cell>
          <cell r="C5726" t="str">
            <v>M2</v>
          </cell>
          <cell r="D5726">
            <v>43.89</v>
          </cell>
        </row>
        <row r="5727">
          <cell r="A5727">
            <v>96486</v>
          </cell>
          <cell r="B5727" t="str">
            <v>FORRO DE PVC, LISO, PARA AMBIENTES COMERCIAIS, INCLUSIVE ESTRUTURA DE FIXAÇÃO. AF_05/2017_P</v>
          </cell>
          <cell r="C5727" t="str">
            <v>M2</v>
          </cell>
          <cell r="D5727">
            <v>48.31</v>
          </cell>
        </row>
        <row r="5728">
          <cell r="A5728">
            <v>91514</v>
          </cell>
          <cell r="B5728" t="str">
            <v>ESTUCAMENTO DE PANOS DE FACHADA SEM VÃOS DO SISTEMA DE PAREDES DE CONCRETO EM EDIFICAÇÕES DE MÚLTIPLOS PAVIMENTOS. AF_06/2015</v>
          </cell>
          <cell r="C5728" t="str">
            <v>M2</v>
          </cell>
          <cell r="D5728">
            <v>5.21</v>
          </cell>
        </row>
        <row r="5729">
          <cell r="A5729">
            <v>91515</v>
          </cell>
          <cell r="B5729" t="str">
            <v>ESTUCAMENTO DE PANOS DE FACHADA COM VÃOS DO SISTEMA DE PAREDES DE CONCRETO EM EDIFICAÇÕES DE MÚLTIPLOS PAVIMENTOS. AF_06/2015</v>
          </cell>
          <cell r="C5729" t="str">
            <v>M2</v>
          </cell>
          <cell r="D5729">
            <v>6.9</v>
          </cell>
        </row>
        <row r="5730">
          <cell r="A5730">
            <v>91516</v>
          </cell>
          <cell r="B5730" t="str">
            <v>ESTUCAMENTO DE SUPERFÍCIE EXTERNA DA SACADA DO SISTEMA DE PAREDES DE CONCRETO EM EDIFICAÇÕES DE MÚLTIPLOS PAVIMENTOS. AF_06/2015</v>
          </cell>
          <cell r="C5730" t="str">
            <v>M2</v>
          </cell>
          <cell r="D5730">
            <v>10.07</v>
          </cell>
        </row>
        <row r="5731">
          <cell r="A5731">
            <v>91517</v>
          </cell>
          <cell r="B5731" t="str">
            <v>ESTUCAMENTO DE PANOS DE FACHADA SEM VÃOS DO SISTEMA DE PAREDES DE CONCRETO EM EDIFICAÇÕES DE PAVIMENTO ÚNICO. AF_06/2015</v>
          </cell>
          <cell r="C5731" t="str">
            <v>M2</v>
          </cell>
          <cell r="D5731">
            <v>11.21</v>
          </cell>
        </row>
        <row r="5732">
          <cell r="A5732">
            <v>91519</v>
          </cell>
          <cell r="B5732" t="str">
            <v>ESTUCAMENTO DE PANOS DE FACHADA COM VÃOS DO SISTEMA DE PAREDES DE CONCRETO EM EDIFICAÇÕES DE PAVIMENTO ÚNICO. AF_06/2015</v>
          </cell>
          <cell r="C5732" t="str">
            <v>M2</v>
          </cell>
          <cell r="D5732">
            <v>12.88</v>
          </cell>
        </row>
        <row r="5733">
          <cell r="A5733">
            <v>91520</v>
          </cell>
          <cell r="B5733" t="str">
            <v>ESTUCAMENTO DE DENSIDADE BAIXA NAS FACES INTERNAS DE PAREDES DO SISTEMA DE PAREDES DE CONCRETO. AF_06/2015</v>
          </cell>
          <cell r="C5733" t="str">
            <v>M2</v>
          </cell>
          <cell r="D5733">
            <v>1.9</v>
          </cell>
        </row>
        <row r="5734">
          <cell r="A5734">
            <v>91522</v>
          </cell>
          <cell r="B5734" t="str">
            <v>ESTUCAMENTO, PARA QUALQUER REVESTIMENTO, EM TETO DO SISTEMA DE PAREDES DE CONCRETO. AF_06/2015</v>
          </cell>
          <cell r="C5734" t="str">
            <v>M2</v>
          </cell>
          <cell r="D5734">
            <v>2.2799999999999998</v>
          </cell>
        </row>
        <row r="5735">
          <cell r="A5735">
            <v>91525</v>
          </cell>
          <cell r="B5735" t="str">
            <v>ESTUCAMENTO DE DENSIDADE ALTA, NAS FACES INTERNAS DE PAREDES DO SISTEMA DE PAREDES DE CONCRETO. AF_06/2015</v>
          </cell>
          <cell r="C5735" t="str">
            <v>M2</v>
          </cell>
          <cell r="D5735">
            <v>4.2300000000000004</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v>273.89</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v>271.14999999999998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v>284.63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v>280.33999999999997</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v>354.97</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v>344.54</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v>341.25</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v>336.5</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v>348.29</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v>333.83</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v>339.73</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v>322.79000000000002</v>
          </cell>
        </row>
        <row r="5748">
          <cell r="A5748">
            <v>87298</v>
          </cell>
          <cell r="B5748" t="str">
            <v>ARGAMASSA TRAÇO 1:3 (EM VOLUME DE CIMENTO E AREIA MÉDIA ÚMIDA) PARA CONTRAPISO, PREPARO MECÂNICO COM BETONEIRA 400 L. AF_08/2019</v>
          </cell>
          <cell r="C5748" t="str">
            <v>M3</v>
          </cell>
          <cell r="D5748">
            <v>425.89</v>
          </cell>
        </row>
        <row r="5749">
          <cell r="A5749">
            <v>87299</v>
          </cell>
          <cell r="B5749" t="str">
            <v>ARGAMASSA TRAÇO 1:3 (EM VOLUME DE CIMENTO E AREIA MÉDIA ÚMIDA) PARA CONTRAPISO, PREPARO MECÂNICO COM BETONEIRA 600 L. AF_08/2019</v>
          </cell>
          <cell r="C5749" t="str">
            <v>M3</v>
          </cell>
          <cell r="D5749">
            <v>278.72000000000003</v>
          </cell>
        </row>
        <row r="5750">
          <cell r="A5750">
            <v>87301</v>
          </cell>
          <cell r="B5750" t="str">
            <v>ARGAMASSA TRAÇO 1:4 (EM VOLUME DE CIMENTO E AREIA MÉDIA ÚMIDA) PARA CONTRAPISO, PREPARO MECÂNICO COM BETONEIRA 400 L. AF_08/2019</v>
          </cell>
          <cell r="C5750" t="str">
            <v>M3</v>
          </cell>
          <cell r="D5750">
            <v>382.16</v>
          </cell>
        </row>
        <row r="5751">
          <cell r="A5751">
            <v>87302</v>
          </cell>
          <cell r="B5751" t="str">
            <v>ARGAMASSA TRAÇO 1:4 (EM VOLUME DE CIMENTO E AREIA MÉDIA ÚMIDA) PARA CONTRAPISO, PREPARO MECÂNICO COM BETONEIRA 600 L. AF_08/2019</v>
          </cell>
          <cell r="C5751" t="str">
            <v>M3</v>
          </cell>
          <cell r="D5751">
            <v>377.48</v>
          </cell>
        </row>
        <row r="5752">
          <cell r="A5752">
            <v>87304</v>
          </cell>
          <cell r="B5752" t="str">
            <v>ARGAMASSA TRAÇO 1:5 (EM VOLUME DE CIMENTO E AREIA MÉDIA ÚMIDA) PARA CONTRAPISO, PREPARO MECÂNICO COM BETONEIRA 400 L. AF_08/2019</v>
          </cell>
          <cell r="C5752" t="str">
            <v>M3</v>
          </cell>
          <cell r="D5752">
            <v>344.27</v>
          </cell>
        </row>
        <row r="5753">
          <cell r="A5753">
            <v>87305</v>
          </cell>
          <cell r="B5753" t="str">
            <v>ARGAMASSA TRAÇO 1:5 (EM VOLUME DE CIMENTO E AREIA MÉDIA ÚMIDA) PARA CONTRAPISO, PREPARO MECÂNICO COM BETONEIRA 600 L. AF_08/2019</v>
          </cell>
          <cell r="C5753" t="str">
            <v>M3</v>
          </cell>
          <cell r="D5753">
            <v>347.35</v>
          </cell>
        </row>
        <row r="5754">
          <cell r="A5754">
            <v>87307</v>
          </cell>
          <cell r="B5754" t="str">
            <v>ARGAMASSA TRAÇO 1:6 (EM VOLUME DE CIMENTO E AREIA MÉDIA ÚMIDA) PARA CONTRAPISO, PREPARO MECÂNICO COM BETONEIRA 400 L. AF_08/2019</v>
          </cell>
          <cell r="C5754" t="str">
            <v>M3</v>
          </cell>
          <cell r="D5754">
            <v>327.20999999999998</v>
          </cell>
        </row>
        <row r="5755">
          <cell r="A5755">
            <v>87308</v>
          </cell>
          <cell r="B5755" t="str">
            <v>ARGAMASSA TRAÇO 1:6 (EM VOLUME DE CIMENTO E AREIA MÉDIA ÚMIDA) PARA CONTRAPISO, PREPARO MECÂNICO COM BETONEIRA 600 L. AF_08/2019</v>
          </cell>
          <cell r="C5755" t="str">
            <v>M3</v>
          </cell>
          <cell r="D5755">
            <v>322.23</v>
          </cell>
        </row>
        <row r="5756">
          <cell r="A5756">
            <v>87310</v>
          </cell>
          <cell r="B5756" t="str">
            <v>ARGAMASSA TRAÇO 1:5 (EM VOLUME DE CIMENTO E AREIA GROSSA ÚMIDA) PARA CHAPISCO CONVENCIONAL, PREPARO MECÂNICO COM BETONEIRA 400 L. AF_08/2019</v>
          </cell>
          <cell r="C5756" t="str">
            <v>M3</v>
          </cell>
          <cell r="D5756">
            <v>276.61</v>
          </cell>
        </row>
        <row r="5757">
          <cell r="A5757">
            <v>87311</v>
          </cell>
          <cell r="B5757" t="str">
            <v>ARGAMASSA TRAÇO 1:5 (EM VOLUME DE CIMENTO E AREIA GROSSA ÚMIDA) PARA CHAPISCO CONVENCIONAL, PREPARO MECÂNICO COM BETONEIRA 600 L. AF_08/2019</v>
          </cell>
          <cell r="C5757" t="str">
            <v>M3</v>
          </cell>
          <cell r="D5757">
            <v>271.35000000000002</v>
          </cell>
        </row>
        <row r="5758">
          <cell r="A5758">
            <v>87313</v>
          </cell>
          <cell r="B5758" t="str">
            <v>ARGAMASSA TRAÇO 1:3 (EM VOLUME DE CIMENTO E AREIA GROSSA ÚMIDA) PARA CHAPISCO CONVENCIONAL, PREPARO MECÂNICO COM BETONEIRA 400 L. AF_08/2019</v>
          </cell>
          <cell r="C5758" t="str">
            <v>M3</v>
          </cell>
          <cell r="D5758">
            <v>336.13</v>
          </cell>
        </row>
        <row r="5759">
          <cell r="A5759">
            <v>87314</v>
          </cell>
          <cell r="B5759" t="str">
            <v>ARGAMASSA TRAÇO 1:3 (EM VOLUME DE CIMENTO E AREIA GROSSA ÚMIDA) PARA CHAPISCO CONVENCIONAL, PREPARO MECÂNICO COM BETONEIRA 600 L. AF_08/2019</v>
          </cell>
          <cell r="C5759" t="str">
            <v>M3</v>
          </cell>
          <cell r="D5759">
            <v>332.08</v>
          </cell>
        </row>
        <row r="5760">
          <cell r="A5760">
            <v>87316</v>
          </cell>
          <cell r="B5760" t="str">
            <v>ARGAMASSA TRAÇO 1:4 (EM VOLUME DE CIMENTO E AREIA GROSSA ÚMIDA) PARA CHAPISCO CONVENCIONAL, PREPARO MECÂNICO COM BETONEIRA 400 L. AF_08/2019</v>
          </cell>
          <cell r="C5760" t="str">
            <v>M3</v>
          </cell>
          <cell r="D5760">
            <v>304.87</v>
          </cell>
        </row>
        <row r="5761">
          <cell r="A5761">
            <v>87317</v>
          </cell>
          <cell r="B5761" t="str">
            <v>ARGAMASSA TRAÇO 1:4 (EM VOLUME DE CIMENTO E AREIA GROSSA ÚMIDA) PARA CHAPISCO CONVENCIONAL, PREPARO MECÂNICO COM BETONEIRA 600 L. AF_08/2019</v>
          </cell>
          <cell r="C5761" t="str">
            <v>M3</v>
          </cell>
          <cell r="D5761">
            <v>296.23</v>
          </cell>
        </row>
        <row r="5762">
          <cell r="A5762">
            <v>87319</v>
          </cell>
          <cell r="B5762" t="str">
            <v>ARGAMASSA TRAÇO 1:5 (EM VOLUME DE CIMENTO E AREIA GROSSA ÚMIDA) COM ADIÇÃO DE EMULSÃO POLIMÉRICA PARA CHAPISCO ROLADO, PREPARO MECÂNICO COM BETONEIRA 400 L. AF_08/2019</v>
          </cell>
          <cell r="C5762" t="str">
            <v>M3</v>
          </cell>
          <cell r="D5762">
            <v>1936.61</v>
          </cell>
        </row>
        <row r="5763">
          <cell r="A5763">
            <v>87320</v>
          </cell>
          <cell r="B5763" t="str">
            <v>ARGAMASSA TRAÇO 1:5 (EM VOLUME DE CIMENTO E AREIA GROSSA ÚMIDA) COM ADIÇÃO DE EMULSÃO POLIMÉRICA PARA CHAPISCO ROLADO, PREPARO MECÂNICO COM BETONEIRA 600 L. AF_08/2019</v>
          </cell>
          <cell r="C5763" t="str">
            <v>M3</v>
          </cell>
          <cell r="D5763">
            <v>1940.04</v>
          </cell>
        </row>
        <row r="5764">
          <cell r="A5764">
            <v>87322</v>
          </cell>
          <cell r="B5764" t="str">
            <v>ARGAMASSA TRAÇO 1:3 (EM VOLUME DE CIMENTO E AREIA GROSSA ÚMIDA) COM ADIÇÃO DE EMULSÃO POLIMÉRICA PARA CHAPISCO ROLADO, PREPARO MECÂNICO COM BETONEIRA 400 L. AF_08/2019</v>
          </cell>
          <cell r="C5764" t="str">
            <v>M3</v>
          </cell>
          <cell r="D5764">
            <v>2004.1</v>
          </cell>
        </row>
        <row r="5765">
          <cell r="A5765">
            <v>87323</v>
          </cell>
          <cell r="B5765" t="str">
            <v>ARGAMASSA TRAÇO 1:3 (EM VOLUME DE CIMENTO E AREIA GROSSA ÚMIDA) COM ADIÇÃO DE EMULSÃO POLIMÉRICA PARA CHAPISCO ROLADO, PREPARO MECÂNICO COM BETONEIRA 600 L. AF_08/2019</v>
          </cell>
          <cell r="C5765" t="str">
            <v>M3</v>
          </cell>
          <cell r="D5765">
            <v>2002.96</v>
          </cell>
        </row>
        <row r="5766">
          <cell r="A5766">
            <v>87325</v>
          </cell>
          <cell r="B5766" t="str">
            <v>ARGAMASSA TRAÇO 1:4 (EM VOLUME DE CIMENTO E AREIA GROSSA ÚMIDA) COM ADIÇÃO DE EMULSÃO POLIMÉRICA PARA CHAPISCO ROLADO, PREPARO MECÂNICO COM BETONEIRA 400 L. AF_08/2019</v>
          </cell>
          <cell r="C5766" t="str">
            <v>M3</v>
          </cell>
          <cell r="D5766">
            <v>1955.5</v>
          </cell>
        </row>
        <row r="5767">
          <cell r="A5767">
            <v>87326</v>
          </cell>
          <cell r="B5767" t="str">
            <v>ARGAMASSA TRAÇO 1:4 (EM VOLUME DE CIMENTO E AREIA GROSSA ÚMIDA) COM ADIÇÃO DE EMULSÃO POLIMÉRICA PARA CHAPISCO ROLADO, PREPARO MECÂNICO COM BETONEIRA 600 L. AF_08/2019</v>
          </cell>
          <cell r="C5767" t="str">
            <v>M3</v>
          </cell>
          <cell r="D5767">
            <v>1958.87</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v>289.88</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v>252.37</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v>311.95</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v>269.3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v>370.35</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v>331.39</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v>345.31</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v>322.14</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v>340.45</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v>332.14</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v>334.77</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v>322.58999999999997</v>
          </cell>
        </row>
        <row r="5780">
          <cell r="A5780">
            <v>87339</v>
          </cell>
          <cell r="B5780" t="str">
            <v>ARGAMASSA TRAÇO 1:3 (EM VOLUME DE CIMENTO E AREIA MÉDIA ÚMIDA) PARA CONTRAPISO, PREPARO MECÂNICO COM MISTURADOR DE EIXO HORIZONTAL DE 160 KG. AF_08/2019</v>
          </cell>
          <cell r="C5780" t="str">
            <v>M3</v>
          </cell>
          <cell r="D5780">
            <v>506.1</v>
          </cell>
        </row>
        <row r="5781">
          <cell r="A5781">
            <v>87340</v>
          </cell>
          <cell r="B5781" t="str">
            <v>ARGAMASSA TRAÇO 1:3 (EM VOLUME DE CIMENTO E AREIA MÉDIA ÚMIDA) PARA CONTRAPISO, PREPARO MECÂNICO COM MISTURADOR DE EIXO HORIZONTAL DE 300 KG. AF_08/2019</v>
          </cell>
          <cell r="C5781" t="str">
            <v>M3</v>
          </cell>
          <cell r="D5781">
            <v>425.44</v>
          </cell>
        </row>
        <row r="5782">
          <cell r="A5782">
            <v>87341</v>
          </cell>
          <cell r="B5782" t="str">
            <v>ARGAMASSA TRAÇO 1:3 (EM VOLUME DE CIMENTO E AREIA MÉDIA ÚMIDA) PARA CONTRAPISO, PREPARO MECÂNICO COM MISTURADOR DE EIXO HORIZONTAL DE 600 KG. AF_08/2019</v>
          </cell>
          <cell r="C5782" t="str">
            <v>M3</v>
          </cell>
          <cell r="D5782">
            <v>406.25</v>
          </cell>
        </row>
        <row r="5783">
          <cell r="A5783">
            <v>87342</v>
          </cell>
          <cell r="B5783" t="str">
            <v>ARGAMASSA TRAÇO 1:4 (EM VOLUME DE CIMENTO E AREIA MÉDIA ÚMIDA) PARA CONTRAPISO, PREPARO MECÂNICO COM MISTURADOR DE EIXO HORIZONTAL DE 160 KG. AF_08/2019</v>
          </cell>
          <cell r="C5783" t="str">
            <v>M3</v>
          </cell>
          <cell r="D5783">
            <v>429.24</v>
          </cell>
        </row>
        <row r="5784">
          <cell r="A5784">
            <v>87343</v>
          </cell>
          <cell r="B5784" t="str">
            <v>ARGAMASSA TRAÇO 1:4 (EM VOLUME DE CIMENTO E AREIA MÉDIA ÚMIDA) PARA CONTRAPISO, PREPARO MECÂNICO COM MISTURADOR DE EIXO HORIZONTAL DE 300 KG. AF_08/2019</v>
          </cell>
          <cell r="C5784" t="str">
            <v>M3</v>
          </cell>
          <cell r="D5784">
            <v>383.77</v>
          </cell>
        </row>
        <row r="5785">
          <cell r="A5785">
            <v>87344</v>
          </cell>
          <cell r="B5785" t="str">
            <v>ARGAMASSA TRAÇO 1:4 (EM VOLUME DE CIMENTO E AREIA MÉDIA ÚMIDA) PARA CONTRAPISO, PREPARO MECÂNICO COM MISTURADOR DE EIXO HORIZONTAL DE 600 KG. AF_08/2019</v>
          </cell>
          <cell r="C5785" t="str">
            <v>M3</v>
          </cell>
          <cell r="D5785">
            <v>359.54</v>
          </cell>
        </row>
        <row r="5786">
          <cell r="A5786">
            <v>87345</v>
          </cell>
          <cell r="B5786" t="str">
            <v>ARGAMASSA TRAÇO 1:5 (EM VOLUME DE CIMENTO E AREIA MÉDIA ÚMIDA) PARA CONTRAPISO, PREPARO MECÂNICO COM MISTURADOR DE EIXO HORIZONTAL DE 160 KG. AF_08/2019</v>
          </cell>
          <cell r="C5786" t="str">
            <v>M3</v>
          </cell>
          <cell r="D5786">
            <v>383.95</v>
          </cell>
        </row>
        <row r="5787">
          <cell r="A5787">
            <v>87346</v>
          </cell>
          <cell r="B5787" t="str">
            <v>ARGAMASSA TRAÇO 1:5 (EM VOLUME DE CIMENTO E AREIA MÉDIA ÚMIDA) PARA CONTRAPISO, PREPARO MECÂNICO COM MISTURADOR DE EIXO HORIZONTAL DE 300 KG. AF_08/2019</v>
          </cell>
          <cell r="C5787" t="str">
            <v>M3</v>
          </cell>
          <cell r="D5787">
            <v>346.47</v>
          </cell>
        </row>
        <row r="5788">
          <cell r="A5788">
            <v>87347</v>
          </cell>
          <cell r="B5788" t="str">
            <v>ARGAMASSA TRAÇO 1:5 (EM VOLUME DE CIMENTO E AREIA MÉDIA ÚMIDA) PARA CONTRAPISO, PREPARO MECÂNICO COM MISTURADOR DE EIXO HORIZONTAL DE 600 KG. AF_08/2019</v>
          </cell>
          <cell r="C5788" t="str">
            <v>M3</v>
          </cell>
          <cell r="D5788">
            <v>327.39999999999998</v>
          </cell>
        </row>
        <row r="5789">
          <cell r="A5789">
            <v>87348</v>
          </cell>
          <cell r="B5789" t="str">
            <v>ARGAMASSA TRAÇO 1:6 (EM VOLUME DE CIMENTO E AREIA MÉDIA ÚMIDA) PARA CONTRAPISO, PREPARO MECÂNICO COM MISTURADOR DE EIXO HORIZONTAL DE 160 KG. AF_08/2019</v>
          </cell>
          <cell r="C5789" t="str">
            <v>M3</v>
          </cell>
          <cell r="D5789">
            <v>350.13</v>
          </cell>
        </row>
        <row r="5790">
          <cell r="A5790">
            <v>87349</v>
          </cell>
          <cell r="B5790" t="str">
            <v>ARGAMASSA TRAÇO 1:6 (EM VOLUME DE CIMENTO E AREIA MÉDIA ÚMIDA) PARA CONTRAPISO, PREPARO MECÂNICO COM MISTURADOR DE EIXO HORIZONTAL DE 600 KG. AF_08/2019</v>
          </cell>
          <cell r="C5790" t="str">
            <v>M3</v>
          </cell>
          <cell r="D5790">
            <v>301.97000000000003</v>
          </cell>
        </row>
        <row r="5791">
          <cell r="A5791">
            <v>87350</v>
          </cell>
          <cell r="B5791" t="str">
            <v>ARGAMASSA TRAÇO 1:5 (EM VOLUME DE CIMENTO E AREIA GROSSA ÚMIDA) PARA CHAPISCO CONVENCIONAL, PREPARO MECÂNICO COM MISTURADOR DE EIXO HORIZONTAL DE 300 KG. AF_08/2019</v>
          </cell>
          <cell r="C5791" t="str">
            <v>M3</v>
          </cell>
          <cell r="D5791">
            <v>307.32</v>
          </cell>
        </row>
        <row r="5792">
          <cell r="A5792">
            <v>87351</v>
          </cell>
          <cell r="B5792" t="str">
            <v>ARGAMASSA TRAÇO 1:5 (EM VOLUME DE CIMENTO E AREIA GROSSA ÚMIDA) PARA CHAPISCO CONVENCIONAL, PREPARO MECÂNICO COM MISTURADOR DE EIXO HORIZONTAL DE 600 KG. AF_08/2019</v>
          </cell>
          <cell r="C5792" t="str">
            <v>M3</v>
          </cell>
          <cell r="D5792">
            <v>261.32</v>
          </cell>
        </row>
        <row r="5793">
          <cell r="A5793">
            <v>87352</v>
          </cell>
          <cell r="B5793" t="str">
            <v>ARGAMASSA TRAÇO 1:3 (EM VOLUME DE CIMENTO E AREIA GROSSA ÚMIDA) PARA CHAPISCO CONVENCIONAL, PREPARO MECÂNICO COM MISTURADOR DE EIXO HORIZONTAL DE 160 KG. AF_08/2019</v>
          </cell>
          <cell r="C5793" t="str">
            <v>M3</v>
          </cell>
          <cell r="D5793">
            <v>389.48</v>
          </cell>
        </row>
        <row r="5794">
          <cell r="A5794">
            <v>87353</v>
          </cell>
          <cell r="B5794" t="str">
            <v>ARGAMASSA TRAÇO 1:3 (EM VOLUME DE CIMENTO E AREIA GROSSA ÚMIDA) PARA CHAPISCO CONVENCIONAL, PREPARO MECÂNICO COM MISTURADOR DE EIXO HORIZONTAL DE 300 KG. AF_08/2019</v>
          </cell>
          <cell r="C5794" t="str">
            <v>M3</v>
          </cell>
          <cell r="D5794">
            <v>339.72</v>
          </cell>
        </row>
        <row r="5795">
          <cell r="A5795">
            <v>87354</v>
          </cell>
          <cell r="B5795" t="str">
            <v>ARGAMASSA TRAÇO 1:3 (EM VOLUME DE CIMENTO E AREIA GROSSA ÚMIDA) PARA CHAPISCO CONVENCIONAL, PREPARO MECÂNICO COM MISTURADOR DE EIXO HORIZONTAL DE 600 KG. AF_08/2019</v>
          </cell>
          <cell r="C5795" t="str">
            <v>M3</v>
          </cell>
          <cell r="D5795">
            <v>318.33</v>
          </cell>
        </row>
        <row r="5796">
          <cell r="A5796">
            <v>87355</v>
          </cell>
          <cell r="B5796" t="str">
            <v>ARGAMASSA TRAÇO 1:4 (EM VOLUME DE CIMENTO E AREIA GROSSA ÚMIDA) PARA CHAPISCO CONVENCIONAL, PREPARO MECÂNICO COM MISTURADOR DE EIXO HORIZONTAL DE 160 KG. AF_08/2019</v>
          </cell>
          <cell r="C5796" t="str">
            <v>M3</v>
          </cell>
          <cell r="D5796">
            <v>330.28</v>
          </cell>
        </row>
        <row r="5797">
          <cell r="A5797">
            <v>87356</v>
          </cell>
          <cell r="B5797" t="str">
            <v>ARGAMASSA TRAÇO 1:4 (EM VOLUME DE CIMENTO E AREIA GROSSA ÚMIDA) PARA CHAPISCO CONVENCIONAL, PREPARO MECÂNICO COM MISTURADOR DE EIXO HORIZONTAL DE 300 KG. AF_08/2019</v>
          </cell>
          <cell r="C5797" t="str">
            <v>M3</v>
          </cell>
          <cell r="D5797">
            <v>296.8</v>
          </cell>
        </row>
        <row r="5798">
          <cell r="A5798">
            <v>87357</v>
          </cell>
          <cell r="B5798" t="str">
            <v>ARGAMASSA TRAÇO 1:4 (EM VOLUME DE CIMENTO E AREIA GROSSA ÚMIDA) PARA CHAPISCO CONVENCIONAL, PREPARO MECÂNICO COM MISTURADOR DE EIXO HORIZONTAL DE 600 KG. AF_08/2019</v>
          </cell>
          <cell r="C5798" t="str">
            <v>M3</v>
          </cell>
          <cell r="D5798">
            <v>281.44</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v>1919.25</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v>1900.53</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v>1987.19</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v>1956.99</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v>1954.88</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v>1943.63</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v>1922.9</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v>372.9</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v>393.32</v>
          </cell>
        </row>
        <row r="5808">
          <cell r="A5808">
            <v>87367</v>
          </cell>
          <cell r="B5808" t="str">
            <v>ARGAMASSA TRAÇO 1:1:6 (EM VOLUME DE CIMENTO, CAL E AREIA MÉDIA ÚMIDA) PARA EMBOÇO/MASSA ÚNICA/ASSENTAMENTO DE ALVENARIA DE VEDAÇÃO, PREPARO MANUAL. AF_08/2019</v>
          </cell>
          <cell r="C5808" t="str">
            <v>M3</v>
          </cell>
          <cell r="D5808">
            <v>455.14</v>
          </cell>
        </row>
        <row r="5809">
          <cell r="A5809">
            <v>87368</v>
          </cell>
          <cell r="B5809" t="str">
            <v>ARGAMASSA TRAÇO 1:1,5:7,5 (EM VOLUME DE CIMENTO, CAL E AREIA MÉDIA ÚMIDA) PARA EMBOÇO/MASSA ÚNICA/ASSENTAMENTO DE ALVENARIA DE VEDAÇÃO, PREPARO MANUAL. AF_08/2019</v>
          </cell>
          <cell r="C5809" t="str">
            <v>M3</v>
          </cell>
          <cell r="D5809">
            <v>444.65</v>
          </cell>
        </row>
        <row r="5810">
          <cell r="A5810">
            <v>87369</v>
          </cell>
          <cell r="B5810" t="str">
            <v>ARGAMASSA TRAÇO 1:2:8 (EM VOLUME DE CIMENTO, CAL E AREIA MÉDIA ÚMIDA) PARA EMBOÇO/MASSA ÚNICA/ASSENTAMENTO DE ALVENARIA DE VEDAÇÃO, PREPARO MANUAL. AF_08/2019</v>
          </cell>
          <cell r="C5810" t="str">
            <v>M3</v>
          </cell>
          <cell r="D5810">
            <v>453.41</v>
          </cell>
        </row>
        <row r="5811">
          <cell r="A5811">
            <v>87370</v>
          </cell>
          <cell r="B5811" t="str">
            <v>ARGAMASSA TRAÇO 1:2:9 (EM VOLUME DE CIMENTO, CAL E AREIA MÉDIA ÚMIDA) PARA EMBOÇO/MASSA ÚNICA/ASSENTAMENTO DE ALVENARIA DE VEDAÇÃO, PREPARO MANUAL. AF_08/2019</v>
          </cell>
          <cell r="C5811" t="str">
            <v>M3</v>
          </cell>
          <cell r="D5811">
            <v>438.04</v>
          </cell>
        </row>
        <row r="5812">
          <cell r="A5812">
            <v>87371</v>
          </cell>
          <cell r="B5812" t="str">
            <v>ARGAMASSA TRAÇO 1:3:12 (EM VOLUME DE CIMENTO, CAL E AREIA MÉDIA ÚMIDA) PARA EMBOÇO/MASSA ÚNICA/ASSENTAMENTO DE ALVENARIA DE VEDAÇÃO, PREPARO MANUAL. AF_08/2019</v>
          </cell>
          <cell r="C5812" t="str">
            <v>M3</v>
          </cell>
          <cell r="D5812">
            <v>428.49</v>
          </cell>
        </row>
        <row r="5813">
          <cell r="A5813">
            <v>87372</v>
          </cell>
          <cell r="B5813" t="str">
            <v>ARGAMASSA TRAÇO 1:3 (EM VOLUME DE CIMENTO E AREIA MÉDIA ÚMIDA) PARA CONTRAPISO, PREPARO MANUAL. AF_08/2019</v>
          </cell>
          <cell r="C5813" t="str">
            <v>M3</v>
          </cell>
          <cell r="D5813">
            <v>539.62</v>
          </cell>
        </row>
        <row r="5814">
          <cell r="A5814">
            <v>87373</v>
          </cell>
          <cell r="B5814" t="str">
            <v>ARGAMASSA TRAÇO 1:4 (EM VOLUME DE CIMENTO E AREIA MÉDIA ÚMIDA) PARA CONTRAPISO, PREPARO MANUAL. AF_08/2019</v>
          </cell>
          <cell r="C5814" t="str">
            <v>M3</v>
          </cell>
          <cell r="D5814">
            <v>482.43</v>
          </cell>
        </row>
        <row r="5815">
          <cell r="A5815">
            <v>87374</v>
          </cell>
          <cell r="B5815" t="str">
            <v>ARGAMASSA TRAÇO 1:5 (EM VOLUME DE CIMENTO E AREIA MÉDIA ÚMIDA) PARA CONTRAPISO, PREPARO MANUAL. AF_08/2019</v>
          </cell>
          <cell r="C5815" t="str">
            <v>M3</v>
          </cell>
          <cell r="D5815">
            <v>451.36</v>
          </cell>
        </row>
        <row r="5816">
          <cell r="A5816">
            <v>87375</v>
          </cell>
          <cell r="B5816" t="str">
            <v>ARGAMASSA TRAÇO 1:6 (EM VOLUME DE CIMENTO E AREIA MÉDIA ÚMIDA) PARA CONTRAPISO, PREPARO MANUAL. AF_08/2019</v>
          </cell>
          <cell r="C5816" t="str">
            <v>M3</v>
          </cell>
          <cell r="D5816">
            <v>431.8</v>
          </cell>
        </row>
        <row r="5817">
          <cell r="A5817">
            <v>87376</v>
          </cell>
          <cell r="B5817" t="str">
            <v>ARGAMASSA TRAÇO 1:5 (EM VOLUME DE CIMENTO E AREIA GROSSA ÚMIDA) PARA CHAPISCO CONVENCIONAL, PREPARO MANUAL. AF_08/2019</v>
          </cell>
          <cell r="C5817" t="str">
            <v>M3</v>
          </cell>
          <cell r="D5817">
            <v>381.94</v>
          </cell>
        </row>
        <row r="5818">
          <cell r="A5818">
            <v>87377</v>
          </cell>
          <cell r="B5818" t="str">
            <v>ARGAMASSA TRAÇO 1:3 (EM VOLUME DE CIMENTO E AREIA GROSSA ÚMIDA) PARA CHAPISCO CONVENCIONAL, PREPARO MANUAL. AF_08/2019</v>
          </cell>
          <cell r="C5818" t="str">
            <v>M3</v>
          </cell>
          <cell r="D5818">
            <v>444.91</v>
          </cell>
        </row>
        <row r="5819">
          <cell r="A5819">
            <v>87378</v>
          </cell>
          <cell r="B5819" t="str">
            <v>ARGAMASSA TRAÇO 1:4 (EM VOLUME DE CIMENTO E AREIA GROSSA ÚMIDA) PARA CHAPISCO CONVENCIONAL, PREPARO MANUAL. AF_08/2019</v>
          </cell>
          <cell r="C5819" t="str">
            <v>M3</v>
          </cell>
          <cell r="D5819">
            <v>403.56</v>
          </cell>
        </row>
        <row r="5820">
          <cell r="A5820">
            <v>87379</v>
          </cell>
          <cell r="B5820" t="str">
            <v>ARGAMASSA TRAÇO 1:5 (EM VOLUME DE CIMENTO E AREIA GROSSA ÚMIDA) COM ADIÇÃO DE EMULSÃO POLIMÉRICA PARA CHAPISCO ROLADO, PREPARO MANUAL. AF_08/2019</v>
          </cell>
          <cell r="C5820" t="str">
            <v>M3</v>
          </cell>
          <cell r="D5820">
            <v>2030.01</v>
          </cell>
        </row>
        <row r="5821">
          <cell r="A5821">
            <v>87380</v>
          </cell>
          <cell r="B5821" t="str">
            <v>ARGAMASSA TRAÇO 1:3 (EM VOLUME DE CIMENTO E AREIA GROSSA ÚMIDA) COM ADIÇÃO DE EMULSÃO POLIMÉRICA PARA CHAPISCO ROLADO, PREPARO MANUAL. AF_08/2019</v>
          </cell>
          <cell r="C5821" t="str">
            <v>M3</v>
          </cell>
          <cell r="D5821">
            <v>2089.4499999999998</v>
          </cell>
        </row>
        <row r="5822">
          <cell r="A5822">
            <v>87381</v>
          </cell>
          <cell r="B5822" t="str">
            <v>ARGAMASSA TRAÇO 1:4 (EM VOLUME DE CIMENTO E AREIA GROSSA ÚMIDA) COM ADIÇÃO DE EMULSÃO POLIMÉRICA PARA CHAPISCO ROLADO, PREPARO MANUAL. AF_08/2019</v>
          </cell>
          <cell r="C5822" t="str">
            <v>M3</v>
          </cell>
          <cell r="D5822">
            <v>2050.0500000000002</v>
          </cell>
        </row>
        <row r="5823">
          <cell r="A5823">
            <v>87382</v>
          </cell>
          <cell r="B5823" t="str">
            <v>ARGAMASSA INDUSTRIALIZADA MULTIUSO PARA REVESTIMENTOS E ASSENTAMENTO DA ALVENARIA, PREPARO COM MISTURADOR DE EIXO HORIZONTAL DE 160 KG. AF_08/2019</v>
          </cell>
          <cell r="C5823" t="str">
            <v>M3</v>
          </cell>
          <cell r="D5823">
            <v>1374.99</v>
          </cell>
        </row>
        <row r="5824">
          <cell r="A5824">
            <v>87383</v>
          </cell>
          <cell r="B5824" t="str">
            <v>ARGAMASSA INDUSTRIALIZADA MULTIUSO PARA REVESTIMENTOS E ASSENTAMENTO DA ALVENARIA, PREPARO COM MISTURADOR DE EIXO HORIZONTAL DE 300 KG. AF_08/2019</v>
          </cell>
          <cell r="C5824" t="str">
            <v>M3</v>
          </cell>
          <cell r="D5824">
            <v>1374.44</v>
          </cell>
        </row>
        <row r="5825">
          <cell r="A5825">
            <v>87384</v>
          </cell>
          <cell r="B5825" t="str">
            <v>ARGAMASSA INDUSTRIALIZADA MULTIUSO PARA REVESTIMENTOS E ASSENTAMENTO DA ALVENARIA, PREPARO COM MISTURADOR DE EIXO HORIZONTAL DE 600 KG. AF_08/2019</v>
          </cell>
          <cell r="C5825" t="str">
            <v>M3</v>
          </cell>
          <cell r="D5825">
            <v>1371.5</v>
          </cell>
        </row>
        <row r="5826">
          <cell r="A5826">
            <v>87385</v>
          </cell>
          <cell r="B5826" t="str">
            <v>ARGAMASSA PRONTA PARA CONTRAPISO, PREPARO COM MISTURADOR DE EIXO HORIZONTAL DE 160 KG. AF_08/2019</v>
          </cell>
          <cell r="C5826" t="str">
            <v>M3</v>
          </cell>
          <cell r="D5826">
            <v>1591.78</v>
          </cell>
        </row>
        <row r="5827">
          <cell r="A5827">
            <v>87386</v>
          </cell>
          <cell r="B5827" t="str">
            <v>ARGAMASSA PRONTA PARA CONTRAPISO, PREPARO COM MISTURADOR DE EIXO HORIZONTAL DE 300 KG. AF_08/2019</v>
          </cell>
          <cell r="C5827" t="str">
            <v>M3</v>
          </cell>
          <cell r="D5827">
            <v>1588.14</v>
          </cell>
        </row>
        <row r="5828">
          <cell r="A5828">
            <v>87387</v>
          </cell>
          <cell r="B5828" t="str">
            <v>ARGAMASSA PRONTA PARA CONTRAPISO, PREPARO COM MISTURADOR DE EIXO HORIZONTAL DE 600 KG. AF_08/2019</v>
          </cell>
          <cell r="C5828" t="str">
            <v>M3</v>
          </cell>
          <cell r="D5828">
            <v>1587.22</v>
          </cell>
        </row>
        <row r="5829">
          <cell r="A5829">
            <v>87388</v>
          </cell>
          <cell r="B5829" t="str">
            <v>ARGAMASSA PARA REVESTIMENTO DECORATIVO MONOCAMADA (MONOCAPA), PREPARO COM MISTURADOR DE EIXO HORIZONTAL DE 160 KG. AF_08/2019</v>
          </cell>
          <cell r="C5829" t="str">
            <v>M3</v>
          </cell>
          <cell r="D5829">
            <v>3839.57</v>
          </cell>
        </row>
        <row r="5830">
          <cell r="A5830">
            <v>87389</v>
          </cell>
          <cell r="B5830" t="str">
            <v>ARGAMASSA PARA REVESTIMENTO DECORATIVO MONOCAMADA (MONOCAPA), PREPARO COM MISTURADOR DE EIXO HORIZONTAL DE 300 KG. AF_08/2019</v>
          </cell>
          <cell r="C5830" t="str">
            <v>M3</v>
          </cell>
          <cell r="D5830">
            <v>3856.66</v>
          </cell>
        </row>
        <row r="5831">
          <cell r="A5831">
            <v>87390</v>
          </cell>
          <cell r="B5831" t="str">
            <v>ARGAMASSA PARA REVESTIMENTO DECORATIVO MONOCAMADA (MONOCAPA), PREPARO COM MISTURADOR DE EIXO HORIZONTAL DE 600 KG. AF_08/2019</v>
          </cell>
          <cell r="C5831" t="str">
            <v>M3</v>
          </cell>
          <cell r="D5831">
            <v>3879.12</v>
          </cell>
        </row>
        <row r="5832">
          <cell r="A5832">
            <v>87391</v>
          </cell>
          <cell r="B5832" t="str">
            <v>ARGAMASSA INDUSTRIALIZADA PARA CHAPISCO ROLADO, PREPARO COM MISTURADOR DE EIXO HORIZONTAL DE 160 KG. AF_08/2019</v>
          </cell>
          <cell r="C5832" t="str">
            <v>M3</v>
          </cell>
          <cell r="D5832">
            <v>4253.9399999999996</v>
          </cell>
        </row>
        <row r="5833">
          <cell r="A5833">
            <v>87393</v>
          </cell>
          <cell r="B5833" t="str">
            <v>ARGAMASSA INDUSTRIALIZADA PARA CHAPISCO ROLADO, PREPARO COM MISTURADOR DE EIXO HORIZONTAL DE 300 KG. AF_08/2019</v>
          </cell>
          <cell r="C5833" t="str">
            <v>M3</v>
          </cell>
          <cell r="D5833">
            <v>4294.2299999999996</v>
          </cell>
        </row>
        <row r="5834">
          <cell r="A5834">
            <v>87394</v>
          </cell>
          <cell r="B5834" t="str">
            <v>ARGAMASSA INDUSTRIALIZADA PARA CHAPISCO ROLADO, PREPARO COM MISTURADOR DE EIXO HORIZONTAL DE 600 KG. AF_08/2019</v>
          </cell>
          <cell r="C5834" t="str">
            <v>M3</v>
          </cell>
          <cell r="D5834">
            <v>4335.51</v>
          </cell>
        </row>
        <row r="5835">
          <cell r="A5835">
            <v>87395</v>
          </cell>
          <cell r="B5835" t="str">
            <v>ARGAMASSA INDUSTRIALIZADA PARA CHAPISCO COLANTE, PREPARO COM MISTURADOR DE EIXO HORIZONTAL DE 160 KG. AF_08/2019</v>
          </cell>
          <cell r="C5835" t="str">
            <v>M3</v>
          </cell>
          <cell r="D5835">
            <v>2670.42</v>
          </cell>
        </row>
        <row r="5836">
          <cell r="A5836">
            <v>87396</v>
          </cell>
          <cell r="B5836" t="str">
            <v>ARGAMASSA INDUSTRIALIZADA PARA CHAPISCO COLANTE, PREPARO COM MISTURADOR DE EIXO HORIZONTAL DE 300 KG. AF_08/2019</v>
          </cell>
          <cell r="C5836" t="str">
            <v>M3</v>
          </cell>
          <cell r="D5836">
            <v>2689.44</v>
          </cell>
        </row>
        <row r="5837">
          <cell r="A5837">
            <v>87397</v>
          </cell>
          <cell r="B5837" t="str">
            <v>ARGAMASSA INDUSTRIALIZADA PARA CHAPISCO COLANTE, PREPARO COM MISTURADOR DE EIXO HORIZONTAL DE 600 KG. AF_08/2019</v>
          </cell>
          <cell r="C5837" t="str">
            <v>M3</v>
          </cell>
          <cell r="D5837">
            <v>2710.39</v>
          </cell>
        </row>
        <row r="5838">
          <cell r="A5838">
            <v>87398</v>
          </cell>
          <cell r="B5838" t="str">
            <v>ARGAMASSA INDUSTRIALIZADA MULTIUSO PARA REVESTIMENTOS E ASSENTAMENTO DA ALVENARIA, PREPARO MANUAL. AF_08/2019</v>
          </cell>
          <cell r="C5838" t="str">
            <v>M3</v>
          </cell>
          <cell r="D5838">
            <v>1542.2</v>
          </cell>
        </row>
        <row r="5839">
          <cell r="A5839">
            <v>87399</v>
          </cell>
          <cell r="B5839" t="str">
            <v>ARGAMASSA PRONTA PARA CONTRAPISO, PREPARO MANUAL. AF_08/2019</v>
          </cell>
          <cell r="C5839" t="str">
            <v>M3</v>
          </cell>
          <cell r="D5839">
            <v>1762.96</v>
          </cell>
        </row>
        <row r="5840">
          <cell r="A5840">
            <v>87401</v>
          </cell>
          <cell r="B5840" t="str">
            <v>ARGAMASSA INDUSTRIALIZADA PARA CHAPISCO ROLADO, PREPARO MANUAL. AF_08/2019</v>
          </cell>
          <cell r="C5840" t="str">
            <v>M3</v>
          </cell>
          <cell r="D5840">
            <v>4500.3999999999996</v>
          </cell>
        </row>
        <row r="5841">
          <cell r="A5841">
            <v>87402</v>
          </cell>
          <cell r="B5841" t="str">
            <v>ARGAMASSA INDUSTRIALIZADA PARA CHAPISCO COLANTE, PREPARO MANUAL. AF_08/2019</v>
          </cell>
          <cell r="C5841" t="str">
            <v>M3</v>
          </cell>
          <cell r="D5841">
            <v>2884.45</v>
          </cell>
        </row>
        <row r="5842">
          <cell r="A5842">
            <v>87404</v>
          </cell>
          <cell r="B5842" t="str">
            <v>ARGAMASSA PARA REVESTIMENTO DECORATIVO MONOCAMADA (MONOCAPA), MISTURA E PROJEÇÃO DE 1,5 M3/H DE ARGAMASSA. AF_08/2019</v>
          </cell>
          <cell r="C5842" t="str">
            <v>M3</v>
          </cell>
          <cell r="D5842">
            <v>3983.95</v>
          </cell>
        </row>
        <row r="5843">
          <cell r="A5843">
            <v>87405</v>
          </cell>
          <cell r="B5843" t="str">
            <v>ARGAMASSA PARA REVESTIMENTO DECORATIVO MONOCAMADA (MONOCAPA), MISTURA E PROJEÇÃO DE 2 M3/H DE ARGAMASSA. AF_06/2014</v>
          </cell>
          <cell r="C5843" t="str">
            <v>M3</v>
          </cell>
          <cell r="D5843">
            <v>3996.15</v>
          </cell>
        </row>
        <row r="5844">
          <cell r="A5844">
            <v>87407</v>
          </cell>
          <cell r="B5844" t="str">
            <v>ARGAMASSA INDUSTRIALIZADA PARA REVESTIMENTOS, MISTURA E PROJEÇÃO DE 1,5 M³/H DE ARGAMASSA. AF_08/2019</v>
          </cell>
          <cell r="C5844" t="str">
            <v>M3</v>
          </cell>
          <cell r="D5844">
            <v>1402.23</v>
          </cell>
        </row>
        <row r="5845">
          <cell r="A5845">
            <v>87408</v>
          </cell>
          <cell r="B5845" t="str">
            <v>ARGAMASSA INDUSTRIALIZADA PARA REVESTIMENTOS, MISTURA E PROJEÇÃO DE 2 M³/H DE ARGAMASSA. AF_06/2014</v>
          </cell>
          <cell r="C5845" t="str">
            <v>M3</v>
          </cell>
          <cell r="D5845">
            <v>1394.63</v>
          </cell>
        </row>
        <row r="5846">
          <cell r="A5846">
            <v>87410</v>
          </cell>
          <cell r="B5846" t="str">
            <v>ARGAMASSA À BASE DE GESSO, MISTURA E PROJEÇÃO DE 1,5 M³/H DE ARGAMASSA. AF_08/2019</v>
          </cell>
          <cell r="C5846" t="str">
            <v>M3</v>
          </cell>
          <cell r="D5846">
            <v>738.5</v>
          </cell>
        </row>
        <row r="5847">
          <cell r="A5847">
            <v>88626</v>
          </cell>
          <cell r="B5847" t="str">
            <v>ARGAMASSA TRAÇO 1:0,5:4,5 (EM VOLUME DE CIMENTO, CAL E AREIA MÉDIA ÚMIDA), PREPARO MECÂNICO COM BETONEIRA 400 L. AF_08/2019</v>
          </cell>
          <cell r="C5847" t="str">
            <v>M3</v>
          </cell>
          <cell r="D5847">
            <v>343.53</v>
          </cell>
        </row>
        <row r="5848">
          <cell r="A5848">
            <v>88627</v>
          </cell>
          <cell r="B5848" t="str">
            <v>ARGAMASSA TRAÇO 1:0,5:4,5 (EM VOLUME DE CIMENTO, CAL E AREIA MÉDIA ÚMIDA) PARA ASSENTAMENTO DE ALVENARIA, PREPARO MANUAL. AF_08/2019</v>
          </cell>
          <cell r="C5848" t="str">
            <v>M3</v>
          </cell>
          <cell r="D5848">
            <v>425.76</v>
          </cell>
        </row>
        <row r="5849">
          <cell r="A5849">
            <v>88628</v>
          </cell>
          <cell r="B5849" t="str">
            <v>ARGAMASSA TRAÇO 1:3 (EM VOLUME DE CIMENTO E AREIA MÉDIA ÚMIDA), PREPARO MECÂNICO COM BETONEIRA 400 L. AF_08/2019</v>
          </cell>
          <cell r="C5849" t="str">
            <v>M3</v>
          </cell>
          <cell r="D5849">
            <v>354.53</v>
          </cell>
        </row>
        <row r="5850">
          <cell r="A5850">
            <v>88629</v>
          </cell>
          <cell r="B5850" t="str">
            <v>ARGAMASSA TRAÇO 1:3 (EM VOLUME DE CIMENTO E AREIA MÉDIA ÚMIDA), PREPARO MANUAL. AF_08/2019</v>
          </cell>
          <cell r="C5850" t="str">
            <v>M3</v>
          </cell>
          <cell r="D5850">
            <v>439.86</v>
          </cell>
        </row>
        <row r="5851">
          <cell r="A5851">
            <v>88630</v>
          </cell>
          <cell r="B5851" t="str">
            <v>ARGAMASSA TRAÇO 1:4 (CIMENTO E AREIA MÉDIA), PREPARO MECÂNICO COM BETONEIRA 400 L. AF_08/2014</v>
          </cell>
          <cell r="C5851" t="str">
            <v>M3</v>
          </cell>
          <cell r="D5851">
            <v>300.58999999999997</v>
          </cell>
        </row>
        <row r="5852">
          <cell r="A5852">
            <v>88631</v>
          </cell>
          <cell r="B5852" t="str">
            <v>ARGAMASSA TRAÇO 1:4 (EM VOLUME DE CIMENTO E AREIA MÉDIA ÚMIDA), PREPARO MANUAL. AF_08/2019</v>
          </cell>
          <cell r="C5852" t="str">
            <v>M3</v>
          </cell>
          <cell r="D5852">
            <v>394.63</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v>328.39</v>
          </cell>
        </row>
        <row r="5854">
          <cell r="A5854">
            <v>95563</v>
          </cell>
          <cell r="B5854" t="str">
            <v>ARGAMASSA TRAÇO 1:1,93 (EM VOLUME DE CIMENTO E AREIA MÉDIA ÚMIDA), FCK 20 MPA, PREPARO MECÂNICO COM MISTURADOR DUPLO HORIZONTAL DE ALTA TURBULÊNCIA. AF_03/2020</v>
          </cell>
          <cell r="C5854" t="str">
            <v>M3</v>
          </cell>
          <cell r="D5854">
            <v>535.16</v>
          </cell>
        </row>
        <row r="5855">
          <cell r="A5855">
            <v>100464</v>
          </cell>
          <cell r="B5855" t="str">
            <v>ARGAMASSA TRAÇO 1:0,5:4,5  (EM VOLUME DE CIMENTO, CAL E AREIA MÉDIA ÚMIDA), PREPARO MECÂNICO COM MISTURADOR DE EIXO HORIZONTAL DE 160 KG. AF_08/2019</v>
          </cell>
          <cell r="C5855" t="str">
            <v>M3</v>
          </cell>
          <cell r="D5855">
            <v>360.77</v>
          </cell>
        </row>
        <row r="5856">
          <cell r="A5856">
            <v>100465</v>
          </cell>
          <cell r="B5856" t="str">
            <v>ARGAMASSA TRAÇO 1:0,5:4,5  (EM VOLUME DE CIMENTO, CAL E AREIA MÉDIA ÚMIDA), PREPARO MECÂNICO COM MISTURADOR DE EIXO HORIZONTAL DE 300 KG. AF_08/2019</v>
          </cell>
          <cell r="C5856" t="str">
            <v>M3</v>
          </cell>
          <cell r="D5856">
            <v>335.93</v>
          </cell>
        </row>
        <row r="5857">
          <cell r="A5857">
            <v>100466</v>
          </cell>
          <cell r="B5857" t="str">
            <v>ARGAMASSA TRAÇO 1:0,5:4,5  (EM VOLUME DE CIMENTO, CAL E AREIA MÉDIA ÚMIDA), PREPARO MECÂNICO COM MISTURADOR DE EIXO HORIZONTAL DE 600 KG. AF_08/2019</v>
          </cell>
          <cell r="C5857" t="str">
            <v>M3</v>
          </cell>
          <cell r="D5857">
            <v>324.63</v>
          </cell>
        </row>
        <row r="5858">
          <cell r="A5858">
            <v>100468</v>
          </cell>
          <cell r="B5858" t="str">
            <v>ARGAMASSA TRAÇO 1:3 (EM VOLUME DE CIMENTO E AREIA MÉDIA ÚMIDA), PREPARO MECÂNICO COM MISTURADOR DE EIXO HORIZONTAL DE 160 KG. AF_08/2019</v>
          </cell>
          <cell r="C5858" t="str">
            <v>M3</v>
          </cell>
          <cell r="D5858">
            <v>429.85</v>
          </cell>
        </row>
        <row r="5859">
          <cell r="A5859">
            <v>100469</v>
          </cell>
          <cell r="B5859" t="str">
            <v>ARGAMASSA TRAÇO 1:3 (EM VOLUME DE CIMENTO E AREIA MÉDIA ÚMIDA), PREPARO MECÂNICO COM MISTURADOR DE EIXO HORIZONTAL DE 300 KG. AF_08/2019</v>
          </cell>
          <cell r="C5859" t="str">
            <v>M3</v>
          </cell>
          <cell r="D5859">
            <v>348.74</v>
          </cell>
        </row>
        <row r="5860">
          <cell r="A5860">
            <v>100470</v>
          </cell>
          <cell r="B5860" t="str">
            <v>ARGAMASSA TRAÇO 1:3 (EM VOLUME DE CIMENTO E AREIA MÉDIA ÚMIDA), PREPARO MECÂNICO COM MISTURADOR DE EIXO HORIZONTAL DE 600 KG. AF_08/2019</v>
          </cell>
          <cell r="C5860" t="str">
            <v>M3</v>
          </cell>
          <cell r="D5860">
            <v>310.63</v>
          </cell>
        </row>
        <row r="5861">
          <cell r="A5861">
            <v>100472</v>
          </cell>
          <cell r="B5861" t="str">
            <v>ARGAMASSA TRAÇO 1:4 (EM VOLUME DE CIMENTO E AREIA MÉDIA ÚMIDA), PREPARO MECÂNICO COM MISTURADOR DE EIXO HORIZONTAL DE 160 KG. AF_08/2019</v>
          </cell>
          <cell r="C5861" t="str">
            <v>M3</v>
          </cell>
          <cell r="D5861">
            <v>344.31</v>
          </cell>
        </row>
        <row r="5862">
          <cell r="A5862">
            <v>100473</v>
          </cell>
          <cell r="B5862" t="str">
            <v>ARGAMASSA TRAÇO 1:4 (EM VOLUME DE CIMENTO E AREIA MÉDIA ÚMIDA), PREPARO MECÂNICO COM MISTURADOR DE EIXO HORIZONTAL DE 300 KG. AF_08/2019</v>
          </cell>
          <cell r="C5862" t="str">
            <v>M3</v>
          </cell>
          <cell r="D5862">
            <v>312.7</v>
          </cell>
        </row>
        <row r="5863">
          <cell r="A5863">
            <v>100474</v>
          </cell>
          <cell r="B5863" t="str">
            <v>ARGAMASSA TRAÇO 1:4 (EM VOLUME DE CIMENTO E AREIA MÉDIA ÚMIDA), PREPARO MECÂNICO COM MISTURADOR DE EIXO HORIZONTAL DE 600 KG. AF_08/2019</v>
          </cell>
          <cell r="C5863" t="str">
            <v>M3</v>
          </cell>
          <cell r="D5863">
            <v>299.89</v>
          </cell>
        </row>
        <row r="5864">
          <cell r="A5864">
            <v>100475</v>
          </cell>
          <cell r="B5864" t="str">
            <v>ARGAMASSA TRAÇO 1:3 (EM VOLUME DE CIMENTO E AREIA MÉDIA ÚMIDA) COM ADIÇÃO DE IMPERMEABILIZANTE, PREPARO MECÂNICO COM BETONEIRA 400 L. AF_08/2019</v>
          </cell>
          <cell r="C5864" t="str">
            <v>M3</v>
          </cell>
          <cell r="D5864">
            <v>459.15</v>
          </cell>
        </row>
        <row r="5865">
          <cell r="A5865">
            <v>100477</v>
          </cell>
          <cell r="B5865" t="str">
            <v>ARGAMASSA TRAÇO 1:3 (EM VOLUME DE CIMENTO E AREIA MÉDIA ÚMIDA) COM ADIÇÃO DE IMPERMEABILIZANTE, PREPARO MECÂNICO COM MISTURADOR DE EIXO HORIZONTAL DE 160 KG. AF_08/2019</v>
          </cell>
          <cell r="C5865" t="str">
            <v>M3</v>
          </cell>
          <cell r="D5865">
            <v>499.86</v>
          </cell>
        </row>
        <row r="5866">
          <cell r="A5866">
            <v>100478</v>
          </cell>
          <cell r="B5866" t="str">
            <v>ARGAMASSA TRAÇO 1:3 (EM VOLUME DE CIMENTO E AREIA MÉDIA ÚMIDA) COM ADIÇÃO DE IMPERMEABILIZANTE, PREPARO MECÂNICO COM MISTURADOR DE EIXO HORIZONTAL DE 300 KG. AF_08/2019</v>
          </cell>
          <cell r="C5866" t="str">
            <v>M3</v>
          </cell>
          <cell r="D5866">
            <v>450.91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v>441.8</v>
          </cell>
        </row>
        <row r="5868">
          <cell r="A5868">
            <v>100480</v>
          </cell>
          <cell r="B5868" t="str">
            <v>ARGAMASSA TRAÇO 1:3 (EM VOLUME DE CIMENTO E AREIA MÉDIA ÚMIDA) COM ADIÇÃO DE IMPERMEABILIZANTE, PREPARO MANUAL. AF_08/2019</v>
          </cell>
          <cell r="C5868" t="str">
            <v>M3</v>
          </cell>
          <cell r="D5868">
            <v>544.29</v>
          </cell>
        </row>
        <row r="5869">
          <cell r="A5869">
            <v>100481</v>
          </cell>
          <cell r="B5869" t="str">
            <v>ARGAMASSA TRAÇO 1:4 (EM VOLUME DE CIMENTO E AREIA MÉDIA ÚMIDA) COM ADIÇÃO DE IMPERMEABILIZANTE, PREPARO MECÂNICO COM BETONEIRA 400 L. AF_08/2019</v>
          </cell>
          <cell r="C5869" t="str">
            <v>M3</v>
          </cell>
          <cell r="D5869">
            <v>394.55</v>
          </cell>
        </row>
        <row r="5870">
          <cell r="A5870">
            <v>100483</v>
          </cell>
          <cell r="B5870" t="str">
            <v>ARGAMASSA TRAÇO 1:4 (EM VOLUME DE CIMENTO E AREIA MÉDIA ÚMIDA) COM ADIÇÃO DE IMPERMEABILIZANTE, PREPARO MECÂNICO COM MISTURADOR DE EIXO HORIZONTAL DE 160 KG. AF_08/2019</v>
          </cell>
          <cell r="C5870" t="str">
            <v>M3</v>
          </cell>
          <cell r="D5870">
            <v>425.12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v>394.24</v>
          </cell>
        </row>
        <row r="5872">
          <cell r="A5872">
            <v>100485</v>
          </cell>
          <cell r="B5872" t="str">
            <v>ARGAMASSA TRAÇO 1:4 (EM VOLUME DE CIMENTO E AREIA MÉDIA ÚMIDA) COM ADIÇÃO DE IMPERMEABILIZANTE, PREPARO MECÂNICO COM MISTURADOR DE EIXO HORIZONTAL DE 600 KG. AF_08/2019</v>
          </cell>
          <cell r="C5872" t="str">
            <v>M3</v>
          </cell>
          <cell r="D5872">
            <v>383</v>
          </cell>
        </row>
        <row r="5873">
          <cell r="A5873">
            <v>100486</v>
          </cell>
          <cell r="B5873" t="str">
            <v>ARGAMASSA TRAÇO 1:4 (EM VOLUME DE CIMENTO E AREIA MÉDIA ÚMIDA) COM ADIÇÃO DE IMPERMEABILIZANTE, PREPARO MANUAL. AF_08/2019</v>
          </cell>
          <cell r="C5873" t="str">
            <v>M3</v>
          </cell>
          <cell r="D5873">
            <v>482.15</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v>314.07</v>
          </cell>
        </row>
        <row r="5875">
          <cell r="A5875">
            <v>100488</v>
          </cell>
          <cell r="B5875" t="str">
            <v>ARGAMASSA TRAÇO 1:0,5:4,5 (EM VOLUME DE CIMENTO, CAL E AREIA MÉDIA ÚMIDA), PREPARO MECÂNICO COM BETONEIRA 600 L. AF_08/2019</v>
          </cell>
          <cell r="C5875" t="str">
            <v>M3</v>
          </cell>
          <cell r="D5875">
            <v>339.48</v>
          </cell>
        </row>
        <row r="5876">
          <cell r="A5876">
            <v>100489</v>
          </cell>
          <cell r="B5876" t="str">
            <v>ARGAMASSA TRAÇO 1:3 (EM VOLUME DE CIMENTO E AREIA MÉDIA ÚMIDA), PREPARO MECÂNICO COM BETONEIRA 600 L. AF_08/2019</v>
          </cell>
          <cell r="C5876" t="str">
            <v>M3</v>
          </cell>
          <cell r="D5876">
            <v>354.87</v>
          </cell>
        </row>
        <row r="5877">
          <cell r="A5877">
            <v>100490</v>
          </cell>
          <cell r="B5877" t="str">
            <v>ARGAMASSA TRAÇO 1:4 (EM VOLUME DE CIMENTO E AREIA MÉDIA ÚMIDA), PREPARO MECÂNICO COM BETONEIRA 600 L. AF_08/2019</v>
          </cell>
          <cell r="C5877" t="str">
            <v>M3</v>
          </cell>
          <cell r="D5877">
            <v>311.77</v>
          </cell>
        </row>
        <row r="5878">
          <cell r="A5878">
            <v>100491</v>
          </cell>
          <cell r="B5878" t="str">
            <v>ARGAMASSA TRAÇO 1:3 (EM VOLUME DE CIMENTO E AREIA MÉDIA ÚMIDA) COM ADIÇÃO DE IMPERMEABILIZANTE, PREPARO MECÂNICO COM BETONEIRA 600 L. AF_08/2019</v>
          </cell>
          <cell r="C5878" t="str">
            <v>M3</v>
          </cell>
          <cell r="D5878">
            <v>460.48</v>
          </cell>
        </row>
        <row r="5879">
          <cell r="A5879">
            <v>100492</v>
          </cell>
          <cell r="B5879" t="str">
            <v>ARGAMASSA TRAÇO 1:4 (EM VOLUME DE CIMENTO E AREIA MÉDIA ÚMIDA) COM ADIÇÃO DE IMPERMEABILIZANTE, PREPARO MECÂNICO COM BETONEIRA 600 L. AF_08/2019</v>
          </cell>
          <cell r="C5879" t="str">
            <v>M3</v>
          </cell>
          <cell r="D5879">
            <v>396.08</v>
          </cell>
        </row>
        <row r="5880">
          <cell r="A5880">
            <v>92121</v>
          </cell>
          <cell r="B5880" t="str">
            <v>PENEIRAMENTO DE AREIA COM PENEIRA ELÉTRICA. AF_11/2015</v>
          </cell>
          <cell r="C5880" t="str">
            <v>M3</v>
          </cell>
          <cell r="D5880">
            <v>22.65</v>
          </cell>
        </row>
        <row r="5881">
          <cell r="A5881">
            <v>92122</v>
          </cell>
          <cell r="B5881" t="str">
            <v>PENEIRAMENTO DE AREIA COM PENEIRA MANUAL. AF_11/2015</v>
          </cell>
          <cell r="C5881" t="str">
            <v>M3</v>
          </cell>
          <cell r="D5881">
            <v>38.15</v>
          </cell>
        </row>
        <row r="5882">
          <cell r="A5882">
            <v>92123</v>
          </cell>
          <cell r="B5882" t="str">
            <v>ENSACAMENTO DE AREIA. AF_11/2015</v>
          </cell>
          <cell r="C5882" t="str">
            <v>M3</v>
          </cell>
          <cell r="D5882">
            <v>36.31</v>
          </cell>
        </row>
        <row r="5883">
          <cell r="A5883">
            <v>100195</v>
          </cell>
          <cell r="B5883" t="str">
            <v>TRANSPORTE HORIZONTAL MANUAL, DE SACOS DE 50 KG (UNIDADE: KGXKM). AF_07/2019</v>
          </cell>
          <cell r="C5883" t="str">
            <v>KGXKM</v>
          </cell>
          <cell r="D5883">
            <v>0.57999999999999996</v>
          </cell>
        </row>
        <row r="5884">
          <cell r="A5884">
            <v>100196</v>
          </cell>
          <cell r="B5884" t="str">
            <v>TRANSPORTE HORIZONTAL MANUAL, DE SACOS DE 30 KG (UNIDADE: KGXKM). AF_07/2019</v>
          </cell>
          <cell r="C5884" t="str">
            <v>KGXKM</v>
          </cell>
          <cell r="D5884">
            <v>0.97</v>
          </cell>
        </row>
        <row r="5885">
          <cell r="A5885">
            <v>100197</v>
          </cell>
          <cell r="B5885" t="str">
            <v>TRANSPORTE HORIZONTAL MANUAL, DE SACOS DE 20 KG (UNIDADE: KGXKM). AF_07/2019</v>
          </cell>
          <cell r="C5885" t="str">
            <v>KGXKM</v>
          </cell>
          <cell r="D5885">
            <v>1.46</v>
          </cell>
        </row>
        <row r="5886">
          <cell r="A5886">
            <v>100198</v>
          </cell>
          <cell r="B5886" t="str">
            <v>TRANSPORTE HORIZONTAL COM CARRINHO PLATAFORMA, DE SACOS DE 50 KG (UNIDADE: KGXKM). AF_07/2019</v>
          </cell>
          <cell r="C5886" t="str">
            <v>KGXKM</v>
          </cell>
          <cell r="D5886">
            <v>0.2</v>
          </cell>
        </row>
        <row r="5887">
          <cell r="A5887">
            <v>100199</v>
          </cell>
          <cell r="B5887" t="str">
            <v>TRANSPORTE HORIZONTAL COM CARRINHO PLATAFORMA, DE SACOS DE 30 KG (UNIDADE: KGXKM). AF_07/2019</v>
          </cell>
          <cell r="C5887" t="str">
            <v>KGXKM</v>
          </cell>
          <cell r="D5887">
            <v>0.24</v>
          </cell>
        </row>
        <row r="5888">
          <cell r="A5888">
            <v>100200</v>
          </cell>
          <cell r="B5888" t="str">
            <v>TRANSPORTE HORIZONTAL COM CARRINHO PLATAFORMA, DE SACOS DE 20 KG (UNIDADE: KGXKM). AF_07/2019</v>
          </cell>
          <cell r="C5888" t="str">
            <v>KGXKM</v>
          </cell>
          <cell r="D5888">
            <v>0.28999999999999998</v>
          </cell>
        </row>
        <row r="5889">
          <cell r="A5889">
            <v>100201</v>
          </cell>
          <cell r="B5889" t="str">
            <v>TRANSPORTE HORIZONTAL COM CARRINHO DE MÃO, DE SACOS DE 50 KG (UNIDADE: KGXKM). AF_07/2019</v>
          </cell>
          <cell r="C5889" t="str">
            <v>KGXKM</v>
          </cell>
          <cell r="D5889">
            <v>0.59</v>
          </cell>
        </row>
        <row r="5890">
          <cell r="A5890">
            <v>100202</v>
          </cell>
          <cell r="B5890" t="str">
            <v>TRANSPORTE HORIZONTAL COM CARRINHO DE MÃO, DE SACOS DE 30 KG (UNIDADE: KGXKM). AF_07/2019</v>
          </cell>
          <cell r="C5890" t="str">
            <v>KGXKM</v>
          </cell>
          <cell r="D5890">
            <v>0.69</v>
          </cell>
        </row>
        <row r="5891">
          <cell r="A5891">
            <v>100203</v>
          </cell>
          <cell r="B5891" t="str">
            <v>TRANSPORTE HORIZONTAL COM CARRINHO DE MÃO, DE SACOS DE 20 KG (UNIDADE: KGXKM). AF_07/2019</v>
          </cell>
          <cell r="C5891" t="str">
            <v>KGXKM</v>
          </cell>
          <cell r="D5891">
            <v>0.82</v>
          </cell>
        </row>
        <row r="5892">
          <cell r="A5892">
            <v>100204</v>
          </cell>
          <cell r="B5892" t="str">
            <v>TRANSPORTE HORIZONTAL COM MANIPULADOR TELESCÓPICO, DE PÁLETE DE SACOS (UNIDADE: KGXKM). AF_07/2019</v>
          </cell>
          <cell r="C5892" t="str">
            <v>KGXKM</v>
          </cell>
          <cell r="D5892">
            <v>7.0000000000000007E-2</v>
          </cell>
        </row>
        <row r="5893">
          <cell r="A5893">
            <v>100205</v>
          </cell>
          <cell r="B5893" t="str">
            <v>TRANSPORTE HORIZONTAL COM JERICA DE 60 L, DE MASSA/ GRANEL (UNIDADE: M3XKM). AF_07/2019</v>
          </cell>
          <cell r="C5893" t="str">
            <v>M3XKM</v>
          </cell>
          <cell r="D5893">
            <v>1086.75</v>
          </cell>
        </row>
        <row r="5894">
          <cell r="A5894">
            <v>100206</v>
          </cell>
          <cell r="B5894" t="str">
            <v>TRANSPORTE HORIZONTAL COM JERICA DE 90 L, DE MASSA/ GRANEL (UNIDADE: M3XKM). AF_07/2019</v>
          </cell>
          <cell r="C5894" t="str">
            <v>M3XKM</v>
          </cell>
          <cell r="D5894">
            <v>785.54</v>
          </cell>
        </row>
        <row r="5895">
          <cell r="A5895">
            <v>100207</v>
          </cell>
          <cell r="B5895" t="str">
            <v>TRANSPORTE HORIZONTAL COM CARREGADEIRA, DE MASSA/ GRANEL (UNIDADE: M3XKM). AF_07/2019</v>
          </cell>
          <cell r="C5895" t="str">
            <v>M3XKM</v>
          </cell>
          <cell r="D5895">
            <v>285.32</v>
          </cell>
        </row>
        <row r="5896">
          <cell r="A5896">
            <v>100208</v>
          </cell>
          <cell r="B5896" t="str">
            <v>TRANSPORTE HORIZONTAL MANUAL, DE BLOCOS VAZADOS DE CONCRETO OU CERÂMICO DE 19X19X39CM (UNIDADE: BLOCOXKM). AF_07/2019</v>
          </cell>
          <cell r="C5896" t="str">
            <v>UNXKM</v>
          </cell>
          <cell r="D5896">
            <v>14.37</v>
          </cell>
        </row>
        <row r="5897">
          <cell r="A5897">
            <v>100209</v>
          </cell>
          <cell r="B5897" t="str">
            <v>TRANSPORTE HORIZONTAL MANUAL, DE BLOCOS CERÂMICOS FURADOS NA HORIZONTAL DE 9X19X19CM (UNIDADE: BLOCOXKM). AF_07/2019</v>
          </cell>
          <cell r="C5897" t="str">
            <v>UNXKM</v>
          </cell>
          <cell r="D5897">
            <v>7.18</v>
          </cell>
        </row>
        <row r="5898">
          <cell r="A5898">
            <v>100210</v>
          </cell>
          <cell r="B5898" t="str">
            <v>TRANSPORTE HORIZONTAL COM CARRINHO DE MÃO, DE BLOCOS VAZADOS DE CONCRETO OU CERÂMICO DE 19X19X39CM (UNIDADE: BLOCOXKM). AF_07/2019</v>
          </cell>
          <cell r="C5898" t="str">
            <v>UNXKM</v>
          </cell>
          <cell r="D5898">
            <v>13.24</v>
          </cell>
        </row>
        <row r="5899">
          <cell r="A5899">
            <v>100211</v>
          </cell>
          <cell r="B5899" t="str">
            <v>TRANSPORTE HORIZONTAL COM CARRINHO DE MÃO, DE BLOCOS CERÂMICOS FURADOS NA HORIZONTAL DE 9X19X19CM (UNIDADE: BLOCOXKM). AF_07/2019</v>
          </cell>
          <cell r="C5899" t="str">
            <v>UNXKM</v>
          </cell>
          <cell r="D5899">
            <v>5.1100000000000003</v>
          </cell>
        </row>
        <row r="5900">
          <cell r="A5900">
            <v>100212</v>
          </cell>
          <cell r="B5900" t="str">
            <v>TRANSPORTE HORIZONTAL COM CARRINHO PLATAFORMA, DE BLOCOS VAZADOS DE CONCRETO OU CERÂMICO DE 19X19X39CM (UNIDADE: BLOCOXKM). AF_07/2019</v>
          </cell>
          <cell r="C5900" t="str">
            <v>UNXKM</v>
          </cell>
          <cell r="D5900">
            <v>5.64</v>
          </cell>
        </row>
        <row r="5901">
          <cell r="A5901">
            <v>100213</v>
          </cell>
          <cell r="B5901" t="str">
            <v>TRANSPORTE HORIZONTAL COM CARRINHO PLATAFORMA, DE BLOCOS CERÂMICOS FURADOS NA HORIZONTAL DE 9X19X19CM (UNIDADE: BLOCOXKM). AF_07/2019</v>
          </cell>
          <cell r="C5901" t="str">
            <v>UNXKM</v>
          </cell>
          <cell r="D5901">
            <v>2.02</v>
          </cell>
        </row>
        <row r="5902">
          <cell r="A5902">
            <v>100214</v>
          </cell>
          <cell r="B5902" t="str">
            <v>TRANSPORTE HORIZONTAL COM CARRINHO MINI PÁLETES, DE BLOCOS VAZADOS DE CONCRETO DE 19X19X39CM (UNIDADE: BLOCOXKM). AF_07/2019</v>
          </cell>
          <cell r="C5902" t="str">
            <v>UNXKM</v>
          </cell>
          <cell r="D5902">
            <v>3.11</v>
          </cell>
        </row>
        <row r="5903">
          <cell r="A5903">
            <v>100215</v>
          </cell>
          <cell r="B5903" t="str">
            <v>TRANSPORTE HORIZONTAL COM CARRINHO MINI PÁLETES, DE BLOCOS CERÂMICOS FURADOS NA VERTICAL DE 19X19X39CM (UNIDADE: BLOCOXKM). AF_07/2019</v>
          </cell>
          <cell r="C5903" t="str">
            <v>UNXKM</v>
          </cell>
          <cell r="D5903">
            <v>2.66</v>
          </cell>
        </row>
        <row r="5904">
          <cell r="A5904">
            <v>100216</v>
          </cell>
          <cell r="B5904" t="str">
            <v>TRANSPORTE HORIZONTAL COM CARRINHO MINI PÁLETES, DE BLOCOS CERÂMICOS FURADOS NA HORIZONTAL DE 9X19X19CM (UNIDADE: BLOCOXKM). AF_07/2019</v>
          </cell>
          <cell r="C5904" t="str">
            <v>UNXKM</v>
          </cell>
          <cell r="D5904">
            <v>0.71</v>
          </cell>
        </row>
        <row r="5905">
          <cell r="A5905">
            <v>100217</v>
          </cell>
          <cell r="B5905" t="str">
            <v>TRANSPORTE HORIZONTAL COM MANIPULADOR TELESCÓPICO, DE BLOCOS VAZADOS DE CONCRETO DE 19X19X39CM (UNIDADE: BLOCOXKM). AF_07/2019</v>
          </cell>
          <cell r="C5905" t="str">
            <v>UNXKM</v>
          </cell>
          <cell r="D5905">
            <v>1.98</v>
          </cell>
        </row>
        <row r="5906">
          <cell r="A5906">
            <v>100218</v>
          </cell>
          <cell r="B5906" t="str">
            <v>TRANSPORTE HORIZONTAL COM MANIPULADOR TELESCÓPICO, DE BLOCOS CERÂMICOS FURADOS NA VERTICAL DE 19X19X39CM (UNIDADE: BLOCOXKM). AF_07/2019</v>
          </cell>
          <cell r="C5906" t="str">
            <v>UNXKM</v>
          </cell>
          <cell r="D5906">
            <v>1.35</v>
          </cell>
        </row>
        <row r="5907">
          <cell r="A5907">
            <v>100219</v>
          </cell>
          <cell r="B5907" t="str">
            <v>TRANSPORTE HORIZONTAL COM MANIPULADOR TELESCÓPICO, DE BLOCOS CERÂMICOS FURADOS NA HORIZONTAL DE 9X19X19CM (UNIDADE: BLOCOXKM). AF_07/2019</v>
          </cell>
          <cell r="C5907" t="str">
            <v>UNXKM</v>
          </cell>
          <cell r="D5907">
            <v>0.3</v>
          </cell>
        </row>
        <row r="5908">
          <cell r="A5908">
            <v>100220</v>
          </cell>
          <cell r="B5908" t="str">
            <v>TRANSPORTE HORIZONTAL MANUAL, DE CAIXA COM REVESTIMENTO CERÂMICO (UNIDADE: M2XKM). AF_07/2019</v>
          </cell>
          <cell r="C5908" t="str">
            <v>M2XKM</v>
          </cell>
          <cell r="D5908">
            <v>20.65</v>
          </cell>
        </row>
        <row r="5909">
          <cell r="A5909">
            <v>100221</v>
          </cell>
          <cell r="B5909" t="str">
            <v>TRANSPORTE HORIZONTAL COM CARRINHO DE MÃO, DE CAIXA COM REVESTIMENTO CERÂMICO (UNIDADE: M2XKM). AF_07/2019</v>
          </cell>
          <cell r="C5909" t="str">
            <v>M2XKM</v>
          </cell>
          <cell r="D5909">
            <v>23.41</v>
          </cell>
        </row>
        <row r="5910">
          <cell r="A5910">
            <v>100222</v>
          </cell>
          <cell r="B5910" t="str">
            <v>TRANSPORTE HORIZONTAL COM CARRINHO PLATAFORMA, DE CAIXA COM REVESTIMENTO CERÂMICO (UNIDADE: M2XKM). AF_07/2019</v>
          </cell>
          <cell r="C5910" t="str">
            <v>M2XKM</v>
          </cell>
          <cell r="D5910">
            <v>8.86</v>
          </cell>
        </row>
        <row r="5911">
          <cell r="A5911">
            <v>100223</v>
          </cell>
          <cell r="B5911" t="str">
            <v>TRANSPORTE HORIZONTAL COM CARRINHO MINI PÁLETES, DE CAIXA COM REVESTIMENTO CERÂMICO (UNIDADE: M2XKM). AF_07/2019</v>
          </cell>
          <cell r="C5911" t="str">
            <v>M2XKM</v>
          </cell>
          <cell r="D5911">
            <v>4.1500000000000004</v>
          </cell>
        </row>
        <row r="5912">
          <cell r="A5912">
            <v>100224</v>
          </cell>
          <cell r="B5912" t="str">
            <v>TRANSPORTE HORIZONTAL COM MANIPULADOR TELESCÓPICO, DE CAIXA COM REVESTIMENTO CERÂMICO (UNIDADE: M2XKM). AF_07/2019</v>
          </cell>
          <cell r="C5912" t="str">
            <v>M2XKM</v>
          </cell>
          <cell r="D5912">
            <v>1.98</v>
          </cell>
        </row>
        <row r="5913">
          <cell r="A5913">
            <v>100225</v>
          </cell>
          <cell r="B5913" t="str">
            <v>TRANSPORTE HORIZONTAL MANUAL, DE LATA DE 18 LITROS (UNIDADE: LXKM). AF_07/2019</v>
          </cell>
          <cell r="C5913" t="str">
            <v>LXKM</v>
          </cell>
          <cell r="D5913">
            <v>1.62</v>
          </cell>
        </row>
        <row r="5914">
          <cell r="A5914">
            <v>100226</v>
          </cell>
          <cell r="B5914" t="str">
            <v>TRANSPORTE HORIZONTAL COM CARRINHO PLATAFORMA, DE LATA DE 18 LITROS (UNIDADE: LXKM). AF_07/2019</v>
          </cell>
          <cell r="C5914" t="str">
            <v>LXKM</v>
          </cell>
          <cell r="D5914">
            <v>0.51</v>
          </cell>
        </row>
        <row r="5915">
          <cell r="A5915">
            <v>100227</v>
          </cell>
          <cell r="B5915" t="str">
            <v>TRANSPORTE HORIZONTAL COM CARRINHO RACIONAL, DE LATA DE 18 LITROS (UNIDADE: LXKM). AF_07/2019</v>
          </cell>
          <cell r="C5915" t="str">
            <v>LXKM</v>
          </cell>
          <cell r="D5915">
            <v>0.75</v>
          </cell>
        </row>
        <row r="5916">
          <cell r="A5916">
            <v>100228</v>
          </cell>
          <cell r="B5916" t="str">
            <v>TRANSPORTE HORIZONTAL COM MANIPULADOR TELESCÓPICO, DE LATA DE 18 LITROS (UNIDADE: LXKM). AF_07/2019</v>
          </cell>
          <cell r="C5916" t="str">
            <v>LXKM</v>
          </cell>
          <cell r="D5916">
            <v>0.19</v>
          </cell>
        </row>
        <row r="5917">
          <cell r="A5917">
            <v>100229</v>
          </cell>
          <cell r="B5917" t="str">
            <v>TRANSPORTE VERTICAL MANUAL, 1 PAVIMENTO, DE SACOS DE 50 KG (UNIDADE: KG). AF_07/2019</v>
          </cell>
          <cell r="C5917" t="str">
            <v>KG</v>
          </cell>
          <cell r="D5917">
            <v>0.01</v>
          </cell>
        </row>
        <row r="5918">
          <cell r="A5918">
            <v>100230</v>
          </cell>
          <cell r="B5918" t="str">
            <v>TRANSPORTE VERTICAL MANUAL, 1 PAVIMENTO, DE SACOS DE 30 KG (UNIDADE: KG). AF_07/2019</v>
          </cell>
          <cell r="C5918" t="str">
            <v>KG</v>
          </cell>
          <cell r="D5918">
            <v>0.01</v>
          </cell>
        </row>
        <row r="5919">
          <cell r="A5919">
            <v>100231</v>
          </cell>
          <cell r="B5919" t="str">
            <v>TRANSPORTE VERTICAL MANUAL, 1 PAVIMENTO, DE SACOS DE 20 KG (UNIDADE: KG). AF_07/2019</v>
          </cell>
          <cell r="C5919" t="str">
            <v>KG</v>
          </cell>
          <cell r="D5919">
            <v>0.02</v>
          </cell>
        </row>
        <row r="5920">
          <cell r="A5920">
            <v>100232</v>
          </cell>
          <cell r="B5920" t="str">
            <v>TRANSPORTE VERTICAL MANUAL, 1 PAVIMENTO, DE BLOCOS VAZADOS DE CONCRETO OU CERÂMICO DE 19X19X39CM (UNIDADE: BLOCO). AF_07/2019</v>
          </cell>
          <cell r="C5920" t="str">
            <v>UN</v>
          </cell>
          <cell r="D5920">
            <v>0.27</v>
          </cell>
        </row>
        <row r="5921">
          <cell r="A5921">
            <v>100233</v>
          </cell>
          <cell r="B5921" t="str">
            <v>TRANSPORTE VERTICAL MANUAL, 1 PAVIMENTO, DE BLOCOS CERÂMICOS FURADOS NA HORIZONTAL DE 9X19X19CM (UNIDADE: BLOCO). AF_07/2019</v>
          </cell>
          <cell r="C5921" t="str">
            <v>UN</v>
          </cell>
          <cell r="D5921">
            <v>0.13</v>
          </cell>
        </row>
        <row r="5922">
          <cell r="A5922">
            <v>100234</v>
          </cell>
          <cell r="B5922" t="str">
            <v>TRANSPORTE VERTICAL MANUAL, 1 PAVIMENTO, DE CAIXA COM REVESTIMENTO CERÂMICO (UNIDADE: M2). AF_07/2019</v>
          </cell>
          <cell r="C5922" t="str">
            <v>M2</v>
          </cell>
          <cell r="D5922">
            <v>0.4</v>
          </cell>
        </row>
        <row r="5923">
          <cell r="A5923">
            <v>100235</v>
          </cell>
          <cell r="B5923" t="str">
            <v>TRANSPORTE VERTICAL MANUAL, 1 PAVIMENTO, DE LATA DE 18 LITROS (UNIDADE: L). AF_07/2019</v>
          </cell>
          <cell r="C5923" t="str">
            <v>L</v>
          </cell>
          <cell r="D5923">
            <v>0.03</v>
          </cell>
        </row>
        <row r="5924">
          <cell r="A5924">
            <v>100236</v>
          </cell>
          <cell r="B5924" t="str">
            <v>TRANSPORTE HORIZONTAL MANUAL, DE TUBO DE PVC SOLDÁVEL COM DIÂMETRO MENOR OU IGUAL A 60 MM (UNIDADE: MXKM). AF_07/2019</v>
          </cell>
          <cell r="C5924" t="str">
            <v>MXKM</v>
          </cell>
          <cell r="D5924">
            <v>2.06</v>
          </cell>
        </row>
        <row r="5925">
          <cell r="A5925">
            <v>100237</v>
          </cell>
          <cell r="B5925" t="str">
            <v>TRANSPORTE HORIZONTAL MANUAL, DE TUBO DE PVC SOLDÁVEL COM DIÂMETRO MAIOR QUE 60 MM E MENOR OU IGUAL A 85 MM (UNIDADE: MXKM). AF_07/2019</v>
          </cell>
          <cell r="C5925" t="str">
            <v>MXKM</v>
          </cell>
          <cell r="D5925">
            <v>2.4700000000000002</v>
          </cell>
        </row>
        <row r="5926">
          <cell r="A5926">
            <v>100238</v>
          </cell>
          <cell r="B5926" t="str">
            <v>TRANSPORTE HORIZONTAL MANUAL, DE TUBO DE CPVC COM DIÂMETRO MENOR OU IGUAL A 73 MM (UNIDADE: MXKM). AF_07/2019</v>
          </cell>
          <cell r="C5926" t="str">
            <v>MXKM</v>
          </cell>
          <cell r="D5926">
            <v>3.95</v>
          </cell>
        </row>
        <row r="5927">
          <cell r="A5927">
            <v>100239</v>
          </cell>
          <cell r="B5927" t="str">
            <v>TRANSPORTE HORIZONTAL MANUAL, DE TUBO DE CPVC COM DIÂMETRO MAIOR QUE 73 MM E MENOR OU IGUAL A 89 MM (UNIDADE: MXKM). AF_07/2019</v>
          </cell>
          <cell r="C5927" t="str">
            <v>MXKM</v>
          </cell>
          <cell r="D5927">
            <v>4.9400000000000004</v>
          </cell>
        </row>
        <row r="5928">
          <cell r="A5928">
            <v>100240</v>
          </cell>
          <cell r="B5928" t="str">
            <v>TRANSPORTE HORIZONTAL MANUAL, DE TUBO DE PPR - PN12 OU PN25 - COM DIÂMETRO MENOR OU IGUAL A 50 MM (UNIDADE: MXKM). AF_07/2019</v>
          </cell>
          <cell r="C5928" t="str">
            <v>MXKM</v>
          </cell>
          <cell r="D5928">
            <v>2.96</v>
          </cell>
        </row>
        <row r="5929">
          <cell r="A5929">
            <v>100241</v>
          </cell>
          <cell r="B5929" t="str">
            <v>TRANSPORTE HORIZONTAL MANUAL, DE TUBO DE PPR - PN12 OU PN25 - COM DIÂMETRO MAIOR QUE 50 MM E MENOR OU IGUAL A 75 MM (UNIDADE: MXKM). AF_07/2019</v>
          </cell>
          <cell r="C5929" t="str">
            <v>MXKM</v>
          </cell>
          <cell r="D5929">
            <v>4.9400000000000004</v>
          </cell>
        </row>
        <row r="5930">
          <cell r="A5930">
            <v>100242</v>
          </cell>
          <cell r="B5930" t="str">
            <v>TRANSPORTE HORIZONTAL MANUAL, DE TUBO DE PPR - PN12 OU PN25 - COM DIÂMETRO MAIOR QUE 75 MM E MENOR OU IGUAL A 110 MM (UNIDADE: MXKM). AF_07/2019</v>
          </cell>
          <cell r="C5930" t="str">
            <v>MXKM</v>
          </cell>
          <cell r="D5930">
            <v>14.6</v>
          </cell>
        </row>
        <row r="5931">
          <cell r="A5931">
            <v>100243</v>
          </cell>
          <cell r="B5931" t="str">
            <v>TRANSPORTE HORIZONTAL MANUAL, DE TUBO DE COBRE - CLASSE E - COM DIÂMETRO MENOR OU IGUAL A 54 MM (UNIDADE: MXKM). AF_07/2019</v>
          </cell>
          <cell r="C5931" t="str">
            <v>MXKM</v>
          </cell>
          <cell r="D5931">
            <v>2.37</v>
          </cell>
        </row>
        <row r="5932">
          <cell r="A5932">
            <v>100244</v>
          </cell>
          <cell r="B5932" t="str">
            <v>TRANSPORTE HORIZONTAL MANUAL, DE TUBO DE COBRE - CLASSE E - COM DIÂMETRO MAIOR QUE 54 MM E MENOR OU IGUAL A 79 MM (UNIDADE: MXKM). AF_07/2019</v>
          </cell>
          <cell r="C5932" t="str">
            <v>MXKM</v>
          </cell>
          <cell r="D5932">
            <v>2.96</v>
          </cell>
        </row>
        <row r="5933">
          <cell r="A5933">
            <v>100245</v>
          </cell>
          <cell r="B5933" t="str">
            <v>TRANSPORTE HORIZONTAL MANUAL, DE TUBO DE COBRE - CLASSE E - COM DIÂMETRO MAIOR QUE 79 MM E MENOR OU IGUAL A 104 MM (UNIDADE: MXKM). AF_07/2019</v>
          </cell>
          <cell r="C5933" t="str">
            <v>MXKM</v>
          </cell>
          <cell r="D5933">
            <v>5.92</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v>1.97</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v>2.4700000000000002</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v>9.73</v>
          </cell>
        </row>
        <row r="5937">
          <cell r="A5937">
            <v>100249</v>
          </cell>
          <cell r="B5937" t="str">
            <v>TRANSPORTE HORIZONTAL MANUAL, DE TUBO DE AÇO CARBONO LEVE OU MÉDIO, PRETO OU GALVANIZADO, COM DIÂMETRO MENOR OU IGUAL A 20 MM (UNIDADE: MXKM). AF_07/2019</v>
          </cell>
          <cell r="C5937" t="str">
            <v>MXKM</v>
          </cell>
          <cell r="D5937">
            <v>1.97</v>
          </cell>
        </row>
        <row r="5938">
          <cell r="A5938">
            <v>100250</v>
          </cell>
          <cell r="B5938" t="str">
            <v>TRANSPORTE HORIZONTAL MANUAL, DE TUBO DE AÇO CARBONO LEVE OU MÉDIO, PRETO OU GALVANIZADO, COM DIÂMETRO MAIOR QUE 20 MM E MENOR OU IGUAL A 32 MM (UNIDADE: MXKM). AF_07/2019</v>
          </cell>
          <cell r="C5938" t="str">
            <v>MXKM</v>
          </cell>
          <cell r="D5938">
            <v>3.29</v>
          </cell>
        </row>
        <row r="5939">
          <cell r="A5939">
            <v>100251</v>
          </cell>
          <cell r="B5939" t="str">
            <v>TRANSPORTE HORIZONTAL MANUAL, DE TUBO DE AÇO CARBONO LEVE OU MÉDIO, PRETO OU GALVANIZADO, COM DIÂMETRO MAIOR QUE 32 MM E MENOR OU IGUAL A 65 MM (UNIDADE: MXKM). AF_07/2019</v>
          </cell>
          <cell r="C5939" t="str">
            <v>MXKM</v>
          </cell>
          <cell r="D5939">
            <v>9.73</v>
          </cell>
        </row>
        <row r="5940">
          <cell r="A5940">
            <v>100252</v>
          </cell>
          <cell r="B5940" t="str">
            <v>TRANSPORTE HORIZONTAL MANUAL, DE TUBO DE AÇO CARBONO LEVE OU MÉDIO, PRETO OU GALVANIZADO, COM DIÂMETRO MAIOR QUE 65 MM E MENOR OU IGUAL A 90 MM (UNIDADE: MXKM). AF_07/2019</v>
          </cell>
          <cell r="C5940" t="str">
            <v>MXKM</v>
          </cell>
          <cell r="D5940">
            <v>14.6</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v>19.46</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v>29.2</v>
          </cell>
        </row>
        <row r="5943">
          <cell r="A5943">
            <v>100255</v>
          </cell>
          <cell r="B5943" t="str">
            <v>TRANSPORTE HORIZONTAL MANUAL, DE TÁBUAS DE MADEIRA COM SEÇÃO TRANSVERSAL DE 2,5 X 25 CM E 2,5 X 30 CM (UNIDADE: MXKM). AF_07/2019</v>
          </cell>
          <cell r="C5943" t="str">
            <v>MXKM</v>
          </cell>
          <cell r="D5943">
            <v>9.8800000000000008</v>
          </cell>
        </row>
        <row r="5944">
          <cell r="A5944">
            <v>100256</v>
          </cell>
          <cell r="B5944" t="str">
            <v>TRANSPORTE HORIZONTAL MANUAL, DE CAIBROS DE MADEIRA COM SEÇÃO TRANSVERSAL DE 7,5 X 6 CM E 6 X 8 CM (UNIDADE: MXKM). AF_07/2019</v>
          </cell>
          <cell r="C5944" t="str">
            <v>MXKM</v>
          </cell>
          <cell r="D5944">
            <v>6.58</v>
          </cell>
        </row>
        <row r="5945">
          <cell r="A5945">
            <v>100257</v>
          </cell>
          <cell r="B5945" t="str">
            <v>TRANSPORTE HORIZONTAL MANUAL, DE RIPAS DE MADEIRA COM SEÇÃO TRANSVERSAL DE 1 X 5 CM E 2 X 5 CM (UNIDADE: MXKM). AF_07/2019</v>
          </cell>
          <cell r="C5945" t="str">
            <v>MXKM</v>
          </cell>
          <cell r="D5945">
            <v>3.95</v>
          </cell>
        </row>
        <row r="5946">
          <cell r="A5946">
            <v>100258</v>
          </cell>
          <cell r="B5946" t="str">
            <v>TRANSPORTE HORIZONTAL MANUAL, DE VIGAS DE MADEIRA COM SEÇÃO TRANSVERSAL DE 5 X 12 CM (UNIDADE: MXKM). AF_07/2019</v>
          </cell>
          <cell r="C5946" t="str">
            <v>MXKM</v>
          </cell>
          <cell r="D5946">
            <v>9.8800000000000008</v>
          </cell>
        </row>
        <row r="5947">
          <cell r="A5947">
            <v>100259</v>
          </cell>
          <cell r="B5947" t="str">
            <v>TRANSPORTE HORIZONTAL MANUAL, DE VIGAS DE MADEIRA COM SEÇÃO TRANSVERSAL DE 6 X 16 CM (UNIDADE: MXKM). AF_07/2019</v>
          </cell>
          <cell r="C5947" t="str">
            <v>MXKM</v>
          </cell>
          <cell r="D5947">
            <v>19.46</v>
          </cell>
        </row>
        <row r="5948">
          <cell r="A5948">
            <v>100260</v>
          </cell>
          <cell r="B5948" t="str">
            <v>TRANSPORTE HORIZONTAL MANUAL, DE VERGALHÕES DE AÇO COM DIÂMETRO DE 5 MM (UNIDADE: KGXKM). AF_07/2019</v>
          </cell>
          <cell r="C5948" t="str">
            <v>KGXKM</v>
          </cell>
          <cell r="D5948">
            <v>6.41</v>
          </cell>
        </row>
        <row r="5949">
          <cell r="A5949">
            <v>100261</v>
          </cell>
          <cell r="B5949" t="str">
            <v>TRANSPORTE HORIZONTAL MANUAL, DE VERGALHÕES DE AÇO COM DIÂMETRO DE 6,3 MM (UNIDADE: KGXKM). AF_07/2019</v>
          </cell>
          <cell r="C5949" t="str">
            <v>KGXKM</v>
          </cell>
          <cell r="D5949">
            <v>4.03</v>
          </cell>
        </row>
        <row r="5950">
          <cell r="A5950">
            <v>100262</v>
          </cell>
          <cell r="B5950" t="str">
            <v>TRANSPORTE HORIZONTAL MANUAL, DE VERGALHÕES DE AÇO COM DIÂMETRO DE 8 MM (UNIDADE: KGXKM). AF_07/2019</v>
          </cell>
          <cell r="C5950" t="str">
            <v>KGXKM</v>
          </cell>
          <cell r="D5950">
            <v>2.5</v>
          </cell>
        </row>
        <row r="5951">
          <cell r="A5951">
            <v>100263</v>
          </cell>
          <cell r="B5951" t="str">
            <v>TRANSPORTE HORIZONTAL MANUAL, DE VERGALHÕES DE AÇO COM DIÂMETRO DE 10 MM; 12,5 MM; 16 MM; 20 MM; 25 MM OU 32 MM (UNIDADE: KGXKM). AF_07/2019</v>
          </cell>
          <cell r="C5951" t="str">
            <v>KGXKM</v>
          </cell>
          <cell r="D5951">
            <v>1.6</v>
          </cell>
        </row>
        <row r="5952">
          <cell r="A5952">
            <v>100264</v>
          </cell>
          <cell r="B5952" t="str">
            <v>TRANSPORTE HORIZONTAL MANUAL, DE JANELA (UNIDADE: M2XKM). AF_07/2019</v>
          </cell>
          <cell r="C5952" t="str">
            <v>M2XKM</v>
          </cell>
          <cell r="D5952">
            <v>29.15</v>
          </cell>
        </row>
        <row r="5953">
          <cell r="A5953">
            <v>100265</v>
          </cell>
          <cell r="B5953" t="str">
            <v>TRANSPORTE VERTICAL MANUAL, 1 PAVIMENTO, DE JANELA (UNIDADE: M2). AF_07/2019</v>
          </cell>
          <cell r="C5953" t="str">
            <v>M2</v>
          </cell>
          <cell r="D5953">
            <v>0.61</v>
          </cell>
        </row>
        <row r="5954">
          <cell r="A5954">
            <v>100266</v>
          </cell>
          <cell r="B5954" t="str">
            <v>TRANSPORTE HORIZONTAL MANUAL, DE PORTA (UNIDADE: UNIDXKM). AF_07/2019</v>
          </cell>
          <cell r="C5954" t="str">
            <v>UNXKM</v>
          </cell>
          <cell r="D5954">
            <v>61.96</v>
          </cell>
        </row>
        <row r="5955">
          <cell r="A5955">
            <v>100267</v>
          </cell>
          <cell r="B5955" t="str">
            <v>TRANSPORTE VERTICAL MANUAL, 1 PAVIMENTO, DE PORTA (UNIDADE: UNID). AF_07/2019</v>
          </cell>
          <cell r="C5955" t="str">
            <v>UN</v>
          </cell>
          <cell r="D5955">
            <v>1.22</v>
          </cell>
        </row>
        <row r="5956">
          <cell r="A5956">
            <v>100268</v>
          </cell>
          <cell r="B5956" t="str">
            <v>TRANSPORTE HORIZONTAL MANUAL, DE BANCADA DE MÁRMORE OU GRANITO PARA COZINHA/LAVATÓRIO OU MÁRMORE SINTÉTICO COM CUBA INTEGRADA (UNIDADE: UNIDXKM). AF_07/2019</v>
          </cell>
          <cell r="C5956" t="str">
            <v>UNXKM</v>
          </cell>
          <cell r="D5956">
            <v>61.96</v>
          </cell>
        </row>
        <row r="5957">
          <cell r="A5957">
            <v>100269</v>
          </cell>
          <cell r="B5957" t="str">
            <v>TRANSPORTE VERTICAL, BANCADA DE MÁRMORE OU GRANITO PARA COZINHA/LAVATÓRIO OU MÁRMORE SINTÉTICO COM CUBA INTEGRADA, MANUAL, 1 PAVIMENTO, (UNIDADE: UNID). AF_07/2019</v>
          </cell>
          <cell r="C5957" t="str">
            <v>UN</v>
          </cell>
          <cell r="D5957">
            <v>1.22</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v>46.44</v>
          </cell>
        </row>
        <row r="5959">
          <cell r="A5959">
            <v>100271</v>
          </cell>
          <cell r="B5959" t="str">
            <v>TRANSPORTE HORIZONTAL MANUAL, DE VIDRO (UNIDADE: M2XKM). AF_07/2019</v>
          </cell>
          <cell r="C5959" t="str">
            <v>M2XKM</v>
          </cell>
          <cell r="D5959">
            <v>46.47</v>
          </cell>
        </row>
        <row r="5960">
          <cell r="A5960">
            <v>100272</v>
          </cell>
          <cell r="B5960" t="str">
            <v>TRANSPORTE VERTICAL MANUAL, 1 PAVIMENTO, DE VIDRO (UNIDADE: M2). AF_07/2019</v>
          </cell>
          <cell r="C5960" t="str">
            <v>M2</v>
          </cell>
          <cell r="D5960">
            <v>0.92</v>
          </cell>
        </row>
        <row r="5961">
          <cell r="A5961">
            <v>100273</v>
          </cell>
          <cell r="B5961" t="str">
            <v>TRANSPORTE HORIZONTAL MANUAL, DE TELA DE AÇO (UNIDADE: KGXKM). AF_07/2019</v>
          </cell>
          <cell r="C5961" t="str">
            <v>KGXKM</v>
          </cell>
          <cell r="D5961">
            <v>2.42</v>
          </cell>
        </row>
        <row r="5962">
          <cell r="A5962">
            <v>100274</v>
          </cell>
          <cell r="B5962" t="str">
            <v>TRANSPORTE HORIZONTAL MANUAL, DE COMPENSADO DE MADEIRA (UNIDADE: M2XKM). AF_07/2019</v>
          </cell>
          <cell r="C5962" t="str">
            <v>M2XKM</v>
          </cell>
          <cell r="D5962">
            <v>20.66</v>
          </cell>
        </row>
        <row r="5963">
          <cell r="A5963">
            <v>100275</v>
          </cell>
          <cell r="B5963" t="str">
            <v>TRANSPORTE HORIZONTAL MANUAL, DE TELHA TERMOACÚSTICA OU TELHA DE AÇO ZINCADO (UNIDADE: M2XKM). AF_07/2019</v>
          </cell>
          <cell r="C5963" t="str">
            <v>M2XKM</v>
          </cell>
          <cell r="D5963">
            <v>13.36</v>
          </cell>
        </row>
        <row r="5964">
          <cell r="A5964">
            <v>100276</v>
          </cell>
          <cell r="B5964" t="str">
            <v>TRANSPORTE HORIZONTAL MANUAL, DE TELHA DE FIBROCIMENTO OU TELHA ESTRUTURAL DE FIBROCIMENTO, CANALETE 90 OU KALHETÃO (UNIDADE: M2XKM). AF_07/2019</v>
          </cell>
          <cell r="C5964" t="str">
            <v>M2XKM</v>
          </cell>
          <cell r="D5964">
            <v>24.38</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v>1.26</v>
          </cell>
        </row>
        <row r="5966">
          <cell r="A5966">
            <v>100278</v>
          </cell>
          <cell r="B5966" t="str">
            <v>TRANSPORTE HORIZONTAL MANUAL, DE BACIA SANITÁRIA, CAIXA ACOPLADA, TANQUE OU PIA (UNIDADE: UNIDXKM). AF_07/2019</v>
          </cell>
          <cell r="C5966" t="str">
            <v>UNXKM</v>
          </cell>
          <cell r="D5966">
            <v>29.64</v>
          </cell>
        </row>
        <row r="5967">
          <cell r="A5967">
            <v>100279</v>
          </cell>
          <cell r="B5967" t="str">
            <v>TRANSPORTE VERTICAL MANUAL, 1 PAVIMENTO, DE BACIA SANITÁRIA, CAIXA ACOPLADA, TANQUE OU PIA (UNIDADE: UNID). AF_07/2019</v>
          </cell>
          <cell r="C5967" t="str">
            <v>UN</v>
          </cell>
          <cell r="D5967">
            <v>0.56999999999999995</v>
          </cell>
        </row>
        <row r="5968">
          <cell r="A5968">
            <v>100280</v>
          </cell>
          <cell r="B5968" t="str">
            <v>TRANSPORTE HORIZONTAL COM CARRINHO PLATAFORMA, DE BACIA SANITÁRIA, CAIXA ACOPLADA, TANQUE OU PIA (UNIDADE: UNIDXKM). AF_07/2019</v>
          </cell>
          <cell r="C5968" t="str">
            <v>UNXKM</v>
          </cell>
          <cell r="D5968">
            <v>13.61</v>
          </cell>
        </row>
        <row r="5969">
          <cell r="A5969">
            <v>100281</v>
          </cell>
          <cell r="B5969" t="str">
            <v>TRANSPORTE HORIZONTAL COM MANIPULADOR TELESCÓPICO, DE BACIA SANITÁRIA, CAIXA ACOPLADA, TANQUE OU PIA (UNIDADE: UNIDXKM). AF_07/2019</v>
          </cell>
          <cell r="C5969" t="str">
            <v>UNXKM</v>
          </cell>
          <cell r="D5969">
            <v>2.4300000000000002</v>
          </cell>
        </row>
        <row r="5970">
          <cell r="A5970">
            <v>100282</v>
          </cell>
          <cell r="B5970" t="str">
            <v>TRANSPORTE HORIZONTAL MANUAL, DE TELHA DE CONCRETO OU CERÂMICA (UNIDADE: M2XKM). AF_07/2019</v>
          </cell>
          <cell r="C5970" t="str">
            <v>M2XKM</v>
          </cell>
          <cell r="D5970">
            <v>116.09</v>
          </cell>
        </row>
        <row r="5971">
          <cell r="A5971">
            <v>100283</v>
          </cell>
          <cell r="B5971" t="str">
            <v>TRANSPORTE HORIZONTAL COM CARRINHO PLATAFORMA, DE TELHA DE CONCRETO OU CERÂMICA (UNIDADE: M2XKM). AF_07/2019</v>
          </cell>
          <cell r="C5971" t="str">
            <v>M2XKM</v>
          </cell>
          <cell r="D5971">
            <v>18.75</v>
          </cell>
        </row>
        <row r="5972">
          <cell r="A5972">
            <v>100284</v>
          </cell>
          <cell r="B5972" t="str">
            <v>TRANSPORTE HORIZONTAL COM MANIPULADOR TELESCÓPICO, DE TELHA DE CONCRETO OU CERÂMICA (UNIDADE: M2XKM). AF_07/2019</v>
          </cell>
          <cell r="C5972" t="str">
            <v>M2XKM</v>
          </cell>
          <cell r="D5972">
            <v>7.11</v>
          </cell>
        </row>
        <row r="5973">
          <cell r="A5973">
            <v>100285</v>
          </cell>
          <cell r="B5973" t="str">
            <v>TRANSPORTE HORIZONTAL MANUAL, DE BARRAMENTO BLINDADO (UNIDADE: MXKM). AF_07/2019</v>
          </cell>
          <cell r="C5973" t="str">
            <v>MXKM</v>
          </cell>
          <cell r="D5973">
            <v>31.19</v>
          </cell>
        </row>
        <row r="5974">
          <cell r="A5974">
            <v>100286</v>
          </cell>
          <cell r="B5974" t="str">
            <v>TRANSPORTE HORIZONTAL COM CARRINHO PLATAFORMA, DE BARRAMENTO BLINDADO (UNIDADE: MXKM). AF_07/2019</v>
          </cell>
          <cell r="C5974" t="str">
            <v>MXKM</v>
          </cell>
          <cell r="D5974">
            <v>10.16</v>
          </cell>
        </row>
        <row r="5975">
          <cell r="A5975">
            <v>100287</v>
          </cell>
          <cell r="B5975" t="str">
            <v>TRANSPORTE HORIZONTAL MANUAL, DE CALHA QUADRADA NÚMERO 24  CORTE 33 (UNIDADE: MXKM). AF_07/2019</v>
          </cell>
          <cell r="C5975" t="str">
            <v>MXKM</v>
          </cell>
          <cell r="D5975">
            <v>9.73</v>
          </cell>
        </row>
        <row r="5976">
          <cell r="A5976">
            <v>84117</v>
          </cell>
          <cell r="B5976" t="str">
            <v>RASPAGEM / CALAFETACAO TACOS MADEIRA 1 DEMAO CERA</v>
          </cell>
          <cell r="C5976" t="str">
            <v>M2</v>
          </cell>
          <cell r="D5976">
            <v>19.38</v>
          </cell>
        </row>
        <row r="5977">
          <cell r="A5977">
            <v>84120</v>
          </cell>
          <cell r="B5977" t="str">
            <v>ENCERAMENTO MANUAL EM MADEIRA - 3 DEMAOS</v>
          </cell>
          <cell r="C5977" t="str">
            <v>M2</v>
          </cell>
          <cell r="D5977">
            <v>14.55</v>
          </cell>
        </row>
        <row r="5978">
          <cell r="A5978">
            <v>99802</v>
          </cell>
          <cell r="B5978" t="str">
            <v>LIMPEZA DE PISO CERÂMICO OU PORCELANATO COM VASSOURA A SECO. AF_04/2019</v>
          </cell>
          <cell r="C5978" t="str">
            <v>M2</v>
          </cell>
          <cell r="D5978">
            <v>0.39</v>
          </cell>
        </row>
        <row r="5979">
          <cell r="A5979">
            <v>99803</v>
          </cell>
          <cell r="B5979" t="str">
            <v>LIMPEZA DE PISO CERÂMICO OU PORCELANATO COM PANO ÚMIDO. AF_04/2019</v>
          </cell>
          <cell r="C5979" t="str">
            <v>M2</v>
          </cell>
          <cell r="D5979">
            <v>1.54</v>
          </cell>
        </row>
        <row r="5980">
          <cell r="A5980">
            <v>99805</v>
          </cell>
          <cell r="B5980" t="str">
            <v>LIMPEZA DE PISO CERÂMICO OU COM PEDRAS RÚSTICAS UTILIZANDO ÁCIDO MURIÁTICO. AF_04/2019</v>
          </cell>
          <cell r="C5980" t="str">
            <v>M2</v>
          </cell>
          <cell r="D5980">
            <v>8.06</v>
          </cell>
        </row>
        <row r="5981">
          <cell r="A5981">
            <v>99806</v>
          </cell>
          <cell r="B5981" t="str">
            <v>LIMPEZA DE REVESTIMENTO CERÂMICO EM PAREDE COM PANO ÚMIDO AF_04/2019</v>
          </cell>
          <cell r="C5981" t="str">
            <v>M2</v>
          </cell>
          <cell r="D5981">
            <v>0.63</v>
          </cell>
        </row>
        <row r="5982">
          <cell r="A5982">
            <v>99808</v>
          </cell>
          <cell r="B5982" t="str">
            <v>LIMPEZA DE REVESTIMENTO CERÂMICO EM PAREDE UTILIZANDO ÁCIDO MURIÁTICO. AF_04/2019</v>
          </cell>
          <cell r="C5982" t="str">
            <v>M2</v>
          </cell>
          <cell r="D5982">
            <v>2.65</v>
          </cell>
        </row>
        <row r="5983">
          <cell r="A5983">
            <v>99809</v>
          </cell>
          <cell r="B5983" t="str">
            <v>LIMPEZA DE PISO DE LADRILHO HIDRÁULICO COM PANO ÚMIDO. AF_04/2019</v>
          </cell>
          <cell r="C5983" t="str">
            <v>M2</v>
          </cell>
          <cell r="D5983">
            <v>4.3899999999999997</v>
          </cell>
        </row>
        <row r="5984">
          <cell r="A5984">
            <v>99811</v>
          </cell>
          <cell r="B5984" t="str">
            <v>LIMPEZA DE CONTRAPISO COM VASSOURA A SECO. AF_04/2019</v>
          </cell>
          <cell r="C5984" t="str">
            <v>M2</v>
          </cell>
          <cell r="D5984">
            <v>2.62</v>
          </cell>
        </row>
        <row r="5985">
          <cell r="A5985">
            <v>99812</v>
          </cell>
          <cell r="B5985" t="str">
            <v>LIMPEZA DE LADRILHO HIDRÁULICO EM PAREDE COM PANO ÚMIDO. AF_04/2019</v>
          </cell>
          <cell r="C5985" t="str">
            <v>M2</v>
          </cell>
          <cell r="D5985">
            <v>0.84</v>
          </cell>
        </row>
        <row r="5986">
          <cell r="A5986">
            <v>99814</v>
          </cell>
          <cell r="B5986" t="str">
            <v>LIMPEZA DE SUPERFÍCIE COM JATO DE ALTA PRESSÃO. AF_04/2019</v>
          </cell>
          <cell r="C5986" t="str">
            <v>M2</v>
          </cell>
          <cell r="D5986">
            <v>1.43</v>
          </cell>
        </row>
        <row r="5987">
          <cell r="A5987">
            <v>99822</v>
          </cell>
          <cell r="B5987" t="str">
            <v>LIMPEZA DE PORTA DE MADEIRA. AF_04/2019</v>
          </cell>
          <cell r="C5987" t="str">
            <v>M2</v>
          </cell>
          <cell r="D5987">
            <v>0.74</v>
          </cell>
        </row>
        <row r="5988">
          <cell r="A5988">
            <v>99826</v>
          </cell>
          <cell r="B5988" t="str">
            <v>LIMPEZA DE FORRO REMOVÍVEL COM PANO ÚMIDO. AF_04/2019</v>
          </cell>
          <cell r="C5988" t="str">
            <v>M2</v>
          </cell>
          <cell r="D5988">
            <v>1.1399999999999999</v>
          </cell>
        </row>
        <row r="5989">
          <cell r="A5989">
            <v>71516</v>
          </cell>
          <cell r="B5989" t="str">
            <v>CONJUNTO DE MANGUEIRA PARA COMBATE A INCENDIO EM FIBRA DE POLIESTER PURA, COM 1.1/2", REVESTIDA INTERNAMENTE, COM 2 LANCES DE 15M CADA</v>
          </cell>
          <cell r="C5989" t="str">
            <v>UN</v>
          </cell>
          <cell r="D5989">
            <v>587.66</v>
          </cell>
        </row>
        <row r="5990">
          <cell r="A5990">
            <v>73361</v>
          </cell>
          <cell r="B5990" t="str">
            <v>CONCRETO CICLOPICO FCK=10MPA 30% PEDRA DE MAO INCLUSIVE LANCAMENTO</v>
          </cell>
          <cell r="C5990" t="str">
            <v>M3</v>
          </cell>
          <cell r="D5990">
            <v>381.01</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v>1541.03</v>
          </cell>
        </row>
        <row r="5992">
          <cell r="A5992">
            <v>97010</v>
          </cell>
          <cell r="B5992" t="str">
            <v>GUARDA-CORPO FIXADO EM FÔRMA DE MADEIRA COM TRAVESSÕES EM MADEIRA PREGADA E FECHAMENTO EM TELA DE POLIPROPILENO PARA EDIFICAÇÕES COM ATÉ 2 PAVIMENTOS. AF_11/2017</v>
          </cell>
          <cell r="C5992" t="str">
            <v>M</v>
          </cell>
          <cell r="D5992">
            <v>34.03</v>
          </cell>
        </row>
        <row r="5993">
          <cell r="A5993">
            <v>97011</v>
          </cell>
          <cell r="B5993" t="str">
            <v>GUARDA-CORPO FIXADO EM FÔRMA DE MADEIRA COM TRAVESSÕES EM MADEIRA PREGADA E FECHAMENTO EM TELA DE POLIPROPILENO PARA EDIFICAÇÕES COM  3 PAVIMENTOS. AF_11/2017</v>
          </cell>
          <cell r="C5993" t="str">
            <v>M</v>
          </cell>
          <cell r="D5993">
            <v>27.38</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v>24.06</v>
          </cell>
        </row>
        <row r="5995">
          <cell r="A5995">
            <v>97013</v>
          </cell>
          <cell r="B5995" t="str">
            <v>GUARDA-CORPO FIXADO EM FÔRMA DE MADEIRA COM TRAVESSÕES EM MADEIRA PREGADA E FECHAMENTO EM PAINEL COMPENSADO PARA EDIFICAÇÕES COM ATÉ 2 PAVIMENTOS. AF_11/2017</v>
          </cell>
          <cell r="C5995" t="str">
            <v>M</v>
          </cell>
          <cell r="D5995">
            <v>48.46</v>
          </cell>
        </row>
        <row r="5996">
          <cell r="A5996">
            <v>97014</v>
          </cell>
          <cell r="B5996" t="str">
            <v>GUARDA-CORPO FIXADO EM FÔRMA DE MADEIRA COM TRAVESSÕES EM MADEIRA PREGADA E FECHAMENTO EM PAINEL COMPENSADO PARA EDIFICAÇÕES COM 3 PAVIMENTOS. AF_11/2017</v>
          </cell>
          <cell r="C5996" t="str">
            <v>M</v>
          </cell>
          <cell r="D5996">
            <v>37.200000000000003</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v>31.51</v>
          </cell>
        </row>
        <row r="5998">
          <cell r="A5998">
            <v>97016</v>
          </cell>
          <cell r="B5998" t="str">
            <v>GUARDA-CORPO FIXADO EM FÔRMA DE MADEIRA COM TRAVESSÕES EM MADEIRA PREGADA PRÉ-MONTADA E ENCAIXE NA FÔRMA. PARA EDIFICAÇÕES COM ATÉ 2 PAVIMENTOS. AF_11/2017</v>
          </cell>
          <cell r="C5998" t="str">
            <v>M</v>
          </cell>
          <cell r="D5998">
            <v>28.75</v>
          </cell>
        </row>
        <row r="5999">
          <cell r="A5999">
            <v>97017</v>
          </cell>
          <cell r="B5999" t="str">
            <v>GUARDA-CORPO FIXADO EM FÔRMA DE MADEIRA COM TRAVESSÕES EM MADEIRA PREGADA PRÉ-MONTADA E ENCAIXE NA FÔRMA PARA EDIFICAÇÕES COM 3 PAVIMENTOS. AF_11/2017</v>
          </cell>
          <cell r="C5999" t="str">
            <v>M</v>
          </cell>
          <cell r="D5999">
            <v>22.43</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v>19.149999999999999</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v>53.1</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v>34.049999999999997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v>59.54</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v>36.549999999999997</v>
          </cell>
        </row>
        <row r="6005">
          <cell r="A6005">
            <v>97039</v>
          </cell>
          <cell r="B6005" t="str">
            <v>FECHAMENTO REMOVÍVEL DE VÃO DE PORTAS, EM MADEIRA (VÃO DO ELEVADOR)  1 MONTAGEM EM OBRA. AF_11/2017</v>
          </cell>
          <cell r="C6005" t="str">
            <v>M2</v>
          </cell>
          <cell r="D6005">
            <v>31.24</v>
          </cell>
        </row>
        <row r="6006">
          <cell r="A6006">
            <v>97040</v>
          </cell>
          <cell r="B6006" t="str">
            <v>FECHAMENTO REMOVÍVEL DE ABERTURA DE CAIXILHO, EM MADEIRA  4 MONTAGENS EM OBRA. AF_11/2017</v>
          </cell>
          <cell r="C6006" t="str">
            <v>M2</v>
          </cell>
          <cell r="D6006">
            <v>11.88</v>
          </cell>
        </row>
        <row r="6007">
          <cell r="A6007">
            <v>97041</v>
          </cell>
          <cell r="B6007" t="str">
            <v>FECHAMENTO REMOVÍVEL DE ABERTURA NO PISO, EM MADEIRA  1 MONTAGEM EM OBRA. AF_11/2017</v>
          </cell>
          <cell r="C6007" t="str">
            <v>M2</v>
          </cell>
          <cell r="D6007">
            <v>98.78</v>
          </cell>
        </row>
        <row r="6008">
          <cell r="A6008">
            <v>97046</v>
          </cell>
          <cell r="B6008" t="str">
            <v>PONTEIRAS DE PROTEÇÃO DE VERGALHÕES EXPOSTOS EM FUNDAÇÕES. AF_11/2017</v>
          </cell>
          <cell r="C6008" t="str">
            <v>M2</v>
          </cell>
          <cell r="D6008">
            <v>0.24</v>
          </cell>
        </row>
        <row r="6009">
          <cell r="A6009">
            <v>97047</v>
          </cell>
          <cell r="B6009" t="str">
            <v>PONTEIRAS DE PROTEÇÃO DE VERGALHÕES EXPOSTOS EM ESTRUTURAS DE CONCRETO ARMADO CONVENCIONAL. AF_11/2017</v>
          </cell>
          <cell r="C6009" t="str">
            <v>M2</v>
          </cell>
          <cell r="D6009">
            <v>0.09</v>
          </cell>
        </row>
        <row r="6010">
          <cell r="A6010">
            <v>97048</v>
          </cell>
          <cell r="B6010" t="str">
            <v>PONTEIRAS DE PROTEÇÃO DE VERGALHÕES EXPOSTOS EM ALVENARIA ESTRUTURAL. AF_11/2017</v>
          </cell>
          <cell r="C6010" t="str">
            <v>M2</v>
          </cell>
          <cell r="D6010">
            <v>0.06</v>
          </cell>
        </row>
        <row r="6011">
          <cell r="A6011">
            <v>97051</v>
          </cell>
          <cell r="B6011" t="str">
            <v>SINALIZAÇÃO COM FITA FIXADA NA ESTRUTURA. AF_11/2017</v>
          </cell>
          <cell r="C6011" t="str">
            <v>M</v>
          </cell>
          <cell r="D6011">
            <v>0.5</v>
          </cell>
        </row>
        <row r="6012">
          <cell r="A6012">
            <v>97053</v>
          </cell>
          <cell r="B6012" t="str">
            <v>SINALIZAÇÃO COM FITA FIXADA EM CONE PLÁSTICO, INCLUINDO CONE. AF_11/2017</v>
          </cell>
          <cell r="C6012" t="str">
            <v>M</v>
          </cell>
          <cell r="D6012">
            <v>18.440000000000001</v>
          </cell>
        </row>
        <row r="6013">
          <cell r="A6013">
            <v>97054</v>
          </cell>
          <cell r="B6013" t="str">
            <v>INSTALAÇÃO DE SINALIZADOR NOTURNO LED. AF_11/2017</v>
          </cell>
          <cell r="C6013" t="str">
            <v>UN</v>
          </cell>
          <cell r="D6013">
            <v>26.89</v>
          </cell>
        </row>
        <row r="6014">
          <cell r="A6014">
            <v>97062</v>
          </cell>
          <cell r="B6014" t="str">
            <v>COLOCAÇÃO DE TELA EM ANDAIME FACHADEIRO. AF_11/2017</v>
          </cell>
          <cell r="C6014" t="str">
            <v>M2</v>
          </cell>
          <cell r="D6014">
            <v>5.1100000000000003</v>
          </cell>
        </row>
        <row r="6015">
          <cell r="A6015">
            <v>97063</v>
          </cell>
          <cell r="B6015" t="str">
            <v>MONTAGEM E DESMONTAGEM DE ANDAIME MODULAR FACHADEIRO, COM PISO METÁLICO, PARA EDIFICAÇÕES COM MÚLTIPLOS PAVIMENTOS (EXCLUSIVE ANDAIME E LIMPEZA). AF_11/2017</v>
          </cell>
          <cell r="C6015" t="str">
            <v>M2</v>
          </cell>
          <cell r="D6015">
            <v>6.74</v>
          </cell>
        </row>
        <row r="6016">
          <cell r="A6016">
            <v>97064</v>
          </cell>
          <cell r="B6016" t="str">
            <v>MONTAGEM E DESMONTAGEM DE ANDAIME TUBULAR TIPO TORRE (EXCLUSIVE ANDAIME E LIMPEZA). AF_11/2017</v>
          </cell>
          <cell r="C6016" t="str">
            <v>M</v>
          </cell>
          <cell r="D6016">
            <v>12.61</v>
          </cell>
        </row>
        <row r="6017">
          <cell r="A6017">
            <v>97065</v>
          </cell>
          <cell r="B6017" t="str">
            <v>MONTAGEM E DESMONTAGEM DE ANDAIME MULTIDIRECIONAL (EXCLUSIVE ANDAIME E LIMPEZA). AF_11/2017</v>
          </cell>
          <cell r="C6017" t="str">
            <v>M3</v>
          </cell>
          <cell r="D6017">
            <v>4.5</v>
          </cell>
        </row>
        <row r="6018">
          <cell r="A6018">
            <v>97066</v>
          </cell>
          <cell r="B6018" t="str">
            <v>COBERTURA PARA PROTEÇÃO DE PEDESTRES SOBRE ESTRUTURA DE ANDAIME, INCLUSIVE MONTAGEM E DESMONTAGEM. AF_11/2017</v>
          </cell>
          <cell r="C6018" t="str">
            <v>M2</v>
          </cell>
          <cell r="D6018">
            <v>53.95</v>
          </cell>
        </row>
        <row r="6019">
          <cell r="A6019">
            <v>97067</v>
          </cell>
          <cell r="B6019" t="str">
            <v>PLATAFORMA DE PROTEÇÃO PRINCIPAL PARA ALVENARIA ESTRUTURAL PARA SER APOIADA EM ANDAIME, INCLUSIVE MONTAGEM E DESMONTAGEM. AF_11/2017</v>
          </cell>
          <cell r="C6019" t="str">
            <v>M</v>
          </cell>
          <cell r="D6019">
            <v>421.69</v>
          </cell>
        </row>
        <row r="6020">
          <cell r="A6020">
            <v>85421</v>
          </cell>
          <cell r="B6020" t="str">
            <v>REMOCAO DE VIDRO COMUM</v>
          </cell>
          <cell r="C6020" t="str">
            <v>M2</v>
          </cell>
          <cell r="D6020">
            <v>12.73</v>
          </cell>
        </row>
        <row r="6021">
          <cell r="A6021">
            <v>97621</v>
          </cell>
          <cell r="B6021" t="str">
            <v>DEMOLIÇÃO DE ALVENARIA DE BLOCO FURADO, DE FORMA MANUAL, COM REAPROVEITAMENTO. AF_12/2017</v>
          </cell>
          <cell r="C6021" t="str">
            <v>M3</v>
          </cell>
          <cell r="D6021">
            <v>85.02</v>
          </cell>
        </row>
        <row r="6022">
          <cell r="A6022">
            <v>97622</v>
          </cell>
          <cell r="B6022" t="str">
            <v>DEMOLIÇÃO DE ALVENARIA DE BLOCO FURADO, DE FORMA MANUAL, SEM REAPROVEITAMENTO. AF_12/2017</v>
          </cell>
          <cell r="C6022" t="str">
            <v>M3</v>
          </cell>
          <cell r="D6022">
            <v>41.43</v>
          </cell>
        </row>
        <row r="6023">
          <cell r="A6023">
            <v>97623</v>
          </cell>
          <cell r="B6023" t="str">
            <v>DEMOLIÇÃO DE ALVENARIA DE TIJOLO MACIÇO, DE FORMA MANUAL, COM REAPROVEITAMENTO. AF_12/2017</v>
          </cell>
          <cell r="C6023" t="str">
            <v>M3</v>
          </cell>
          <cell r="D6023">
            <v>126.94</v>
          </cell>
        </row>
        <row r="6024">
          <cell r="A6024">
            <v>97624</v>
          </cell>
          <cell r="B6024" t="str">
            <v>DEMOLIÇÃO DE ALVENARIA DE TIJOLO MACIÇO, DE FORMA MANUAL, SEM REAPROVEITAMENTO. AF_12/2017</v>
          </cell>
          <cell r="C6024" t="str">
            <v>M3</v>
          </cell>
          <cell r="D6024">
            <v>77.900000000000006</v>
          </cell>
        </row>
        <row r="6025">
          <cell r="A6025">
            <v>97625</v>
          </cell>
          <cell r="B6025" t="str">
            <v>DEMOLIÇÃO DE ALVENARIA PARA QUALQUER TIPO DE BLOCO, DE FORMA MECANIZADA, SEM REAPROVEITAMENTO. AF_12/2017</v>
          </cell>
          <cell r="C6025" t="str">
            <v>M3</v>
          </cell>
          <cell r="D6025">
            <v>32.89</v>
          </cell>
        </row>
        <row r="6026">
          <cell r="A6026">
            <v>97626</v>
          </cell>
          <cell r="B6026" t="str">
            <v>DEMOLIÇÃO DE PILARES E VIGAS EM CONCRETO ARMADO, DE FORMA MANUAL, SEM REAPROVEITAMENTO. AF_12/2017</v>
          </cell>
          <cell r="C6026" t="str">
            <v>M3</v>
          </cell>
          <cell r="D6026">
            <v>439.49</v>
          </cell>
        </row>
        <row r="6027">
          <cell r="A6027">
            <v>97627</v>
          </cell>
          <cell r="B6027" t="str">
            <v>DEMOLIÇÃO DE PILARES E VIGAS EM CONCRETO ARMADO, DE FORMA MECANIZADA COM MARTELETE, SEM REAPROVEITAMENTO. AF_12/2017</v>
          </cell>
          <cell r="C6027" t="str">
            <v>M3</v>
          </cell>
          <cell r="D6027">
            <v>195.74</v>
          </cell>
        </row>
        <row r="6028">
          <cell r="A6028">
            <v>97628</v>
          </cell>
          <cell r="B6028" t="str">
            <v>DEMOLIÇÃO DE LAJES, DE FORMA MANUAL, SEM REAPROVEITAMENTO. AF_12/2017</v>
          </cell>
          <cell r="C6028" t="str">
            <v>M3</v>
          </cell>
          <cell r="D6028">
            <v>204.79</v>
          </cell>
        </row>
        <row r="6029">
          <cell r="A6029">
            <v>97629</v>
          </cell>
          <cell r="B6029" t="str">
            <v>DEMOLIÇÃO DE LAJES, DE FORMA MECANIZADA COM MARTELETE, SEM REAPROVEITAMENTO. AF_12/2017</v>
          </cell>
          <cell r="C6029" t="str">
            <v>M3</v>
          </cell>
          <cell r="D6029">
            <v>87.96</v>
          </cell>
        </row>
        <row r="6030">
          <cell r="A6030">
            <v>97631</v>
          </cell>
          <cell r="B6030" t="str">
            <v>DEMOLIÇÃO DE ARGAMASSAS, DE FORMA MANUAL, SEM REAPROVEITAMENTO. AF_12/2017</v>
          </cell>
          <cell r="C6030" t="str">
            <v>M2</v>
          </cell>
          <cell r="D6030">
            <v>2.41</v>
          </cell>
        </row>
        <row r="6031">
          <cell r="A6031">
            <v>97632</v>
          </cell>
          <cell r="B6031" t="str">
            <v>DEMOLIÇÃO DE RODAPÉ CERÂMICO, DE FORMA MANUAL, SEM REAPROVEITAMENTO. AF_12/2017</v>
          </cell>
          <cell r="C6031" t="str">
            <v>M</v>
          </cell>
          <cell r="D6031">
            <v>1.88</v>
          </cell>
        </row>
        <row r="6032">
          <cell r="A6032">
            <v>97633</v>
          </cell>
          <cell r="B6032" t="str">
            <v>DEMOLIÇÃO DE REVESTIMENTO CERÂMICO, DE FORMA MANUAL, SEM REAPROVEITAMENTO. AF_12/2017</v>
          </cell>
          <cell r="C6032" t="str">
            <v>M2</v>
          </cell>
          <cell r="D6032">
            <v>16.48</v>
          </cell>
        </row>
        <row r="6033">
          <cell r="A6033">
            <v>97634</v>
          </cell>
          <cell r="B6033" t="str">
            <v>DEMOLIÇÃO DE REVESTIMENTO CERÂMICO, DE FORMA MECANIZADA COM MARTELETE, SEM REAPROVEITAMENTO. AF_12/2017</v>
          </cell>
          <cell r="C6033" t="str">
            <v>M2</v>
          </cell>
          <cell r="D6033">
            <v>8.6300000000000008</v>
          </cell>
        </row>
        <row r="6034">
          <cell r="A6034">
            <v>97635</v>
          </cell>
          <cell r="B6034" t="str">
            <v>DEMOLIÇÃO DE PAVIMENTO INTERTRAVADO, DE FORMA MANUAL, COM REAPROVEITAMENTO. AF_12/2017</v>
          </cell>
          <cell r="C6034" t="str">
            <v>M2</v>
          </cell>
          <cell r="D6034">
            <v>11.48</v>
          </cell>
        </row>
        <row r="6035">
          <cell r="A6035">
            <v>97636</v>
          </cell>
          <cell r="B6035" t="str">
            <v>DEMOLIÇÃO PARCIAL DE PAVIMENTO ASFÁLTICO, DE FORMA MECANIZADA, SEM REAPROVEITAMENTO. AF_12/2017</v>
          </cell>
          <cell r="C6035" t="str">
            <v>M2</v>
          </cell>
          <cell r="D6035">
            <v>8.8800000000000008</v>
          </cell>
        </row>
        <row r="6036">
          <cell r="A6036">
            <v>97637</v>
          </cell>
          <cell r="B6036" t="str">
            <v>REMOÇÃO DE TAPUME/ CHAPAS METÁLICAS E DE MADEIRA, DE FORMA MANUAL, SEM REAPROVEITAMENTO. AF_12/2017</v>
          </cell>
          <cell r="C6036" t="str">
            <v>M2</v>
          </cell>
          <cell r="D6036">
            <v>1.85</v>
          </cell>
        </row>
        <row r="6037">
          <cell r="A6037">
            <v>97638</v>
          </cell>
          <cell r="B6037" t="str">
            <v>REMOÇÃO DE CHAPAS E PERFIS DE DRYWALL, DE FORMA MANUAL, SEM REAPROVEITAMENTO. AF_12/2017</v>
          </cell>
          <cell r="C6037" t="str">
            <v>M2</v>
          </cell>
          <cell r="D6037">
            <v>5.38</v>
          </cell>
        </row>
        <row r="6038">
          <cell r="A6038">
            <v>97639</v>
          </cell>
          <cell r="B6038" t="str">
            <v>REMOÇÃO DE PLACAS E PILARETES DE CONCRETO, DE FORMA MANUAL, SEM REAPROVEITAMENTO. AF_12/2017</v>
          </cell>
          <cell r="C6038" t="str">
            <v>M2</v>
          </cell>
          <cell r="D6038">
            <v>14.51</v>
          </cell>
        </row>
        <row r="6039">
          <cell r="A6039">
            <v>97640</v>
          </cell>
          <cell r="B6039" t="str">
            <v>REMOÇÃO DE FORROS DE DRYWALL, PVC E FIBROMINERAL, DE FORMA MANUAL, SEM REAPROVEITAMENTO. AF_12/2017</v>
          </cell>
          <cell r="C6039" t="str">
            <v>M2</v>
          </cell>
          <cell r="D6039">
            <v>1.1599999999999999</v>
          </cell>
        </row>
        <row r="6040">
          <cell r="A6040">
            <v>97641</v>
          </cell>
          <cell r="B6040" t="str">
            <v>REMOÇÃO DE FORRO DE GESSO, DE FORMA MANUAL, SEM REAPROVEITAMENTO. AF_12/2017</v>
          </cell>
          <cell r="C6040" t="str">
            <v>M2</v>
          </cell>
          <cell r="D6040">
            <v>3.62</v>
          </cell>
        </row>
        <row r="6041">
          <cell r="A6041">
            <v>97642</v>
          </cell>
          <cell r="B6041" t="str">
            <v>REMOÇÃO DE TRAMA METÁLICA OU DE MADEIRA PARA FORRO, DE FORMA MANUAL, SEM REAPROVEITAMENTO. AF_12/2017</v>
          </cell>
          <cell r="C6041" t="str">
            <v>M2</v>
          </cell>
          <cell r="D6041">
            <v>2.08</v>
          </cell>
        </row>
        <row r="6042">
          <cell r="A6042">
            <v>97643</v>
          </cell>
          <cell r="B6042" t="str">
            <v>REMOÇÃO DE PISO DE MADEIRA (ASSOALHO E BARROTE), DE FORMA MANUAL, SEM REAPROVEITAMENTO. AF_12/2017</v>
          </cell>
          <cell r="C6042" t="str">
            <v>M2</v>
          </cell>
          <cell r="D6042">
            <v>17.829999999999998</v>
          </cell>
        </row>
        <row r="6043">
          <cell r="A6043">
            <v>97644</v>
          </cell>
          <cell r="B6043" t="str">
            <v>REMOÇÃO DE PORTAS, DE FORMA MANUAL, SEM REAPROVEITAMENTO. AF_12/2017</v>
          </cell>
          <cell r="C6043" t="str">
            <v>M2</v>
          </cell>
          <cell r="D6043">
            <v>6.7</v>
          </cell>
        </row>
        <row r="6044">
          <cell r="A6044">
            <v>97645</v>
          </cell>
          <cell r="B6044" t="str">
            <v>REMOÇÃO DE JANELAS, DE FORMA MANUAL, SEM REAPROVEITAMENTO. AF_12/2017</v>
          </cell>
          <cell r="C6044" t="str">
            <v>M2</v>
          </cell>
          <cell r="D6044">
            <v>22.82</v>
          </cell>
        </row>
        <row r="6045">
          <cell r="A6045">
            <v>97647</v>
          </cell>
          <cell r="B6045" t="str">
            <v>REMOÇÃO DE TELHAS, DE FIBROCIMENTO, METÁLICA E CERÂMICA, DE FORMA MANUAL, SEM REAPROVEITAMENTO. AF_12/2017</v>
          </cell>
          <cell r="C6045" t="str">
            <v>M2</v>
          </cell>
          <cell r="D6045">
            <v>2.57</v>
          </cell>
        </row>
        <row r="6046">
          <cell r="A6046">
            <v>97648</v>
          </cell>
          <cell r="B6046" t="str">
            <v>REMOÇÃO DE PROTEÇÃO TÉRMICA PARA COBERTURA EM EPS, DE FORMA MANUAL, SEM REAPROVEITAMENTO. AF_12/2017</v>
          </cell>
          <cell r="C6046" t="str">
            <v>M2</v>
          </cell>
          <cell r="D6046">
            <v>1.47</v>
          </cell>
        </row>
        <row r="6047">
          <cell r="A6047">
            <v>97649</v>
          </cell>
          <cell r="B6047" t="str">
            <v>REMOÇÃO DE TELHAS DE FIBROCIMENTO, METÁLICA E CERÂMICA, DE FORMA MECANIZADA, COM USO DE GUINDASTE, SEM REAPROVEITAMENTO. AF_12/2017</v>
          </cell>
          <cell r="C6047" t="str">
            <v>M2</v>
          </cell>
          <cell r="D6047">
            <v>3.18</v>
          </cell>
        </row>
        <row r="6048">
          <cell r="A6048">
            <v>97650</v>
          </cell>
          <cell r="B6048" t="str">
            <v>REMOÇÃO DE TRAMA DE MADEIRA PARA COBERTURA, DE FORMA MANUAL, SEM REAPROVEITAMENTO. AF_12/2017</v>
          </cell>
          <cell r="C6048" t="str">
            <v>M2</v>
          </cell>
          <cell r="D6048">
            <v>5.54</v>
          </cell>
        </row>
        <row r="6049">
          <cell r="A6049">
            <v>97651</v>
          </cell>
          <cell r="B6049" t="str">
            <v>REMOÇÃO DE TESOURAS DE MADEIRA, COM VÃO MENOR QUE 8M, DE FORMA MANUAL, SEM REAPROVEITAMENTO. AF_12/2017</v>
          </cell>
          <cell r="C6049" t="str">
            <v>UN</v>
          </cell>
          <cell r="D6049">
            <v>61.38</v>
          </cell>
        </row>
        <row r="6050">
          <cell r="A6050">
            <v>97652</v>
          </cell>
          <cell r="B6050" t="str">
            <v>REMOÇÃO DE TESOURAS DE MADEIRA, COM VÃO MAIOR OU IGUAL A 8M, DE FORMA MANUAL, SEM REAPROVEITAMENTO. AF_12/2017</v>
          </cell>
          <cell r="C6050" t="str">
            <v>UN</v>
          </cell>
          <cell r="D6050">
            <v>139.15</v>
          </cell>
        </row>
        <row r="6051">
          <cell r="A6051">
            <v>97653</v>
          </cell>
          <cell r="B6051" t="str">
            <v>REMOÇÃO DE TESOURAS DE MADEIRA, COM VÃO MENOR QUE 8M, DE FORMA MECANIZADA, COM REAPROVEITAMENTO. AF_12/2017</v>
          </cell>
          <cell r="C6051" t="str">
            <v>UN</v>
          </cell>
          <cell r="D6051">
            <v>85.16</v>
          </cell>
        </row>
        <row r="6052">
          <cell r="A6052">
            <v>97654</v>
          </cell>
          <cell r="B6052" t="str">
            <v>REMOÇÃO DE TESOURAS DE MADEIRA, COM VÃO MAIOR OU IGUAL A 8M, DE FORMA MECANIZADA, COM REAPROVEITAMENTO. AF_12/2017</v>
          </cell>
          <cell r="C6052" t="str">
            <v>UN</v>
          </cell>
          <cell r="D6052">
            <v>106.45</v>
          </cell>
        </row>
        <row r="6053">
          <cell r="A6053">
            <v>97655</v>
          </cell>
          <cell r="B6053" t="str">
            <v>REMOÇÃO DE TRAMA METÁLICA PARA COBERTURA, DE FORMA MANUAL, SEM REAPROVEITAMENTO. AF_12/2017</v>
          </cell>
          <cell r="C6053" t="str">
            <v>M2</v>
          </cell>
          <cell r="D6053">
            <v>17.55</v>
          </cell>
        </row>
        <row r="6054">
          <cell r="A6054">
            <v>97656</v>
          </cell>
          <cell r="B6054" t="str">
            <v>REMOÇÃO DE TESOURAS METÁLICAS, COM VÃO MENOR QUE 8M, DE FORMA MANUAL, SEM REAPROVEITAMENTO. AF_12/2017</v>
          </cell>
          <cell r="C6054" t="str">
            <v>UN</v>
          </cell>
          <cell r="D6054">
            <v>172.56</v>
          </cell>
        </row>
        <row r="6055">
          <cell r="A6055">
            <v>97657</v>
          </cell>
          <cell r="B6055" t="str">
            <v>REMOÇÃO DE TESOURAS METÁLICAS, COM VÃO MAIOR OU IGUAL A 8M, DE FORMA MANUAL, SEM REAPROVEITAMENTO. AF_12/2017</v>
          </cell>
          <cell r="C6055" t="str">
            <v>UN</v>
          </cell>
          <cell r="D6055">
            <v>342.05</v>
          </cell>
        </row>
        <row r="6056">
          <cell r="A6056">
            <v>97658</v>
          </cell>
          <cell r="B6056" t="str">
            <v>REMOÇÃO DE TESOURAS METÁLICAS, COM VÃO MENOR QUE 8M, DE FORMA MECANIZADA, COM REAPROVEITAMENTO. AF_12/2017</v>
          </cell>
          <cell r="C6056" t="str">
            <v>UN</v>
          </cell>
          <cell r="D6056">
            <v>127.14</v>
          </cell>
        </row>
        <row r="6057">
          <cell r="A6057">
            <v>97659</v>
          </cell>
          <cell r="B6057" t="str">
            <v>REMOÇÃO DE TESOURAS METÁLICAS, COM VÃO MAIOR OU IGUAL A 8M, DE FORMA MECANIZADA, COM REAPROVEITAMENTO. AF_12/2017</v>
          </cell>
          <cell r="C6057" t="str">
            <v>UN</v>
          </cell>
          <cell r="D6057">
            <v>174.84</v>
          </cell>
        </row>
        <row r="6058">
          <cell r="A6058">
            <v>97660</v>
          </cell>
          <cell r="B6058" t="str">
            <v>REMOÇÃO DE INTERRUPTORES/TOMADAS ELÉTRICAS, DE FORMA MANUAL, SEM REAPROVEITAMENTO. AF_12/2017</v>
          </cell>
          <cell r="C6058" t="str">
            <v>UN</v>
          </cell>
          <cell r="D6058">
            <v>0.48</v>
          </cell>
        </row>
        <row r="6059">
          <cell r="A6059">
            <v>97661</v>
          </cell>
          <cell r="B6059" t="str">
            <v>REMOÇÃO DE CABOS ELÉTRICOS, DE FORMA MANUAL, SEM REAPROVEITAMENTO. AF_12/2017</v>
          </cell>
          <cell r="C6059" t="str">
            <v>M</v>
          </cell>
          <cell r="D6059">
            <v>0.48</v>
          </cell>
        </row>
        <row r="6060">
          <cell r="A6060">
            <v>97662</v>
          </cell>
          <cell r="B6060" t="str">
            <v>REMOÇÃO DE TUBULAÇÕES (TUBOS E CONEXÕES) DE ÁGUA FRIA, DE FORMA MANUAL, SEM REAPROVEITAMENTO. AF_12/2017</v>
          </cell>
          <cell r="C6060" t="str">
            <v>M</v>
          </cell>
          <cell r="D6060">
            <v>0.36</v>
          </cell>
        </row>
        <row r="6061">
          <cell r="A6061">
            <v>97663</v>
          </cell>
          <cell r="B6061" t="str">
            <v>REMOÇÃO DE LOUÇAS, DE FORMA MANUAL, SEM REAPROVEITAMENTO. AF_12/2017</v>
          </cell>
          <cell r="C6061" t="str">
            <v>UN</v>
          </cell>
          <cell r="D6061">
            <v>8.9700000000000006</v>
          </cell>
        </row>
        <row r="6062">
          <cell r="A6062">
            <v>97664</v>
          </cell>
          <cell r="B6062" t="str">
            <v>REMOÇÃO DE ACESSÓRIOS, DE FORMA MANUAL, SEM REAPROVEITAMENTO. AF_12/2017</v>
          </cell>
          <cell r="C6062" t="str">
            <v>UN</v>
          </cell>
          <cell r="D6062">
            <v>1.1100000000000001</v>
          </cell>
        </row>
        <row r="6063">
          <cell r="A6063">
            <v>97665</v>
          </cell>
          <cell r="B6063" t="str">
            <v>REMOÇÃO DE LUMINÁRIAS, DE FORMA MANUAL, SEM REAPROVEITAMENTO. AF_12/2017</v>
          </cell>
          <cell r="C6063" t="str">
            <v>UN</v>
          </cell>
          <cell r="D6063">
            <v>0.94</v>
          </cell>
        </row>
        <row r="6064">
          <cell r="A6064">
            <v>97666</v>
          </cell>
          <cell r="B6064" t="str">
            <v>REMOÇÃO DE METAIS SANITÁRIOS, DE FORMA MANUAL, SEM REAPROVEITAMENTO. AF_12/2017</v>
          </cell>
          <cell r="C6064" t="str">
            <v>UN</v>
          </cell>
          <cell r="D6064">
            <v>6.53</v>
          </cell>
        </row>
        <row r="6065">
          <cell r="A6065">
            <v>95967</v>
          </cell>
          <cell r="B6065" t="str">
            <v>SERVIÇOS TÉCNICOS ESPECIALIZADOS PARA ACOMPANHAMENTO DE EXECUÇÃO DE FUNDAÇÕES PROFUNDAS E ESTRUTURAS DE CONTENÇÃO</v>
          </cell>
          <cell r="C6065" t="str">
            <v>H</v>
          </cell>
          <cell r="D6065">
            <v>125.64</v>
          </cell>
        </row>
        <row r="6066">
          <cell r="A6066">
            <v>99058</v>
          </cell>
          <cell r="B6066" t="str">
            <v>LOCAÇÃO DE PONTO PARA REFERÊNCIA TOPOGRÁFICA. AF_10/2018</v>
          </cell>
          <cell r="C6066" t="str">
            <v>UN</v>
          </cell>
          <cell r="D6066">
            <v>5.22</v>
          </cell>
        </row>
        <row r="6067">
          <cell r="A6067">
            <v>99059</v>
          </cell>
          <cell r="B6067" t="str">
            <v>LOCACAO CONVENCIONAL DE OBRA, UTILIZANDO GABARITO DE TÁBUAS CORRIDAS PONTALETADAS A CADA 2,00M -  2 UTILIZAÇÕES. AF_10/2018</v>
          </cell>
          <cell r="C6067" t="str">
            <v>M</v>
          </cell>
          <cell r="D6067">
            <v>35.26</v>
          </cell>
        </row>
        <row r="6068">
          <cell r="A6068">
            <v>99060</v>
          </cell>
          <cell r="B6068" t="str">
            <v>LOCAÇÃO COM CAVALETE COM ALTURA DE 1,00 M - 2 UTILIZAÇÕES. AF_10/2018</v>
          </cell>
          <cell r="C6068" t="str">
            <v>UN</v>
          </cell>
          <cell r="D6068">
            <v>89.42</v>
          </cell>
        </row>
        <row r="6069">
          <cell r="A6069">
            <v>99061</v>
          </cell>
          <cell r="B6069" t="str">
            <v>LOCAÇÃO COM CAVALETE COM ALTURA DE 0,50 M - 2 UTILIZAÇÕES. AF_10/2018</v>
          </cell>
          <cell r="C6069" t="str">
            <v>UN</v>
          </cell>
          <cell r="D6069">
            <v>61.99</v>
          </cell>
        </row>
        <row r="6070">
          <cell r="A6070">
            <v>99062</v>
          </cell>
          <cell r="B6070" t="str">
            <v>MARCAÇÃO DE PONTOS EM GABARITO OU CAVALETE. AF_10/2018</v>
          </cell>
          <cell r="C6070" t="str">
            <v>UN</v>
          </cell>
          <cell r="D6070">
            <v>1.82</v>
          </cell>
        </row>
        <row r="6071">
          <cell r="A6071">
            <v>99063</v>
          </cell>
          <cell r="B6071" t="str">
            <v>LOCAÇÃO DE REDE DE ÁGUA OU ESGOTO. AF_10/2018</v>
          </cell>
          <cell r="C6071" t="str">
            <v>M</v>
          </cell>
          <cell r="D6071">
            <v>3.09</v>
          </cell>
        </row>
        <row r="6072">
          <cell r="A6072">
            <v>99064</v>
          </cell>
          <cell r="B6072" t="str">
            <v>LOCAÇÃO DE PAVIMENTAÇÃO. AF_10/2018</v>
          </cell>
          <cell r="C6072" t="str">
            <v>M</v>
          </cell>
          <cell r="D6072">
            <v>0.26</v>
          </cell>
        </row>
        <row r="6073">
          <cell r="A6073">
            <v>93588</v>
          </cell>
          <cell r="B6073" t="str">
            <v>TRANSPORTE COM CAMINHÃO BASCULANTE DE 10 M³, EM VIA URBANA EM LEITO NATURAL (UNIDADE: M3XKM). AF_07/2020</v>
          </cell>
          <cell r="C6073" t="str">
            <v>M3XKM</v>
          </cell>
          <cell r="D6073">
            <v>1.6</v>
          </cell>
        </row>
        <row r="6074">
          <cell r="A6074">
            <v>93589</v>
          </cell>
          <cell r="B6074" t="str">
            <v>TRANSPORTE COM CAMINHÃO BASCULANTE DE 10 M³, EM VIA URBANA EM REVESTIMENTO PRIMÁRIO (UNIDADE: M3XKM). AF_07/2020</v>
          </cell>
          <cell r="C6074" t="str">
            <v>M3XKM</v>
          </cell>
          <cell r="D6074">
            <v>1.37</v>
          </cell>
        </row>
        <row r="6075">
          <cell r="A6075">
            <v>93590</v>
          </cell>
          <cell r="B6075" t="str">
            <v>TRANSPORTE COM CAMINHÃO BASCULANTE DE 10 M³, EM VIA URBANA PAVIMENTADA, ADICIONAL PARA DMT EXCEDENTE A 30 KM (UNIDADE: M3XKM). AF_07/2020</v>
          </cell>
          <cell r="C6075" t="str">
            <v>M3XKM</v>
          </cell>
          <cell r="D6075">
            <v>0.5</v>
          </cell>
        </row>
        <row r="6076">
          <cell r="A6076">
            <v>93591</v>
          </cell>
          <cell r="B6076" t="str">
            <v>TRANSPORTE COM CAMINHÃO BASCULANTE DE 14 M³, EM VIA URBANA EM LEITO NATURAL (UNIDADE: M3XKM). AF_07/2020</v>
          </cell>
          <cell r="C6076" t="str">
            <v>M3XKM</v>
          </cell>
          <cell r="D6076">
            <v>1.5</v>
          </cell>
        </row>
        <row r="6077">
          <cell r="A6077">
            <v>93592</v>
          </cell>
          <cell r="B6077" t="str">
            <v>TRANSPORTE COM CAMINHÃO BASCULANTE DE 14 M³, EM VIA URBANA EM REVESTIMENTO PRIMÁRIO (UNIDADE: M3XKM). AF_07/2020</v>
          </cell>
          <cell r="C6077" t="str">
            <v>M3XKM</v>
          </cell>
          <cell r="D6077">
            <v>1.29</v>
          </cell>
        </row>
        <row r="6078">
          <cell r="A6078">
            <v>93593</v>
          </cell>
          <cell r="B6078" t="str">
            <v>TRANSPORTE COM CAMINHÃO BASCULANTE DE 14 M³, EM VIA URBANA PAVIMENTADA, ADICIONAL PARA DMT EXCEDENTE A 30 KM (UNIDADE: M3XKM). AF_07/2020</v>
          </cell>
          <cell r="C6078" t="str">
            <v>M3XKM</v>
          </cell>
          <cell r="D6078">
            <v>0.47</v>
          </cell>
        </row>
        <row r="6079">
          <cell r="A6079">
            <v>93594</v>
          </cell>
          <cell r="B6079" t="str">
            <v>TRANSPORTE COM CAMINHÃO BASCULANTE DE 10 M³, EM VIA URBANA EM LEITO NATURAL (UNIDADE: TXKM). AF_07/2020</v>
          </cell>
          <cell r="C6079" t="str">
            <v>TXKM</v>
          </cell>
          <cell r="D6079">
            <v>1.06</v>
          </cell>
        </row>
        <row r="6080">
          <cell r="A6080">
            <v>93595</v>
          </cell>
          <cell r="B6080" t="str">
            <v>TRANSPORTE COM CAMINHÃO BASCULANTE DE 10 M³, EM VIA URBANA EM REVESTIMENTO PRIMÁRIO (UNIDADE: TXKM). AF_07/2020</v>
          </cell>
          <cell r="C6080" t="str">
            <v>TXKM</v>
          </cell>
          <cell r="D6080">
            <v>0.93</v>
          </cell>
        </row>
        <row r="6081">
          <cell r="A6081">
            <v>93596</v>
          </cell>
          <cell r="B6081" t="str">
            <v>TRANSPORTE COM CAMINHÃO BASCULANTE DE 10 M³, EM VIA URBANA PAVIMENTADA, ADICIONAL PARA DMT EXCEDENTE A 30 KM (UNIDADE: TXKM). AF_07/2020</v>
          </cell>
          <cell r="C6081" t="str">
            <v>TXKM</v>
          </cell>
          <cell r="D6081">
            <v>0.33</v>
          </cell>
        </row>
        <row r="6082">
          <cell r="A6082">
            <v>93597</v>
          </cell>
          <cell r="B6082" t="str">
            <v>TRANSPORTE COM CAMINHÃO BASCULANTE DE 14 M³, EM VIA URBANA EM LEITO NATURAL (UNIDADE: TXKM). AF_07/2020</v>
          </cell>
          <cell r="C6082" t="str">
            <v>TXKM</v>
          </cell>
          <cell r="D6082">
            <v>0.99</v>
          </cell>
        </row>
        <row r="6083">
          <cell r="A6083">
            <v>93598</v>
          </cell>
          <cell r="B6083" t="str">
            <v>TRANSPORTE COM CAMINHÃO BASCULANTE DE 14 M³, EM VIA URBANA EM REVESTIMENTO PRIMÁRIO (UNIDADE: TXKM). AF_07/2020</v>
          </cell>
          <cell r="C6083" t="str">
            <v>TXKM</v>
          </cell>
          <cell r="D6083">
            <v>0.85</v>
          </cell>
        </row>
        <row r="6084">
          <cell r="A6084">
            <v>93599</v>
          </cell>
          <cell r="B6084" t="str">
            <v>TRANSPORTE COM CAMINHÃO BASCULANTE DE 14 M³, EM VIA URBANA PAVIMENTADA, ADICIONAL PARA DMT EXCEDENTE A 30 KM (UNIDADE: TXKM). AF_07/2020</v>
          </cell>
          <cell r="C6084" t="str">
            <v>TXKM</v>
          </cell>
          <cell r="D6084">
            <v>0.31</v>
          </cell>
        </row>
        <row r="6085">
          <cell r="A6085">
            <v>95425</v>
          </cell>
          <cell r="B6085" t="str">
            <v>TRANSPORTE COM CAMINHÃO BASCULANTE DE 18 M³, EM VIA URBANA EM LEITO NATURAL (UNIDADE: M3XKM). AF_07/2020</v>
          </cell>
          <cell r="C6085" t="str">
            <v>M3XKM</v>
          </cell>
          <cell r="D6085">
            <v>1.27</v>
          </cell>
        </row>
        <row r="6086">
          <cell r="A6086">
            <v>95426</v>
          </cell>
          <cell r="B6086" t="str">
            <v>TRANSPORTE COM CAMINHÃO BASCULANTE DE 18 M³, EM VIA URBANA EM REVESTIMENTO PRIMÁRIO (UNIDADE: M3XKM). AF_07/2020</v>
          </cell>
          <cell r="C6086" t="str">
            <v>M3XKM</v>
          </cell>
          <cell r="D6086">
            <v>1.1000000000000001</v>
          </cell>
        </row>
        <row r="6087">
          <cell r="A6087">
            <v>95427</v>
          </cell>
          <cell r="B6087" t="str">
            <v>TRANSPORTE COM CAMINHÃO BASCULANTE DE 18 M³, EM VIA URBANA PAVIMENTADA, ADICIONAL PARA DMT EXCEDENTE A 30 KM (UNIDADE: M3XKM). AF_07/2020</v>
          </cell>
          <cell r="C6087" t="str">
            <v>M3XKM</v>
          </cell>
          <cell r="D6087">
            <v>0.41</v>
          </cell>
        </row>
        <row r="6088">
          <cell r="A6088">
            <v>95428</v>
          </cell>
          <cell r="B6088" t="str">
            <v>TRANSPORTE COM CAMINHÃO BASCULANTE DE 18 M³, EM VIA URBANA EM LEITO NATURAL (UNIDADE: TXKM). AF_07/2020</v>
          </cell>
          <cell r="C6088" t="str">
            <v>TXKM</v>
          </cell>
          <cell r="D6088">
            <v>0.85</v>
          </cell>
        </row>
        <row r="6089">
          <cell r="A6089">
            <v>95429</v>
          </cell>
          <cell r="B6089" t="str">
            <v>TRANSPORTE COM CAMINHÃO BASCULANTE DE 18 M³, EM VIA URBANA EM REVESTIMENTO PRIMÁRIO (UNIDADE: TXKM). AF_07/2020</v>
          </cell>
          <cell r="C6089" t="str">
            <v>TXKM</v>
          </cell>
          <cell r="D6089">
            <v>0.74</v>
          </cell>
        </row>
        <row r="6090">
          <cell r="A6090">
            <v>95430</v>
          </cell>
          <cell r="B6090" t="str">
            <v>TRANSPORTE COM CAMINHÃO BASCULANTE DE 18 M³, EM VIA URBANA PAVIMENTADA, ADICIONAL PARA DMT EXCEDENTE A 30 KM (UNIDADE: TXKM). AF_07/2020</v>
          </cell>
          <cell r="C6090" t="str">
            <v>TXKM</v>
          </cell>
          <cell r="D6090">
            <v>0.26</v>
          </cell>
        </row>
        <row r="6091">
          <cell r="A6091">
            <v>95875</v>
          </cell>
          <cell r="B6091" t="str">
            <v>TRANSPORTE COM CAMINHÃO BASCULANTE DE 10 M³, EM VIA URBANA PAVIMENTADA, DMT ATÉ 30 KM (UNIDADE: M3XKM). AF_07/2020</v>
          </cell>
          <cell r="C6091" t="str">
            <v>M3XKM</v>
          </cell>
          <cell r="D6091">
            <v>1.26</v>
          </cell>
        </row>
        <row r="6092">
          <cell r="A6092">
            <v>95876</v>
          </cell>
          <cell r="B6092" t="str">
            <v>TRANSPORTE COM CAMINHÃO BASCULANTE DE 14 M³, EM VIA URBANA PAVIMENTADA, DMT ATÉ 30 KM (UNIDADE: M3XKM). AF_07/2020</v>
          </cell>
          <cell r="C6092" t="str">
            <v>M3XKM</v>
          </cell>
          <cell r="D6092">
            <v>1.17</v>
          </cell>
        </row>
        <row r="6093">
          <cell r="A6093">
            <v>95877</v>
          </cell>
          <cell r="B6093" t="str">
            <v>TRANSPORTE COM CAMINHÃO BASCULANTE DE 18 M³, EM VIA URBANA PAVIMENTADA, DMT ATÉ 30 KM (UNIDADE: M3XKM). AF_07/2020</v>
          </cell>
          <cell r="C6093" t="str">
            <v>M3XKM</v>
          </cell>
          <cell r="D6093">
            <v>1</v>
          </cell>
        </row>
        <row r="6094">
          <cell r="A6094">
            <v>95878</v>
          </cell>
          <cell r="B6094" t="str">
            <v>TRANSPORTE COM CAMINHÃO BASCULANTE DE 10 M³, EM VIA URBANA PAVIMENTADA, DMT ATÉ 30 KM (UNIDADE: TXKM). AF_07/2020</v>
          </cell>
          <cell r="C6094" t="str">
            <v>TXKM</v>
          </cell>
          <cell r="D6094">
            <v>0.85</v>
          </cell>
        </row>
        <row r="6095">
          <cell r="A6095">
            <v>95879</v>
          </cell>
          <cell r="B6095" t="str">
            <v>TRANSPORTE COM CAMINHÃO BASCULANTE DE 14 M³, EM VIA URBANA PAVIMENTADA, DMT ATÉ 30 KM (UNIDADE: TXKM). AF_07/2020</v>
          </cell>
          <cell r="C6095" t="str">
            <v>TXKM</v>
          </cell>
          <cell r="D6095">
            <v>0.8</v>
          </cell>
        </row>
        <row r="6096">
          <cell r="A6096">
            <v>95880</v>
          </cell>
          <cell r="B6096" t="str">
            <v>TRANSPORTE COM CAMINHÃO BASCULANTE DE 18 M³, EM VIA URBANA PAVIMENTADA, DMT ATÉ 30 KM (UNIDADE: TXKM). AF_07/2020</v>
          </cell>
          <cell r="C6096" t="str">
            <v>TXKM</v>
          </cell>
          <cell r="D6096">
            <v>0.67</v>
          </cell>
        </row>
        <row r="6097">
          <cell r="A6097">
            <v>97912</v>
          </cell>
          <cell r="B6097" t="str">
            <v>TRANSPORTE COM CAMINHÃO BASCULANTE DE 6 M³, EM VIA URBANA EM LEITO NATURAL (UNIDADE: M3XKM). AF_07/2020</v>
          </cell>
          <cell r="C6097" t="str">
            <v>M3XKM</v>
          </cell>
          <cell r="D6097">
            <v>1.93</v>
          </cell>
        </row>
        <row r="6098">
          <cell r="A6098">
            <v>97913</v>
          </cell>
          <cell r="B6098" t="str">
            <v>TRANSPORTE COM CAMINHÃO BASCULANTE DE 6 M³, EM VIA URBANA EM REVESTIMENTO PRIMÁRIO (UNIDADE: M3XKM). AF_07/2020</v>
          </cell>
          <cell r="C6098" t="str">
            <v>M3XKM</v>
          </cell>
          <cell r="D6098">
            <v>1.68</v>
          </cell>
        </row>
        <row r="6099">
          <cell r="A6099">
            <v>97914</v>
          </cell>
          <cell r="B6099" t="str">
            <v>TRANSPORTE COM CAMINHÃO BASCULANTE DE 6 M³, EM VIA URBANA PAVIMENTADA, DMT ATÉ 30 KM (UNIDADE: M3XKM). AF_07/2020</v>
          </cell>
          <cell r="C6099" t="str">
            <v>M3XKM</v>
          </cell>
          <cell r="D6099">
            <v>1.53</v>
          </cell>
        </row>
        <row r="6100">
          <cell r="A6100">
            <v>97915</v>
          </cell>
          <cell r="B6100" t="str">
            <v>TRANSPORTE COM CAMINHÃO BASCULANTE DE 6 M³, EM VIA URBANA PAVIMENTADA, ADICIONAL PARA DMT EXCEDENTE A 30 KM (UNIDADE: M3XKM). AF_07/2020</v>
          </cell>
          <cell r="C6100" t="str">
            <v>M3XKM</v>
          </cell>
          <cell r="D6100">
            <v>0.61</v>
          </cell>
        </row>
        <row r="6101">
          <cell r="A6101">
            <v>100937</v>
          </cell>
          <cell r="B6101" t="str">
            <v>TRANSPORTE COM CAMINHÃO BASCULANTE DE 6 M³, EM VIA INTERNA (DENTRO DO CANTEIRO - UNIDADE: M3XKM). AF_07/2020</v>
          </cell>
          <cell r="C6101" t="str">
            <v>M3XKM</v>
          </cell>
          <cell r="D6101">
            <v>4.5999999999999996</v>
          </cell>
        </row>
        <row r="6102">
          <cell r="A6102">
            <v>100938</v>
          </cell>
          <cell r="B6102" t="str">
            <v>TRANSPORTE COM CAMINHÃO BASCULANTE DE 10 M³, EM VIA INTERNA (DENTRO DO CANTEIRO - UNIDADE: M3XKM). AF_07/2020</v>
          </cell>
          <cell r="C6102" t="str">
            <v>M3XKM</v>
          </cell>
          <cell r="D6102">
            <v>3.82</v>
          </cell>
        </row>
        <row r="6103">
          <cell r="A6103">
            <v>100939</v>
          </cell>
          <cell r="B6103" t="str">
            <v>TRANSPORTE COM CAMINHÃO BASCULANTE DE 14 M³, EM VIA INTERNA (DENTRO DO CANTEIRO - UNIDADE:M3XKM). AF_07/2020</v>
          </cell>
          <cell r="C6103" t="str">
            <v>M3XKM</v>
          </cell>
          <cell r="D6103">
            <v>3.58</v>
          </cell>
        </row>
        <row r="6104">
          <cell r="A6104">
            <v>100940</v>
          </cell>
          <cell r="B6104" t="str">
            <v>TRANSPORTE COM CAMINHÃO BASCULANTE DE 18 M³, EM VIA INTERNA (DENTRO DO CANTEIRO - UNIDADE: M3XKM). AF_07/2020</v>
          </cell>
          <cell r="C6104" t="str">
            <v>M3XKM</v>
          </cell>
          <cell r="D6104">
            <v>3.05</v>
          </cell>
        </row>
        <row r="6105">
          <cell r="A6105">
            <v>100941</v>
          </cell>
          <cell r="B6105" t="str">
            <v>TRANSPORTE COM CAMINHÃO BASCULANTE DE 6 M³, EM VIA INTERNA (DENTRO DO CANTEIRO - UNIDADE: TXKM). AF_07/2020</v>
          </cell>
          <cell r="C6105" t="str">
            <v>TXKM</v>
          </cell>
          <cell r="D6105">
            <v>3.07</v>
          </cell>
        </row>
        <row r="6106">
          <cell r="A6106">
            <v>100942</v>
          </cell>
          <cell r="B6106" t="str">
            <v>TRANSPORTE COM CAMINHÃO BASCULANTE DE 10 M³, EM VIA INTERNA A OBRA (UNIDADE: TXKM). AF_07/2020</v>
          </cell>
          <cell r="C6106" t="str">
            <v>TXKM</v>
          </cell>
          <cell r="D6106">
            <v>2.5499999999999998</v>
          </cell>
        </row>
        <row r="6107">
          <cell r="A6107">
            <v>100943</v>
          </cell>
          <cell r="B6107" t="str">
            <v>TRANSPORTE COM CAMINHÃO BASCULANTE DE 14 M³, EM VIA INTERNA (DENTRO DO CANTEIRO - UNIDADE: TXKM). AF_07/2020</v>
          </cell>
          <cell r="C6107" t="str">
            <v>TXKM</v>
          </cell>
          <cell r="D6107">
            <v>2.38</v>
          </cell>
        </row>
        <row r="6108">
          <cell r="A6108">
            <v>100944</v>
          </cell>
          <cell r="B6108" t="str">
            <v>TRANSPORTE COM CAMINHÃO BASCULANTE DE 18 M³, EM VIA INTERNA (DENTRO DO CANTEIRO - UNIDADE: TXKM). AF_07/2020</v>
          </cell>
          <cell r="C6108" t="str">
            <v>TXKM</v>
          </cell>
          <cell r="D6108">
            <v>2.04</v>
          </cell>
        </row>
        <row r="6109">
          <cell r="A6109">
            <v>100945</v>
          </cell>
          <cell r="B6109" t="str">
            <v>TRANSPORTE COM CAMINHÃO CARROCERIA 9T, EM VIA URBANA EM LEITO NATURAL (UNIDADE: TXKM). AF_07/2020</v>
          </cell>
          <cell r="C6109" t="str">
            <v>TXKM</v>
          </cell>
          <cell r="D6109">
            <v>1.36</v>
          </cell>
        </row>
        <row r="6110">
          <cell r="A6110">
            <v>100946</v>
          </cell>
          <cell r="B6110" t="str">
            <v>TRANSPORTE COM CAMINHÃO CARROCERIA 9T, EM VIA URBANA EM REVESTIMENTO PRIMÁRIO (UNIDADE: TXKM). AF_07/2020</v>
          </cell>
          <cell r="C6110" t="str">
            <v>TXKM</v>
          </cell>
          <cell r="D6110">
            <v>1.17</v>
          </cell>
        </row>
        <row r="6111">
          <cell r="A6111">
            <v>100947</v>
          </cell>
          <cell r="B6111" t="str">
            <v>TRANSPORTE COM CAMINHÃO CARROCERIA 9T, EM VIA URBANA PAVIMENTADA, DMT ATÉ 30KM (UNIDADE: TXKM). AF_07/2020</v>
          </cell>
          <cell r="C6111" t="str">
            <v>TXKM</v>
          </cell>
          <cell r="D6111">
            <v>1.0900000000000001</v>
          </cell>
        </row>
        <row r="6112">
          <cell r="A6112">
            <v>100948</v>
          </cell>
          <cell r="B6112" t="str">
            <v>TRANSPORTE COM CAMINHÃO CARROCERIA 9T, EM VIA URBANA PAVIMENTADA, ADICIONAL PARA DMT EXCEDENTE A 30 KM (UNIDADE: TXKM). AF_07/2020</v>
          </cell>
          <cell r="C6112" t="str">
            <v>TXKM</v>
          </cell>
          <cell r="D6112">
            <v>0.43</v>
          </cell>
        </row>
        <row r="6113">
          <cell r="A6113">
            <v>100949</v>
          </cell>
          <cell r="B6113" t="str">
            <v>TRANSPORTE COM CAMINHÃO CARROCERIA 9T, EM VIA INTERNA (DENTRO DO CANTEIRO - UNIDADE: TXKM). AF_07/2020</v>
          </cell>
          <cell r="C6113" t="str">
            <v>TXKM</v>
          </cell>
          <cell r="D6113">
            <v>3.26</v>
          </cell>
        </row>
        <row r="6114">
          <cell r="A6114">
            <v>100950</v>
          </cell>
          <cell r="B6114" t="str">
            <v>TRANSPORTE COM CAMINHÃO CARROCERIA COM GUINDAUTO (MUNCK),  MOMENTO MÁXIMO DE CARGA 11,7 TM, EM VIA URBANA EM LEITO NATURAL (UNIDADE: TXKM). AF_07/2020</v>
          </cell>
          <cell r="C6114" t="str">
            <v>TXKM</v>
          </cell>
          <cell r="D6114">
            <v>1.77</v>
          </cell>
        </row>
        <row r="6115">
          <cell r="A6115">
            <v>100951</v>
          </cell>
          <cell r="B6115" t="str">
            <v>TRANSPORTE COM CAMINHÃO CARROCERIA COM GUINDAUTO (MUNCK),  MOMENTO MÁXIMO DE CARGA 11,7 TM, EM VIA URBANA EM REVESTIMENTO PRIMÁRIO (UNIDADE: TXKM). AF_07/2020</v>
          </cell>
          <cell r="C6115" t="str">
            <v>TXKM</v>
          </cell>
          <cell r="D6115">
            <v>1.52</v>
          </cell>
        </row>
        <row r="6116">
          <cell r="A6116">
            <v>100952</v>
          </cell>
          <cell r="B6116" t="str">
            <v>TRANSPORTE COM CAMINHÃO CARROCERIA COM GUINDAUTO (MUNCK),  MOMENTO MÁXIMO DE CARGA 11,7 TM, EM VIA URBANA PAVIMENTADA, DMT ATÉ 30KM (UNIDADE: TXKM). AF_07/2020</v>
          </cell>
          <cell r="C6116" t="str">
            <v>TXKM</v>
          </cell>
          <cell r="D6116">
            <v>1.41</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v>0.55000000000000004</v>
          </cell>
        </row>
        <row r="6118">
          <cell r="A6118">
            <v>100954</v>
          </cell>
          <cell r="B6118" t="str">
            <v>TRANSPORTE COM CAMINHÃO CARROCERIA COM GUINDAUTO (MUNCK),  MOMENTO MÁXIMO DE CARGA 11,7 TM, EM VIA INTERNA (DENTRO DO CANTEIRO - UNIDADE: TXKM). AF_07/2020</v>
          </cell>
          <cell r="C6118" t="str">
            <v>TXKM</v>
          </cell>
          <cell r="D6118">
            <v>4.21</v>
          </cell>
        </row>
        <row r="6119">
          <cell r="A6119">
            <v>100955</v>
          </cell>
          <cell r="B6119" t="str">
            <v>TRANSPORTE COM CAMINHÃO PIPA DE 6 M³, EM VIA URBANA EM LEITO NATURAL (UNIDADE: M3XKM). AF_07/2020</v>
          </cell>
          <cell r="C6119" t="str">
            <v>M3XKM</v>
          </cell>
          <cell r="D6119">
            <v>2.59</v>
          </cell>
        </row>
        <row r="6120">
          <cell r="A6120">
            <v>100956</v>
          </cell>
          <cell r="B6120" t="str">
            <v>TRANSPORTE COM CAMINHÃO PIPA DE 6 M³, EM VIA URBANA EM REVESTIMENTO PRIMÁRIO (UNIDADE: M3XKM). AF_07/2020</v>
          </cell>
          <cell r="C6120" t="str">
            <v>M3XKM</v>
          </cell>
          <cell r="D6120">
            <v>2.25</v>
          </cell>
        </row>
        <row r="6121">
          <cell r="A6121">
            <v>100957</v>
          </cell>
          <cell r="B6121" t="str">
            <v>TRANSPORTE COM CAMINHÃO PIPA DE 6 M³, EM VIA URBANA PAVIMENTADA, DMT ATÉ 30KM (UNIDADE: M3XKM). AF_07/2020</v>
          </cell>
          <cell r="C6121" t="str">
            <v>M3XKM</v>
          </cell>
          <cell r="D6121">
            <v>2.06</v>
          </cell>
        </row>
        <row r="6122">
          <cell r="A6122">
            <v>100958</v>
          </cell>
          <cell r="B6122" t="str">
            <v>TRANSPORTE COM CAMINHÃO PIPA DE 6 M³, EM VIA URBANA PAVIMENTADA, ADICIONAL PARA DMT EXCEDENTE A 30 KM (UNIDADE: M3XKM). AF_07/2020</v>
          </cell>
          <cell r="C6122" t="str">
            <v>M3XKM</v>
          </cell>
          <cell r="D6122">
            <v>0.82</v>
          </cell>
        </row>
        <row r="6123">
          <cell r="A6123">
            <v>100959</v>
          </cell>
          <cell r="B6123" t="str">
            <v>TRANSPORTE COM CAMINHÃO PIPA DE 6 M³, EM VIA INTERNA (DENTRO DO CANTEIRO - UNIDADE: M3XKM). AF_07/2020</v>
          </cell>
          <cell r="C6123" t="str">
            <v>M3XKM</v>
          </cell>
          <cell r="D6123">
            <v>6.19</v>
          </cell>
        </row>
        <row r="6124">
          <cell r="A6124">
            <v>100960</v>
          </cell>
          <cell r="B6124" t="str">
            <v>TRANSPORTE COM CAMINHÃO PIPA DE 10 M³, EM VIA URBANA EM LEITO NATURAL (UNIDADE: M3XKM). AF_07/2020</v>
          </cell>
          <cell r="C6124" t="str">
            <v>M3XKM</v>
          </cell>
          <cell r="D6124">
            <v>1.87</v>
          </cell>
        </row>
        <row r="6125">
          <cell r="A6125">
            <v>100961</v>
          </cell>
          <cell r="B6125" t="str">
            <v>TRANSPORTE COM CAMINHÃO PIPA DE 10 M³, EM VIA URBANA EM REVESTIMENTO PRIMÁRIO (UNIDADE: M3XKM). AF_07/2020</v>
          </cell>
          <cell r="C6125" t="str">
            <v>M3XKM</v>
          </cell>
          <cell r="D6125">
            <v>1.62</v>
          </cell>
        </row>
        <row r="6126">
          <cell r="A6126">
            <v>100962</v>
          </cell>
          <cell r="B6126" t="str">
            <v>TRANSPORTE COM CAMINHÃO PIPA DE 10 M³, EM VIA URBANA PAVIMENTADA, DMT ATÉ 30KM (UNIDADE: M3XKM). AF_07/2020</v>
          </cell>
          <cell r="C6126" t="str">
            <v>M3XKM</v>
          </cell>
          <cell r="D6126">
            <v>1.47</v>
          </cell>
        </row>
        <row r="6127">
          <cell r="A6127">
            <v>100963</v>
          </cell>
          <cell r="B6127" t="str">
            <v>TRANSPORTE COM CAMINHÃO PIPA DE 10 M³, EM VIA URBANA PAVIMENTADA, ADICIONAL PARA DMT EXCEDENTE A 30 KM (UNIDADE: M3XKM). AF_07/2020</v>
          </cell>
          <cell r="C6127" t="str">
            <v>M3XKM</v>
          </cell>
          <cell r="D6127">
            <v>0.57999999999999996</v>
          </cell>
        </row>
        <row r="6128">
          <cell r="A6128">
            <v>100964</v>
          </cell>
          <cell r="B6128" t="str">
            <v>TRANSPORTE COM CAMINHÃO PIPA DE 10 M³, EM VIA INTERNA (DENTRO DO CANTEIRO - UNIDADE: M3XKM). AF_07/2020</v>
          </cell>
          <cell r="C6128" t="str">
            <v>M3XKM</v>
          </cell>
          <cell r="D6128">
            <v>4.4800000000000004</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v>4.75</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v>4.5599999999999996</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v>4.82</v>
          </cell>
        </row>
        <row r="6132">
          <cell r="A6132">
            <v>93176</v>
          </cell>
          <cell r="B6132" t="str">
            <v>TRANSPORTE DE MATERIAL ASFALTICO, COM CAMINHÃO COM CAPACIDADE DE 30000 L EM RODOVIA PAVIMENTADA PARA DISTÂNCIAS MÉDIAS DE TRANSPORTE SUPERIORES A 100 KM. AF_02/2016</v>
          </cell>
          <cell r="C6132" t="str">
            <v>TXKM</v>
          </cell>
          <cell r="D6132">
            <v>0.47</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v>1.66</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v>0.54</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v>1.83</v>
          </cell>
        </row>
        <row r="6136">
          <cell r="A6136">
            <v>100965</v>
          </cell>
          <cell r="B6136" t="str">
            <v>TRANSPORTE COM CAMINHÃO TANQUE DE TRANSPORTE DE MATERIAL ASFÁLTICO DE 30000 L, EM VIA URBANA EM  LEITO NATURAL (UNIDADE: TXKM). AF_07/2020</v>
          </cell>
          <cell r="C6136" t="str">
            <v>TXKM</v>
          </cell>
          <cell r="D6136">
            <v>0.99</v>
          </cell>
        </row>
        <row r="6137">
          <cell r="A6137">
            <v>100966</v>
          </cell>
          <cell r="B6137" t="str">
            <v>TRANSPORTE COM CAMINHÃO TANQUE DE TRANSPORTE DE MATERIAL ASFÁLTICO DE 30000 L, EM VIA URBANA EM  REVESTIMENTO PRIMÁRIO (UNIDADE: TXKM). AF_07/2020</v>
          </cell>
          <cell r="C6137" t="str">
            <v>TXKM</v>
          </cell>
          <cell r="D6137">
            <v>0.85</v>
          </cell>
        </row>
        <row r="6138">
          <cell r="A6138">
            <v>100967</v>
          </cell>
          <cell r="B6138" t="str">
            <v>TRANSPORTE COM CAMINHÃO TANQUE DE TRANSPORTE DE MATERIAL ASFÁLTICO DE 30000 L, EM VIA URBANA PAVIMENTADA, DMT ATÉ 30KM (UNIDADE: TXKM). AF_07/2020</v>
          </cell>
          <cell r="C6138" t="str">
            <v>TXKM</v>
          </cell>
          <cell r="D6138">
            <v>0.79</v>
          </cell>
        </row>
        <row r="6139">
          <cell r="A6139">
            <v>100968</v>
          </cell>
          <cell r="B6139" t="str">
            <v>TRANSPORTE COM CAMINHÃO TANQUE DE TRANSPORTE DE MATERIAL ASFÁLTICO DE 30000 L, EM VIA URBANA PAVIMENTADA, ADICIONAL PARA DMT EXCEDENTE A 30 KM (UNIDADE: TXKM). AF_07/2020</v>
          </cell>
          <cell r="C6139" t="str">
            <v>TXKM</v>
          </cell>
          <cell r="D6139">
            <v>0.31</v>
          </cell>
        </row>
        <row r="6140">
          <cell r="A6140">
            <v>100969</v>
          </cell>
          <cell r="B6140" t="str">
            <v>TRANSPORTE COM CAMINHÃO TANQUE DE TRANSPORTE DE MATERIAL ASFÁLTICO DE 20000 L, EM VIA URBANA EM LEITO NATURAL (UNIDADE: TXKM). AF_07/2020</v>
          </cell>
          <cell r="C6140" t="str">
            <v>TXKM</v>
          </cell>
          <cell r="D6140">
            <v>1.31</v>
          </cell>
        </row>
        <row r="6141">
          <cell r="A6141">
            <v>100970</v>
          </cell>
          <cell r="B6141" t="str">
            <v>TRANSPORTE COM CAMINHÃO TANQUE DE TRANSPORTE DE MATERIAL ASFÁLTICO DE 20000 L, EM VIA URBANA EM  REVESTIMENTO PRIMÁRIO (UNIDADE: TXKM). AF_07/2020</v>
          </cell>
          <cell r="C6141" t="str">
            <v>TXKM</v>
          </cell>
          <cell r="D6141">
            <v>1.1000000000000001</v>
          </cell>
        </row>
        <row r="6142">
          <cell r="A6142">
            <v>100971</v>
          </cell>
          <cell r="B6142" t="str">
            <v>TRANSPORTE COM CAMINHÃO TANQUE DE TRANSPORTE DE MATERIAL ASFÁLTICO DE 20000 L, EM VIA URBANA PAVIMENTADA, DMT ATÉ 30KM (UNIDADE: TXKM). AF_07/2020</v>
          </cell>
          <cell r="C6142" t="str">
            <v>TXKM</v>
          </cell>
          <cell r="D6142">
            <v>1.04</v>
          </cell>
        </row>
        <row r="6143">
          <cell r="A6143">
            <v>100972</v>
          </cell>
          <cell r="B6143" t="str">
            <v>TRANSPORTE COM CAMINHÃO TANQUE DE TRANSPORTE DE MATERIAL ASFÁLTICO DE 20000 L, EM VIA URBANA PAVIMENTADA, ADICIONAL PARA DMT EXCEDENTE A 30 KM (UNIDADE: TXKM). AF_07/2020</v>
          </cell>
          <cell r="C6143" t="str">
            <v>TXKM</v>
          </cell>
          <cell r="D6143">
            <v>0.41</v>
          </cell>
        </row>
        <row r="6144">
          <cell r="A6144">
            <v>101019</v>
          </cell>
          <cell r="B6144" t="str">
            <v>CARGA, MANOBRA E DESCARGA MANUAL DE TUBOS PLÁSTICOS, DN MENOR OU IGUAL A 100 MM, EM CAMINHÃO CARROCERIA 9T. AF_07/2020</v>
          </cell>
          <cell r="C6144" t="str">
            <v>T</v>
          </cell>
          <cell r="D6144">
            <v>465.06</v>
          </cell>
        </row>
        <row r="6145">
          <cell r="A6145">
            <v>101479</v>
          </cell>
          <cell r="B6145" t="str">
            <v>CARGA, MANOBRA E DESCARGA MANUAL DE TUBOS PLÁSTICOS, DN 200 MM, EM CAMINHÃO CARROCERIA 9T. AF_07/2020</v>
          </cell>
          <cell r="C6145" t="str">
            <v>T</v>
          </cell>
          <cell r="D6145">
            <v>92.84</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v>4.72</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v>3.97</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v>3.57</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v>3.6</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v>3.42</v>
          </cell>
        </row>
        <row r="6151">
          <cell r="A6151">
            <v>100981</v>
          </cell>
          <cell r="B6151" t="str">
            <v>CARGA, MANOBRA E DESCARGA DE ENTULHO EM CAMINHÃO BASCULANTE 6 M³ - CARGA COM ESCAVADEIRA HIDRÁULICA  (CAÇAMBA DE 0,80 M³ / 111 HP) E DESCARGA LIVRE (UNIDADE: M3). AF_07/2020</v>
          </cell>
          <cell r="C6151" t="str">
            <v>M3</v>
          </cell>
          <cell r="D6151">
            <v>4.87</v>
          </cell>
        </row>
        <row r="6152">
          <cell r="A6152">
            <v>100982</v>
          </cell>
          <cell r="B6152" t="str">
            <v>CARGA, MANOBRA E DESCARGA DE ENTULHO EM CAMINHÃO BASCULANTE 10 M³ - CARGA COM ESCAVADEIRA HIDRÁULICA  (CAÇAMBA DE 0,80 M³ / 111 HP) E DESCARGA LIVRE (UNIDADE: M3). AF_07/2020</v>
          </cell>
          <cell r="C6152" t="str">
            <v>M3</v>
          </cell>
          <cell r="D6152">
            <v>4.6500000000000004</v>
          </cell>
        </row>
        <row r="6153">
          <cell r="A6153">
            <v>100983</v>
          </cell>
          <cell r="B6153" t="str">
            <v>CARGA, MANOBRA E DESCARGA DE ENTULHO EM CAMINHÃO BASCULANTE 14 M³ - CARGA COM ESCAVADEIRA HIDRÁULICA  (CAÇAMBA DE 0,80 M³ / 111 HP) E DESCARGA LIVRE (UNIDADE: M3). AF_07/2020</v>
          </cell>
          <cell r="C6153" t="str">
            <v>M3</v>
          </cell>
          <cell r="D6153">
            <v>4.8899999999999997</v>
          </cell>
        </row>
        <row r="6154">
          <cell r="A6154">
            <v>100984</v>
          </cell>
          <cell r="B6154" t="str">
            <v>CARGA, MANOBRA E DESCARGA DE ENTULHO EM CAMINHÃO BASCULANTE 18 M³ - CARGA COM ESCAVADEIRA HIDRÁULICA  (CAÇAMBA DE 0,80 M³ / 111 HP) E DESCARGA LIVRE (UNIDADE: M3). AF_07/2020</v>
          </cell>
          <cell r="C6154" t="str">
            <v>M3</v>
          </cell>
          <cell r="D6154">
            <v>4.79</v>
          </cell>
        </row>
        <row r="6155">
          <cell r="A6155">
            <v>100985</v>
          </cell>
          <cell r="B6155" t="str">
            <v>CARGA DE MISTURA ASFÁLTICA EM CAMINHÃO BASCULANTE 6 M³ (UNIDADE: M3). AF_07/2020</v>
          </cell>
          <cell r="C6155" t="str">
            <v>M3</v>
          </cell>
          <cell r="D6155">
            <v>3.85</v>
          </cell>
        </row>
        <row r="6156">
          <cell r="A6156">
            <v>100986</v>
          </cell>
          <cell r="B6156" t="str">
            <v>CARGA DE MISTURA ASFÁLTICA EM CAMINHÃO BASCULANTE 10 M³ (UNIDADE: M3). AF_07/2020</v>
          </cell>
          <cell r="C6156" t="str">
            <v>M3</v>
          </cell>
          <cell r="D6156">
            <v>4.5999999999999996</v>
          </cell>
        </row>
        <row r="6157">
          <cell r="A6157">
            <v>100987</v>
          </cell>
          <cell r="B6157" t="str">
            <v>CARGA DE MISTURA ASFÁLTICA EM CAMINHÃO BASCULANTE 14 M³ (UNIDADE: M3). AF_07/2020</v>
          </cell>
          <cell r="C6157" t="str">
            <v>M3</v>
          </cell>
          <cell r="D6157">
            <v>5.67</v>
          </cell>
        </row>
        <row r="6158">
          <cell r="A6158">
            <v>100988</v>
          </cell>
          <cell r="B6158" t="str">
            <v>CARGA DE MISTURA ASFÁLTICA EM CAMINHÃO BASCULANTE 18 M³ (UNIDADE: M3). AF_07/2020</v>
          </cell>
          <cell r="C6158" t="str">
            <v>M3</v>
          </cell>
          <cell r="D6158">
            <v>6</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v>3.16</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v>3.04</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v>3.22</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v>3.15</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v>2.65</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v>2.37</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v>2.4</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v>2.2599999999999998</v>
          </cell>
        </row>
        <row r="6167">
          <cell r="A6167">
            <v>100997</v>
          </cell>
          <cell r="B6167" t="str">
            <v>CARGA, MANOBRA E DESCARGA DE ENTULHO EM CAMINHÃO BASCULANTE 6 M³ - CARGA COM ESCAVADEIRA HIDRÁULICA  (CAÇAMBA DE 0,80 M³ / 111 HP) E DESCARGA LIVRE (UNIDADE: T). AF_07/2020</v>
          </cell>
          <cell r="C6167" t="str">
            <v>T</v>
          </cell>
          <cell r="D6167">
            <v>3.24</v>
          </cell>
        </row>
        <row r="6168">
          <cell r="A6168">
            <v>100998</v>
          </cell>
          <cell r="B6168" t="str">
            <v>CARGA, MANOBRA E DESCARGA DE ENTULHO EM CAMINHÃO BASCULANTE 10 M³ - CARGA COM ESCAVADEIRA HIDRÁULICA  (CAÇAMBA DE 0,80 M³ / 111 HP) E DESCARGA LIVRE (UNIDADE: T). AF_07/2020</v>
          </cell>
          <cell r="C6168" t="str">
            <v>T</v>
          </cell>
          <cell r="D6168">
            <v>3.09</v>
          </cell>
        </row>
        <row r="6169">
          <cell r="A6169">
            <v>100999</v>
          </cell>
          <cell r="B6169" t="str">
            <v>CARGA, MANOBRA E DESCARGA DE ENTULHO EM CAMINHÃO BASCULANTE 14 M³ - CARGA COM ESCAVADEIRA HIDRÁULICA  (CAÇAMBA DE 0,80 M³ / 111 HP) E DESCARGA LIVRE (UNIDADE: T). AF_07/2020</v>
          </cell>
          <cell r="C6169" t="str">
            <v>T</v>
          </cell>
          <cell r="D6169">
            <v>3.26</v>
          </cell>
        </row>
        <row r="6170">
          <cell r="A6170">
            <v>101000</v>
          </cell>
          <cell r="B6170" t="str">
            <v>CARGA, MANOBRA E DESCARGA DE ENTULHO EM CAMINHÃO BASCULANTE 18 M³ - CARGA COM ESCAVADEIRA HIDRÁULICA  (CAÇAMBA DE 0,80 M³ / 111 HP) E DESCARGA LIVRE (UNIDADE: T). AF_07/2020</v>
          </cell>
          <cell r="C6170" t="str">
            <v>T</v>
          </cell>
          <cell r="D6170">
            <v>3.2</v>
          </cell>
        </row>
        <row r="6171">
          <cell r="A6171">
            <v>101001</v>
          </cell>
          <cell r="B6171" t="str">
            <v>CARGA DE MISTURA ASFÁLTICA EM CAMINHÃO BASCULANTE 6 M³ (UNIDADE: T). AF_07/2020</v>
          </cell>
          <cell r="C6171" t="str">
            <v>T</v>
          </cell>
          <cell r="D6171">
            <v>2.56</v>
          </cell>
        </row>
        <row r="6172">
          <cell r="A6172">
            <v>101002</v>
          </cell>
          <cell r="B6172" t="str">
            <v>CARGA DE MISTURA ASFÁLTICA EM CAMINHÃO BASCULANTE 10 M³ (UNIDADE: T). AF_07/2020</v>
          </cell>
          <cell r="C6172" t="str">
            <v>T</v>
          </cell>
          <cell r="D6172">
            <v>3.06</v>
          </cell>
        </row>
        <row r="6173">
          <cell r="A6173">
            <v>101003</v>
          </cell>
          <cell r="B6173" t="str">
            <v>CARGA DE MISTURA ASFÁLTICA EM CAMINHÃO BASCULANTE 14 M³ (UNIDADE: T). AF_07/2020</v>
          </cell>
          <cell r="C6173" t="str">
            <v>T</v>
          </cell>
          <cell r="D6173">
            <v>3.77</v>
          </cell>
        </row>
        <row r="6174">
          <cell r="A6174">
            <v>101004</v>
          </cell>
          <cell r="B6174" t="str">
            <v>CARGA DE MISTURA ASFÁLTICA EM CAMINHÃO BASCULANTE 18 M³ (UNIDADE: T). AF_07/2020</v>
          </cell>
          <cell r="C6174" t="str">
            <v>T</v>
          </cell>
          <cell r="D6174">
            <v>4</v>
          </cell>
        </row>
        <row r="6175">
          <cell r="A6175">
            <v>101005</v>
          </cell>
          <cell r="B6175" t="str">
            <v>CARGA, MANOBRA E DESCARGA DE ÁGUA EM CAMINHÃO PIPA 6 M³. AF_07/2020</v>
          </cell>
          <cell r="C6175" t="str">
            <v>M3</v>
          </cell>
          <cell r="D6175">
            <v>9.8800000000000008</v>
          </cell>
        </row>
        <row r="6176">
          <cell r="A6176">
            <v>101006</v>
          </cell>
          <cell r="B6176" t="str">
            <v>CARGA, MANOBRA E DESCARGA DE ÁGUA EM CAMINHÃO PIPA 10 M³. AF_07/2020</v>
          </cell>
          <cell r="C6176" t="str">
            <v>M3</v>
          </cell>
          <cell r="D6176">
            <v>10.63</v>
          </cell>
        </row>
        <row r="6177">
          <cell r="A6177">
            <v>101007</v>
          </cell>
          <cell r="B6177" t="str">
            <v>CARGA DE ÁGUA EM CAMINHÃO PIPA 6 M³. AF_07/2020</v>
          </cell>
          <cell r="C6177" t="str">
            <v>M3</v>
          </cell>
          <cell r="D6177">
            <v>2.86</v>
          </cell>
        </row>
        <row r="6178">
          <cell r="A6178">
            <v>101008</v>
          </cell>
          <cell r="B6178" t="str">
            <v>CARGA DE ÁGUA EM CAMINHÃO PIPA 10 M³. AF_07/2020</v>
          </cell>
          <cell r="C6178" t="str">
            <v>M3</v>
          </cell>
          <cell r="D6178">
            <v>2.81</v>
          </cell>
        </row>
        <row r="6179">
          <cell r="A6179">
            <v>101009</v>
          </cell>
          <cell r="B6179" t="str">
            <v>CARGA, MANOBRA E DESCARGA DE POSTE DE CONCRETO EM CAMINHÃO CARROCERIA COM GUINDAUTO (MUNCK) 11,7 TM. AF_07/2020</v>
          </cell>
          <cell r="C6179" t="str">
            <v>T</v>
          </cell>
          <cell r="D6179">
            <v>21.39</v>
          </cell>
        </row>
        <row r="6180">
          <cell r="A6180">
            <v>101010</v>
          </cell>
          <cell r="B6180" t="str">
            <v>CARGA, MANOBRA E DESCARGA DE PERFIL METÁLICO EM CAMINHÃO CARROCERIA COM GUINDAUTO (MUNCK) 11,7 TM. AF_07/2020</v>
          </cell>
          <cell r="C6180" t="str">
            <v>T</v>
          </cell>
          <cell r="D6180">
            <v>13.47</v>
          </cell>
        </row>
        <row r="6181">
          <cell r="A6181">
            <v>101013</v>
          </cell>
          <cell r="B6181" t="str">
            <v>CARGA, MANOBRA E DESCARGA DE TUBOS DE CONCRETO, DN MENOR OU IGUAL A 300 MM, EM CAMINHÃO CARROCERIA COM GUINDAUTO (MUNCK) 11,7 TM. AF_07/2020</v>
          </cell>
          <cell r="C6181" t="str">
            <v>T</v>
          </cell>
          <cell r="D6181">
            <v>24.26</v>
          </cell>
        </row>
        <row r="6182">
          <cell r="A6182">
            <v>101014</v>
          </cell>
          <cell r="B6182" t="str">
            <v>CARGA, MANOBRA E DESCARGA DE TUBOS DE CONCRETO, DN 400 MM, EM CAMINHÃO CARROCERIA COM GUINDAUTO (MUNCK) 11,7 TM. AF_07/2020</v>
          </cell>
          <cell r="C6182" t="str">
            <v>T</v>
          </cell>
          <cell r="D6182">
            <v>22.23</v>
          </cell>
        </row>
        <row r="6183">
          <cell r="A6183">
            <v>101015</v>
          </cell>
          <cell r="B6183" t="str">
            <v>CARGA, MANOBRA E DESCARGA DE TUBOS DE CONCRETO, DN 500 MM, EM CAMINHÃO CARROCERIA COM GUINDAUTO (MUNCK) 11,7 TM. AF_07/2020</v>
          </cell>
          <cell r="C6183" t="str">
            <v>T</v>
          </cell>
          <cell r="D6183">
            <v>18.260000000000002</v>
          </cell>
        </row>
        <row r="6184">
          <cell r="A6184">
            <v>101016</v>
          </cell>
          <cell r="B6184" t="str">
            <v>CARGA, MANOBRA E DESCARGA DE TUBOS METÁLICOS, DN MENOR OU IGUAL A 150 MM, EM CAMINHÃO CARROCERIA COM GUINDAUTO (MUNCK) 11,7 TM. AF_07/2020</v>
          </cell>
          <cell r="C6184" t="str">
            <v>T</v>
          </cell>
          <cell r="D6184">
            <v>21.14</v>
          </cell>
        </row>
        <row r="6185">
          <cell r="A6185">
            <v>101017</v>
          </cell>
          <cell r="B6185" t="str">
            <v>CARGA, MANOBRA E DESCARGA DE TUBOS METÁLICOS, DN 200 MM, EM CAMINHÃO CARROCERIA COM GUINDAUTO (MUNCK) 11,7 TM. AF_07/2020</v>
          </cell>
          <cell r="C6185" t="str">
            <v>T</v>
          </cell>
          <cell r="D6185">
            <v>16.03</v>
          </cell>
        </row>
        <row r="6186">
          <cell r="A6186">
            <v>101018</v>
          </cell>
          <cell r="B6186" t="str">
            <v>CARGA, MANOBRA E DESCARGA DE TUBOS METÁLICOS, DN 250 MM, EM CAMINHÃO CARROCERIA COM GUINDAUTO (MUNCK) 11,7 TM. AF_07/2020</v>
          </cell>
          <cell r="C6186" t="str">
            <v>T</v>
          </cell>
          <cell r="D6186">
            <v>13.17</v>
          </cell>
        </row>
        <row r="6187">
          <cell r="A6187">
            <v>101463</v>
          </cell>
          <cell r="B6187" t="str">
            <v>CARGA, MANOBRA E DESCARGA DE TUBOS DE CONCRETO, DN 600 MM, EM CAMINHÃO CARROCERIA COM GUINDAUTO (MUNCK) 11,7 TM. AF_07/2020</v>
          </cell>
          <cell r="C6187" t="str">
            <v>T</v>
          </cell>
          <cell r="D6187">
            <v>24.33</v>
          </cell>
        </row>
        <row r="6188">
          <cell r="A6188">
            <v>101464</v>
          </cell>
          <cell r="B6188" t="str">
            <v>CARGA, MANOBRA E DESCARGA DE TUBOS DE CONCRETO, DN 700 MM, EM CAMINHÃO CARROCERIA COM GUINDAUTO (MUNCK) 11,7 TM. AF_07/2020</v>
          </cell>
          <cell r="C6188" t="str">
            <v>T</v>
          </cell>
          <cell r="D6188">
            <v>18.690000000000001</v>
          </cell>
        </row>
        <row r="6189">
          <cell r="A6189">
            <v>101465</v>
          </cell>
          <cell r="B6189" t="str">
            <v>CARGA, MANOBRA E DESCARGA DE TUBOS DE CONCRETO, DN 800 MM, EM CAMINHÃO CARROCERIA COM GUINDAUTO (MUNCK) 11,7 TM. AF_07/2020</v>
          </cell>
          <cell r="C6189" t="str">
            <v>T</v>
          </cell>
          <cell r="D6189">
            <v>14.29</v>
          </cell>
        </row>
        <row r="6190">
          <cell r="A6190">
            <v>101466</v>
          </cell>
          <cell r="B6190" t="str">
            <v>CARGA, MANOBRA E DESCARGA DE TUBOS DE CONCRETO, DN 900 MM, EM CAMINHÃO CARROCERIA COM GUINDAUTO (MUNCK) 11,7 TM. AF_07/2020</v>
          </cell>
          <cell r="C6190" t="str">
            <v>T</v>
          </cell>
          <cell r="D6190">
            <v>11.62</v>
          </cell>
        </row>
        <row r="6191">
          <cell r="A6191">
            <v>101467</v>
          </cell>
          <cell r="B6191" t="str">
            <v>CARGA, MANOBRA E DESCARGA DE TUBOS DE CONCRETO, DN 1000 MM, EM CAMINHÃO CARROCERIA COM GUINDAUTO (MUNCK) 11,7 TM. AF_07/2020</v>
          </cell>
          <cell r="C6191" t="str">
            <v>T</v>
          </cell>
          <cell r="D6191">
            <v>9.73</v>
          </cell>
        </row>
        <row r="6192">
          <cell r="A6192">
            <v>101468</v>
          </cell>
          <cell r="B6192" t="str">
            <v>CARGA, MANOBRA E DESCARGA DE TUBOS DE CONCRETO, DN 1200 MM, EM CAMINHÃO CARROCERIA COM GUINDAUTO (MUNCK) 11,7 TM. AF_07/2020</v>
          </cell>
          <cell r="C6192" t="str">
            <v>T</v>
          </cell>
          <cell r="D6192">
            <v>8.9</v>
          </cell>
        </row>
        <row r="6193">
          <cell r="A6193">
            <v>101469</v>
          </cell>
          <cell r="B6193" t="str">
            <v>CARGA, MANOBRA E DESCARGA DE TUBOS METÁLICOS, DN 300 MM, EM CAMINHÃO CARROCERIA COM GUINDAUTO (MUNCK) 11,7 TM. AF_07/2020</v>
          </cell>
          <cell r="C6193" t="str">
            <v>T</v>
          </cell>
          <cell r="D6193">
            <v>19.91</v>
          </cell>
        </row>
        <row r="6194">
          <cell r="A6194">
            <v>101470</v>
          </cell>
          <cell r="B6194" t="str">
            <v>CARGA, MANOBRA E DESCARGA DE TUBOS METÁLICOS, DN 350 MM, EM CAMINHÃO CARROCERIA COM GUINDAUTO (MUNCK) 11,7 TM. AF_07/2020</v>
          </cell>
          <cell r="C6194" t="str">
            <v>T</v>
          </cell>
          <cell r="D6194">
            <v>15.81</v>
          </cell>
        </row>
        <row r="6195">
          <cell r="A6195">
            <v>101471</v>
          </cell>
          <cell r="B6195" t="str">
            <v>CARGA, MANOBRA E DESCARGA DE TUBOS METÁLICOS, DN 400 MM, EM CAMINHÃO CARROCERIA COM GUINDAUTO (MUNCK) 11,7 TM. AF_07/2020</v>
          </cell>
          <cell r="C6195" t="str">
            <v>T</v>
          </cell>
          <cell r="D6195">
            <v>13.56</v>
          </cell>
        </row>
        <row r="6196">
          <cell r="A6196">
            <v>101472</v>
          </cell>
          <cell r="B6196" t="str">
            <v>CARGA, MANOBRA E DESCARGA DE TUBOS METÁLICOS, DN 500 MM, EM CAMINHÃO CARROCERIA COM GUINDAUTO (MUNCK) 11,7 TM. AF_07/2020</v>
          </cell>
          <cell r="C6196" t="str">
            <v>T</v>
          </cell>
          <cell r="D6196">
            <v>10.55</v>
          </cell>
        </row>
        <row r="6197">
          <cell r="A6197">
            <v>101473</v>
          </cell>
          <cell r="B6197" t="str">
            <v>CARGA, MANOBRA E DESCARGA DE TUBOS METÁLICOS, DN 600 MM, EM CAMINHÃO CARROCERIA COM GUINDAUTO (MUNCK) 11,7 TM. AF_07/2020</v>
          </cell>
          <cell r="C6197" t="str">
            <v>T</v>
          </cell>
          <cell r="D6197">
            <v>15.2</v>
          </cell>
        </row>
        <row r="6198">
          <cell r="A6198">
            <v>101474</v>
          </cell>
          <cell r="B6198" t="str">
            <v>CARGA, MANOBRA E DESCARGA DE TUBOS METÁLICOS, DN 700 MM, EM CAMINHÃO CARROCERIA COM GUINDAUTO (MUNCK) 11,7 TM. AF_07/2020</v>
          </cell>
          <cell r="C6198" t="str">
            <v>T</v>
          </cell>
          <cell r="D6198">
            <v>10.86</v>
          </cell>
        </row>
        <row r="6199">
          <cell r="A6199">
            <v>101475</v>
          </cell>
          <cell r="B6199" t="str">
            <v>CARGA, MANOBRA E DESCARGA DE TUBOS METÁLICOS, DN 800 MM, EM CAMINHÃO CARROCERIA COM GUINDAUTO (MUNCK) 11,7 TM. AF_07/2020</v>
          </cell>
          <cell r="C6199" t="str">
            <v>T</v>
          </cell>
          <cell r="D6199">
            <v>9.64</v>
          </cell>
        </row>
        <row r="6200">
          <cell r="A6200">
            <v>101476</v>
          </cell>
          <cell r="B6200" t="str">
            <v>CARGA, MANOBRA E DESCARGA DE TUBOS METÁLICOS, DN 900 MM, EM CAMINHÃO CARROCERIA COM GUINDAUTO (MUNCK) 11,7 TM. AF_07/2020</v>
          </cell>
          <cell r="C6200" t="str">
            <v>T</v>
          </cell>
          <cell r="D6200">
            <v>8.6</v>
          </cell>
        </row>
        <row r="6201">
          <cell r="A6201">
            <v>101477</v>
          </cell>
          <cell r="B6201" t="str">
            <v>CARGA, MANOBRA E DESCARGA DE TUBOS METÁLICOS, DN 1000 MM, EM CAMINHÃO CARROCERIA COM GUINDAUTO (MUNCK) 11,7 TM. AF_07/2020</v>
          </cell>
          <cell r="C6201" t="str">
            <v>T</v>
          </cell>
          <cell r="D6201">
            <v>7.04</v>
          </cell>
        </row>
        <row r="6202">
          <cell r="A6202">
            <v>101478</v>
          </cell>
          <cell r="B6202" t="str">
            <v>CARGA, MANOBRA E DESCARGA DE TUBOS METÁLICOS, DN 1200 MM, EM CAMINHÃO CARROCERIA COM GUINDAUTO (MUNCK) 11,7 TM. AF_07/2020</v>
          </cell>
          <cell r="C6202" t="str">
            <v>T</v>
          </cell>
          <cell r="D6202">
            <v>6</v>
          </cell>
        </row>
        <row r="6203">
          <cell r="A6203">
            <v>101480</v>
          </cell>
          <cell r="B6203" t="str">
            <v>CARGA, MANOBRA E DESCARGA DE TUBOS PLÁSTICOS, DN 250 MM, EM CAMINHÃO CARROCERIA COM GUINDAUTO (MUNCK) 11,7 TM. AF_07/2020</v>
          </cell>
          <cell r="C6203" t="str">
            <v>T</v>
          </cell>
          <cell r="D6203">
            <v>35.619999999999997</v>
          </cell>
        </row>
        <row r="6204">
          <cell r="A6204">
            <v>101481</v>
          </cell>
          <cell r="B6204" t="str">
            <v>CARGA, MANOBRA E DESCARGA DE TUBOS PLÁSTICOS, DN 300 MM, EM CAMINHÃO CARROCERIA COM GUINDAUTO (MUNCK) 11,7 TM. AF_07/2020</v>
          </cell>
          <cell r="C6204" t="str">
            <v>T</v>
          </cell>
          <cell r="D6204">
            <v>25.73</v>
          </cell>
        </row>
        <row r="6205">
          <cell r="A6205">
            <v>101482</v>
          </cell>
          <cell r="B6205" t="str">
            <v>CARGA, MANOBRA E DESCARGA DE TUBOS PLÁSTICOS, DN 400 MM, EM CAMINHÃO CARROCERIA COM GUINDAUTO (MUNCK) 11,7 TM. AF_07/20</v>
          </cell>
          <cell r="C6205" t="str">
            <v>T</v>
          </cell>
          <cell r="D6205">
            <v>19.22</v>
          </cell>
        </row>
        <row r="6206">
          <cell r="A6206">
            <v>101483</v>
          </cell>
          <cell r="B6206" t="str">
            <v>CARGA, MANOBRA E DESCARGA DE TUBOS PLÁSTICOS, DN 500 MM, EM CAMINHÃO CARROCERIA COM GUINDAUTO (MUNCK) 11,7 TM. AF_07/2020</v>
          </cell>
          <cell r="C6206" t="str">
            <v>T</v>
          </cell>
          <cell r="D6206">
            <v>19.96</v>
          </cell>
        </row>
        <row r="6207">
          <cell r="A6207">
            <v>101484</v>
          </cell>
          <cell r="B6207" t="str">
            <v>CARGA, MANOBRA E DESCARGA DE TUBOS PLÁSTICOS, DN 600 MM, EM CAMINHÃO CARROCERIA COM GUINDAUTO (MUNCK) 11,7 TM. AF_07/2020</v>
          </cell>
          <cell r="C6207" t="str">
            <v>T</v>
          </cell>
          <cell r="D6207">
            <v>103.44</v>
          </cell>
        </row>
        <row r="6208">
          <cell r="A6208">
            <v>101485</v>
          </cell>
          <cell r="B6208" t="str">
            <v>CARGA, MANOBRA E DESCARGA DE TUBOS PLÁSTICOS, DN 750 MM, EM CAMINHÃO CARROCERIA COM GUINDAUTO (MUNCK) 11,7 TM. AF_07/2020</v>
          </cell>
          <cell r="C6208" t="str">
            <v>T</v>
          </cell>
          <cell r="D6208">
            <v>79.41</v>
          </cell>
        </row>
        <row r="6209">
          <cell r="A6209">
            <v>101486</v>
          </cell>
          <cell r="B6209" t="str">
            <v>CARGA, MANOBRA E DESCARGA DE TUBOS PLÁSTICOS, DN 900 MM, EM CAMINHÃO CARROCERIA COM GUINDAUTO (MUNCK) 11,7 TM. AF_07/2020</v>
          </cell>
          <cell r="C6209" t="str">
            <v>T</v>
          </cell>
          <cell r="D6209">
            <v>71.52</v>
          </cell>
        </row>
        <row r="6210">
          <cell r="A6210">
            <v>101487</v>
          </cell>
          <cell r="B6210" t="str">
            <v>CARGA, MANOBRA E DESCARGA DE TUBOS PLÁSTICOS, DN 1000 MM, EM CAMINHÃO CARROCERIA COM GUINDAUTO (MUNCK) 11,7 TM. AF_07/2020</v>
          </cell>
          <cell r="C6210" t="str">
            <v>T</v>
          </cell>
          <cell r="D6210">
            <v>52.37</v>
          </cell>
        </row>
        <row r="6211">
          <cell r="A6211">
            <v>101488</v>
          </cell>
          <cell r="B6211" t="str">
            <v>CARGA, MANOBRA E DESCARGA DE TUBOS PLÁSTICOS, DN 1200 MM, EM CAMINHÃO CARROCERIA COM GUINDAUTO (MUNCK) 11,7 TM. AF_07/2020</v>
          </cell>
          <cell r="C6211" t="str">
            <v>T</v>
          </cell>
          <cell r="D6211">
            <v>45.31</v>
          </cell>
        </row>
        <row r="6212">
          <cell r="A6212">
            <v>101188</v>
          </cell>
          <cell r="B6212" t="str">
            <v>RECOMPOSIÇÃO PARCIAL DE ARAME FARPADO Nº 14 CLASSE 250, FIXADO EM CERCA COM MOURÕES DE CONCRETO - FORNECIMENTO E INSTALAÇÃO. AF_05/2020</v>
          </cell>
          <cell r="C6212" t="str">
            <v>M</v>
          </cell>
          <cell r="D6212">
            <v>4.22</v>
          </cell>
        </row>
        <row r="6213">
          <cell r="A6213">
            <v>101189</v>
          </cell>
          <cell r="B6213" t="str">
            <v>CERCA COM MOURÕES DE CONCRETO, RETO, H=3,00 M, ESPAÇAMENTO DE 2,5 M, CRAVADOS 0,5 M, COM 4 FIOS DE ARAME FARPADO Nº 14 CLASSE 250 - FORNECIMENTO E INSTALAÇÃO. AF_05/2020</v>
          </cell>
          <cell r="C6213" t="str">
            <v>M</v>
          </cell>
          <cell r="D6213">
            <v>42.56</v>
          </cell>
        </row>
        <row r="6214">
          <cell r="A6214">
            <v>101190</v>
          </cell>
          <cell r="B6214" t="str">
            <v>CERCA COM MOURÕES DE CONCRETO, RETO, H=3,00 M, ESPAÇAMENTO DE 2,5 M, CRAVADOS 0,5 M, COM 4 FIOS DE ARAME DE AÇO OVALADO 15X17 - FORNECIMENTO E INSTALAÇÃO. AF_05/2020</v>
          </cell>
          <cell r="C6214" t="str">
            <v>M</v>
          </cell>
          <cell r="D6214">
            <v>42.13</v>
          </cell>
        </row>
        <row r="6215">
          <cell r="A6215">
            <v>101191</v>
          </cell>
          <cell r="B6215" t="str">
            <v>CERCA COM MOURÕES DE CONCRETO, RETO, H=3,00 M, ESPAÇAMENTO DE 2,5 M, CRAVADOS 0,5 M, COM 4 FIOS DE ARAME MISTO - FORNECIMENTO E INSTALAÇÃO. AF_05/2020</v>
          </cell>
          <cell r="C6215" t="str">
            <v>M</v>
          </cell>
          <cell r="D6215">
            <v>42.34</v>
          </cell>
        </row>
        <row r="6216">
          <cell r="A6216">
            <v>101192</v>
          </cell>
          <cell r="B6216" t="str">
            <v>CERCA COM MOURÕES DE CONCRETO, RETO, H=2,30 M, ESPAÇAMENTO DE 2,5 M, CRAVADOS 0,5 M, COM 4 FIOS DE ARAME FARPADO Nº 14 CLASSE 250 - FORNECIMENTO E INSTALAÇÃO. AF_05/2020</v>
          </cell>
          <cell r="C6216" t="str">
            <v>M</v>
          </cell>
          <cell r="D6216">
            <v>43.17</v>
          </cell>
        </row>
        <row r="6217">
          <cell r="A6217">
            <v>101193</v>
          </cell>
          <cell r="B6217" t="str">
            <v>CERCA COM MOURÕES DE CONCRETO, RETO, H=2,30 M, ESPAÇAMENTO DE 2,5 M, CRAVADOS 0,5 M, COM 4 FIOS DE ARAME DE AÇO OVALADO 15X17 - FORNECIMENTO E INSTALAÇÃO. AF_05/2020</v>
          </cell>
          <cell r="C6217" t="str">
            <v>M</v>
          </cell>
          <cell r="D6217">
            <v>39.229999999999997</v>
          </cell>
        </row>
        <row r="6218">
          <cell r="A6218">
            <v>101194</v>
          </cell>
          <cell r="B6218" t="str">
            <v>CERCA COM MOURÕES DE CONCRETO, RETO, H=2,30 M, ESPAÇAMENTO DE 2,5 M, CRAVADOS 0,5 M, COM 4 FIOS DE ARAME MISTO - FORNECIMENTO E INSTALAÇÃO. AF_05/2020</v>
          </cell>
          <cell r="C6218" t="str">
            <v>M</v>
          </cell>
          <cell r="D6218">
            <v>39.44</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v>81.66</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v>59.33</v>
          </cell>
        </row>
        <row r="6221">
          <cell r="A6221">
            <v>101199</v>
          </cell>
          <cell r="B6221" t="str">
            <v>CERCA COM MOURÕES DE CONCRETO, SEÇÃO "T" PONTA INCLINADA, 10X10CM, ESPAÇAMENTO DE 2,5M, CRAVADOS 0,5M, COM 11 FIOS DE ARAME MISTO - FORNECIMENTO E INSTALAÇÃO. AF_05/2020</v>
          </cell>
          <cell r="C6221" t="str">
            <v>M</v>
          </cell>
          <cell r="D6221">
            <v>59.85</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v>28.22</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v>36.97</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v>28.87</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v>28.34</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v>28.55</v>
          </cell>
        </row>
        <row r="6227">
          <cell r="A6227">
            <v>101205</v>
          </cell>
          <cell r="B6227" t="str">
            <v>PORTÃO COM MOURÕES DE MADEIRA ROLIÇA, DIÂMETRO 11 CM, COM 5 FIOS DE ARAME FARPADO Nº 14 CLASSE 250, SEM DOBRADIÇAS - FORNECIMENTO E INSTALAÇÃO. AF_05/2020</v>
          </cell>
          <cell r="C6227" t="str">
            <v>M</v>
          </cell>
          <cell r="D6227">
            <v>28.87</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v>121.85</v>
          </cell>
        </row>
        <row r="6229">
          <cell r="A6229">
            <v>98509</v>
          </cell>
          <cell r="B6229" t="str">
            <v>PLANTIO DE ARBUSTO OU  CERCA VIVA. AF_05/2018</v>
          </cell>
          <cell r="C6229" t="str">
            <v>UN</v>
          </cell>
          <cell r="D6229">
            <v>55.53</v>
          </cell>
        </row>
        <row r="6230">
          <cell r="A6230">
            <v>98510</v>
          </cell>
          <cell r="B6230" t="str">
            <v>PLANTIO DE ÁRVORE ORNAMENTAL COM ALTURA DE MUDA MENOR OU IGUAL A 2,00 M. AF_05/2018</v>
          </cell>
          <cell r="C6230" t="str">
            <v>UN</v>
          </cell>
          <cell r="D6230">
            <v>78.83</v>
          </cell>
        </row>
        <row r="6231">
          <cell r="A6231">
            <v>98511</v>
          </cell>
          <cell r="B6231" t="str">
            <v>PLANTIO DE ÁRVORE ORNAMENTAL COM ALTURA DE MUDA MAIOR QUE 2,00 M E MENOR OU IGUAL A 4,00 M. AF_05/2018</v>
          </cell>
          <cell r="C6231" t="str">
            <v>UN</v>
          </cell>
          <cell r="D6231">
            <v>152.55000000000001</v>
          </cell>
        </row>
        <row r="6232">
          <cell r="A6232">
            <v>98516</v>
          </cell>
          <cell r="B6232" t="str">
            <v>PLANTIO DE PALMEIRA COM ALTURA DE MUDA MENOR OU IGUAL A 2,00 M. AF_05/2018</v>
          </cell>
          <cell r="C6232" t="str">
            <v>UN</v>
          </cell>
          <cell r="D6232">
            <v>292.04000000000002</v>
          </cell>
        </row>
        <row r="6233">
          <cell r="A6233">
            <v>98519</v>
          </cell>
          <cell r="B6233" t="str">
            <v>REVOLVIMENTO E LIMPEZA MANUAL DE SOLO. AF_05/2018</v>
          </cell>
          <cell r="C6233" t="str">
            <v>M2</v>
          </cell>
          <cell r="D6233">
            <v>1.56</v>
          </cell>
        </row>
        <row r="6234">
          <cell r="A6234">
            <v>98520</v>
          </cell>
          <cell r="B6234" t="str">
            <v>APLICAÇÃO DE ADUBO EM SOLO. AF_05/2018</v>
          </cell>
          <cell r="C6234" t="str">
            <v>M2</v>
          </cell>
          <cell r="D6234">
            <v>3.63</v>
          </cell>
        </row>
        <row r="6235">
          <cell r="A6235">
            <v>98521</v>
          </cell>
          <cell r="B6235" t="str">
            <v>APLICAÇÃO DE CALCÁRIO PARA CORREÇÃO DO PH DO SOLO. AF_05/2018</v>
          </cell>
          <cell r="C6235" t="str">
            <v>M2</v>
          </cell>
          <cell r="D6235">
            <v>0.28000000000000003</v>
          </cell>
        </row>
        <row r="6236">
          <cell r="A6236">
            <v>98522</v>
          </cell>
          <cell r="B6236" t="str">
            <v>ALAMBRADO EM MOURÕES DE CONCRETO, COM TELA DE ARAME GALVANIZADO (INCLUSIVE MURETA EM CONCRETO). AF_05/2018</v>
          </cell>
          <cell r="C6236" t="str">
            <v>M</v>
          </cell>
          <cell r="D6236">
            <v>109.2</v>
          </cell>
        </row>
        <row r="6237">
          <cell r="A6237">
            <v>98524</v>
          </cell>
          <cell r="B6237" t="str">
            <v>LIMPEZA MANUAL DE VEGETAÇÃO EM TERRENO COM ENXADA.AF_05/2018</v>
          </cell>
          <cell r="C6237" t="str">
            <v>M2</v>
          </cell>
          <cell r="D6237">
            <v>2.5099999999999998</v>
          </cell>
        </row>
        <row r="6238">
          <cell r="A6238">
            <v>98503</v>
          </cell>
          <cell r="B6238" t="str">
            <v>PLANTIO DE GRAMA EM PAVIMENTO CONCREGRAMA. AF_05/2018</v>
          </cell>
          <cell r="C6238" t="str">
            <v>M2</v>
          </cell>
          <cell r="D6238">
            <v>13.93</v>
          </cell>
        </row>
        <row r="6239">
          <cell r="A6239">
            <v>98504</v>
          </cell>
          <cell r="B6239" t="str">
            <v>PLANTIO DE GRAMA EM PLACAS. AF_05/2018</v>
          </cell>
          <cell r="C6239" t="str">
            <v>M2</v>
          </cell>
          <cell r="D6239">
            <v>8.93</v>
          </cell>
        </row>
        <row r="6240">
          <cell r="A6240">
            <v>98505</v>
          </cell>
          <cell r="B6240" t="str">
            <v>PLANTIO DE FORRAÇÃO. AF_05/2018</v>
          </cell>
          <cell r="C6240" t="str">
            <v>M2</v>
          </cell>
          <cell r="D6240">
            <v>79.36</v>
          </cell>
        </row>
        <row r="6241">
          <cell r="A6241">
            <v>98525</v>
          </cell>
          <cell r="B6241" t="str">
            <v>LIMPEZA MECANIZADA DE CAMADA VEGETAL, VEGETAÇÃO E PEQUENAS ÁRVORES (DIÂMETRO DE TRONCO MENOR QUE 0,20 M), COM TRATOR DE ESTEIRAS.AF_05/2018</v>
          </cell>
          <cell r="C6241" t="str">
            <v>M2</v>
          </cell>
          <cell r="D6241">
            <v>0.24</v>
          </cell>
        </row>
        <row r="6242">
          <cell r="A6242">
            <v>98526</v>
          </cell>
          <cell r="B6242" t="str">
            <v>REMOÇÃO DE RAÍZES REMANESCENTES DE TRONCO DE ÁRVORE COM DIÂMETRO MAIOR OU IGUAL A 0,20 M E MENOR QUE 0,40 M.AF_05/2018</v>
          </cell>
          <cell r="C6242" t="str">
            <v>UN</v>
          </cell>
          <cell r="D6242">
            <v>53.16</v>
          </cell>
        </row>
        <row r="6243">
          <cell r="A6243">
            <v>98527</v>
          </cell>
          <cell r="B6243" t="str">
            <v>REMOÇÃO DE RAÍZES REMANESCENTES DE TRONCO DE ÁRVORE COM DIÂMETRO MAIOR OU IGUAL A 0,40 M E MENOR QUE 0,60 M.AF_05/2018</v>
          </cell>
          <cell r="C6243" t="str">
            <v>UN</v>
          </cell>
          <cell r="D6243">
            <v>114.45</v>
          </cell>
        </row>
        <row r="6244">
          <cell r="A6244">
            <v>98528</v>
          </cell>
          <cell r="B6244" t="str">
            <v>REMOÇÃO DE RAÍZES REMANESCENTES DE TRONCO DE ÁRVORE COM DIÂMETRO MAIOR OU IGUAL A 0,60 M.AF_05/2018</v>
          </cell>
          <cell r="C6244" t="str">
            <v>UN</v>
          </cell>
          <cell r="D6244">
            <v>167.37</v>
          </cell>
        </row>
        <row r="6245">
          <cell r="A6245">
            <v>98529</v>
          </cell>
          <cell r="B6245" t="str">
            <v>CORTE RASO E RECORTE DE ÁRVORE COM DIÂMETRO DE TRONCO MAIOR OU IGUAL A 0,20 M E MENOR QUE 0,40 M.AF_05/2018</v>
          </cell>
          <cell r="C6245" t="str">
            <v>UN</v>
          </cell>
          <cell r="D6245">
            <v>54.16</v>
          </cell>
        </row>
        <row r="6246">
          <cell r="A6246">
            <v>98530</v>
          </cell>
          <cell r="B6246" t="str">
            <v>CORTE RASO E RECORTE DE ÁRVORE COM DIÂMETRO DE TRONCO MAIOR OU IGUAL A 0,40 M E MENOR QUE 0,60 M.AF_05/2018</v>
          </cell>
          <cell r="C6246" t="str">
            <v>UN</v>
          </cell>
          <cell r="D6246">
            <v>96.48</v>
          </cell>
        </row>
        <row r="6247">
          <cell r="A6247">
            <v>98531</v>
          </cell>
          <cell r="B6247" t="str">
            <v>CORTE RASO E RECORTE DE ÁRVORE COM DIÂMETRO DE TRONCO MAIOR OU IGUAL A 0,60 M.AF_05/2018</v>
          </cell>
          <cell r="C6247" t="str">
            <v>UN</v>
          </cell>
          <cell r="D6247">
            <v>188.34</v>
          </cell>
        </row>
        <row r="6248">
          <cell r="A6248">
            <v>98532</v>
          </cell>
          <cell r="B6248" t="str">
            <v>PODA EM ALTURA DE ÁRVORE COM DIÂMETRO DE TRONCO MENOR QUE 0,20 M.AF_05/2018</v>
          </cell>
          <cell r="C6248" t="str">
            <v>UN</v>
          </cell>
          <cell r="D6248">
            <v>67.42</v>
          </cell>
        </row>
        <row r="6249">
          <cell r="A6249">
            <v>98533</v>
          </cell>
          <cell r="B6249" t="str">
            <v>PODA EM ALTURA DE ÁRVORE COM DIÂMETRO DE TRONCO MAIOR OU IGUAL A 0,20 M E MENOR QUE 0,40 M.AF_05/2018</v>
          </cell>
          <cell r="C6249" t="str">
            <v>UN</v>
          </cell>
          <cell r="D6249">
            <v>185.38</v>
          </cell>
        </row>
        <row r="6250">
          <cell r="A6250">
            <v>98534</v>
          </cell>
          <cell r="B6250" t="str">
            <v>PODA EM ALTURA DE ÁRVORE COM DIÂMETRO DE TRONCO MAIOR OU IGUAL A 0,40 M E MENOR QUE 0,60 M.AF_05/2018</v>
          </cell>
          <cell r="C6250" t="str">
            <v>UN</v>
          </cell>
          <cell r="D6250">
            <v>474.05</v>
          </cell>
        </row>
        <row r="6251">
          <cell r="A6251">
            <v>98535</v>
          </cell>
          <cell r="B6251" t="str">
            <v>PODA EM ALTURA DE ÁRVORE COM DIÂMETRO DE TRONCO MAIOR OU IGUAL A 0,60 M.AF_05/2018</v>
          </cell>
          <cell r="C6251" t="str">
            <v>UN</v>
          </cell>
          <cell r="D6251">
            <v>751.81</v>
          </cell>
        </row>
        <row r="6252">
          <cell r="A6252">
            <v>88238</v>
          </cell>
          <cell r="B6252" t="str">
            <v>AJUDANTE DE ARMADOR COM ENCARGOS COMPLEMENTARES</v>
          </cell>
          <cell r="C6252" t="str">
            <v>H</v>
          </cell>
          <cell r="D6252">
            <v>15.18</v>
          </cell>
        </row>
        <row r="6253">
          <cell r="A6253">
            <v>88239</v>
          </cell>
          <cell r="B6253" t="str">
            <v>AJUDANTE DE CARPINTEIRO COM ENCARGOS COMPLEMENTARES</v>
          </cell>
          <cell r="C6253" t="str">
            <v>H</v>
          </cell>
          <cell r="D6253">
            <v>16.52</v>
          </cell>
        </row>
        <row r="6254">
          <cell r="A6254">
            <v>88240</v>
          </cell>
          <cell r="B6254" t="str">
            <v>AJUDANTE DE ESTRUTURA METÁLICA COM ENCARGOS COMPLEMENTARES</v>
          </cell>
          <cell r="C6254" t="str">
            <v>H</v>
          </cell>
          <cell r="D6254">
            <v>11.71</v>
          </cell>
        </row>
        <row r="6255">
          <cell r="A6255">
            <v>88241</v>
          </cell>
          <cell r="B6255" t="str">
            <v>AJUDANTE DE OPERAÇÃO EM GERAL COM ENCARGOS COMPLEMENTARES</v>
          </cell>
          <cell r="C6255" t="str">
            <v>H</v>
          </cell>
          <cell r="D6255">
            <v>15.55</v>
          </cell>
        </row>
        <row r="6256">
          <cell r="A6256">
            <v>88242</v>
          </cell>
          <cell r="B6256" t="str">
            <v>AJUDANTE DE PEDREIRO COM ENCARGOS COMPLEMENTARES</v>
          </cell>
          <cell r="C6256" t="str">
            <v>H</v>
          </cell>
          <cell r="D6256">
            <v>15.9</v>
          </cell>
        </row>
        <row r="6257">
          <cell r="A6257">
            <v>88243</v>
          </cell>
          <cell r="B6257" t="str">
            <v>AJUDANTE ESPECIALIZADO COM ENCARGOS COMPLEMENTARES</v>
          </cell>
          <cell r="C6257" t="str">
            <v>H</v>
          </cell>
          <cell r="D6257">
            <v>19.12</v>
          </cell>
        </row>
        <row r="6258">
          <cell r="A6258">
            <v>88245</v>
          </cell>
          <cell r="B6258" t="str">
            <v>ARMADOR COM ENCARGOS COMPLEMENTARES</v>
          </cell>
          <cell r="C6258" t="str">
            <v>H</v>
          </cell>
          <cell r="D6258">
            <v>19.71</v>
          </cell>
        </row>
        <row r="6259">
          <cell r="A6259">
            <v>88246</v>
          </cell>
          <cell r="B6259" t="str">
            <v>ASSENTADOR DE TUBOS COM ENCARGOS COMPLEMENTARES</v>
          </cell>
          <cell r="C6259" t="str">
            <v>H</v>
          </cell>
          <cell r="D6259">
            <v>16.54</v>
          </cell>
        </row>
        <row r="6260">
          <cell r="A6260">
            <v>88247</v>
          </cell>
          <cell r="B6260" t="str">
            <v>AUXILIAR DE ELETRICISTA COM ENCARGOS COMPLEMENTARES</v>
          </cell>
          <cell r="C6260" t="str">
            <v>H</v>
          </cell>
          <cell r="D6260">
            <v>15.84</v>
          </cell>
        </row>
        <row r="6261">
          <cell r="A6261">
            <v>88248</v>
          </cell>
          <cell r="B6261" t="str">
            <v>AUXILIAR DE ENCANADOR OU BOMBEIRO HIDRÁULICO COM ENCARGOS COMPLEMENTARES</v>
          </cell>
          <cell r="C6261" t="str">
            <v>H</v>
          </cell>
          <cell r="D6261">
            <v>15.38</v>
          </cell>
        </row>
        <row r="6262">
          <cell r="A6262">
            <v>88249</v>
          </cell>
          <cell r="B6262" t="str">
            <v>AUXILIAR DE LABORATÓRIO COM ENCARGOS COMPLEMENTARES</v>
          </cell>
          <cell r="C6262" t="str">
            <v>H</v>
          </cell>
          <cell r="D6262">
            <v>21.49</v>
          </cell>
        </row>
        <row r="6263">
          <cell r="A6263">
            <v>88250</v>
          </cell>
          <cell r="B6263" t="str">
            <v>AUXILIAR DE MECÂNICO COM ENCARGOS COMPLEMENTARES</v>
          </cell>
          <cell r="C6263" t="str">
            <v>H</v>
          </cell>
          <cell r="D6263">
            <v>13.34</v>
          </cell>
        </row>
        <row r="6264">
          <cell r="A6264">
            <v>88251</v>
          </cell>
          <cell r="B6264" t="str">
            <v>AUXILIAR DE SERRALHEIRO COM ENCARGOS COMPLEMENTARES</v>
          </cell>
          <cell r="C6264" t="str">
            <v>H</v>
          </cell>
          <cell r="D6264">
            <v>15.95</v>
          </cell>
        </row>
        <row r="6265">
          <cell r="A6265">
            <v>88252</v>
          </cell>
          <cell r="B6265" t="str">
            <v>AUXILIAR DE SERVIÇOS GERAIS COM ENCARGOS COMPLEMENTARES</v>
          </cell>
          <cell r="C6265" t="str">
            <v>H</v>
          </cell>
          <cell r="D6265">
            <v>16.670000000000002</v>
          </cell>
        </row>
        <row r="6266">
          <cell r="A6266">
            <v>88253</v>
          </cell>
          <cell r="B6266" t="str">
            <v>AUXILIAR DE TOPÓGRAFO COM ENCARGOS COMPLEMENTARES</v>
          </cell>
          <cell r="C6266" t="str">
            <v>H</v>
          </cell>
          <cell r="D6266">
            <v>6.88</v>
          </cell>
        </row>
        <row r="6267">
          <cell r="A6267">
            <v>88255</v>
          </cell>
          <cell r="B6267" t="str">
            <v>AUXILIAR TÉCNICO DE ENGENHARIA COM ENCARGOS COMPLEMENTARES</v>
          </cell>
          <cell r="C6267" t="str">
            <v>H</v>
          </cell>
          <cell r="D6267">
            <v>24.28</v>
          </cell>
        </row>
        <row r="6268">
          <cell r="A6268">
            <v>88256</v>
          </cell>
          <cell r="B6268" t="str">
            <v>AZULEJISTA OU LADRILHISTA COM ENCARGOS COMPLEMENTARES</v>
          </cell>
          <cell r="C6268" t="str">
            <v>H</v>
          </cell>
          <cell r="D6268">
            <v>19.75</v>
          </cell>
        </row>
        <row r="6269">
          <cell r="A6269">
            <v>88257</v>
          </cell>
          <cell r="B6269" t="str">
            <v>BLASTER, DINAMITADOR OU CABO DE FOGO COM ENCARGOS COMPLEMENTARES</v>
          </cell>
          <cell r="C6269" t="str">
            <v>H</v>
          </cell>
          <cell r="D6269">
            <v>14.31</v>
          </cell>
        </row>
        <row r="6270">
          <cell r="A6270">
            <v>88258</v>
          </cell>
          <cell r="B6270" t="str">
            <v>CADASTRISTA DE REDES DE AGUA E ESGOTO COM ENCARGOS COMPLEMENTARES</v>
          </cell>
          <cell r="C6270" t="str">
            <v>H</v>
          </cell>
          <cell r="D6270">
            <v>10.9</v>
          </cell>
        </row>
        <row r="6271">
          <cell r="A6271">
            <v>88259</v>
          </cell>
          <cell r="B6271" t="str">
            <v>CALAFETADOR/CALAFATE COM ENCARGOS COMPLEMENTARES</v>
          </cell>
          <cell r="C6271" t="str">
            <v>H</v>
          </cell>
          <cell r="D6271">
            <v>23</v>
          </cell>
        </row>
        <row r="6272">
          <cell r="A6272">
            <v>88260</v>
          </cell>
          <cell r="B6272" t="str">
            <v>CALCETEIRO COM ENCARGOS COMPLEMENTARES</v>
          </cell>
          <cell r="C6272" t="str">
            <v>H</v>
          </cell>
          <cell r="D6272">
            <v>19.54</v>
          </cell>
        </row>
        <row r="6273">
          <cell r="A6273">
            <v>88261</v>
          </cell>
          <cell r="B6273" t="str">
            <v>CARPINTEIRO DE ESQUADRIA COM ENCARGOS COMPLEMENTARES</v>
          </cell>
          <cell r="C6273" t="str">
            <v>H</v>
          </cell>
          <cell r="D6273">
            <v>21.06</v>
          </cell>
        </row>
        <row r="6274">
          <cell r="A6274">
            <v>88262</v>
          </cell>
          <cell r="B6274" t="str">
            <v>CARPINTEIRO DE FORMAS COM ENCARGOS COMPLEMENTARES</v>
          </cell>
          <cell r="C6274" t="str">
            <v>H</v>
          </cell>
          <cell r="D6274">
            <v>19.670000000000002</v>
          </cell>
        </row>
        <row r="6275">
          <cell r="A6275">
            <v>88263</v>
          </cell>
          <cell r="B6275" t="str">
            <v>CAVOUQUEIRO OU OPERADOR PERFURATRIZ/ROMPEDOR COM ENCARGOS COMPLEMENTARES</v>
          </cell>
          <cell r="C6275" t="str">
            <v>H</v>
          </cell>
          <cell r="D6275">
            <v>12.86</v>
          </cell>
        </row>
        <row r="6276">
          <cell r="A6276">
            <v>88264</v>
          </cell>
          <cell r="B6276" t="str">
            <v>ELETRICISTA COM ENCARGOS COMPLEMENTARES</v>
          </cell>
          <cell r="C6276" t="str">
            <v>H</v>
          </cell>
          <cell r="D6276">
            <v>20.52</v>
          </cell>
        </row>
        <row r="6277">
          <cell r="A6277">
            <v>88265</v>
          </cell>
          <cell r="B6277" t="str">
            <v>ELETRICISTA INDUSTRIAL COM ENCARGOS COMPLEMENTARES</v>
          </cell>
          <cell r="C6277" t="str">
            <v>H</v>
          </cell>
          <cell r="D6277">
            <v>20.52</v>
          </cell>
        </row>
        <row r="6278">
          <cell r="A6278">
            <v>88266</v>
          </cell>
          <cell r="B6278" t="str">
            <v>ELETROTÉCNICO COM ENCARGOS COMPLEMENTARES</v>
          </cell>
          <cell r="C6278" t="str">
            <v>H</v>
          </cell>
          <cell r="D6278">
            <v>20.6</v>
          </cell>
        </row>
        <row r="6279">
          <cell r="A6279">
            <v>88267</v>
          </cell>
          <cell r="B6279" t="str">
            <v>ENCANADOR OU BOMBEIRO HIDRÁULICO COM ENCARGOS COMPLEMENTARES</v>
          </cell>
          <cell r="C6279" t="str">
            <v>H</v>
          </cell>
          <cell r="D6279">
            <v>19.899999999999999</v>
          </cell>
        </row>
        <row r="6280">
          <cell r="A6280">
            <v>88268</v>
          </cell>
          <cell r="B6280" t="str">
            <v>ESTUCADOR COM ENCARGOS COMPLEMENTARES</v>
          </cell>
          <cell r="C6280" t="str">
            <v>H</v>
          </cell>
          <cell r="D6280">
            <v>20.45</v>
          </cell>
        </row>
        <row r="6281">
          <cell r="A6281">
            <v>88269</v>
          </cell>
          <cell r="B6281" t="str">
            <v>GESSEIRO COM ENCARGOS COMPLEMENTARES</v>
          </cell>
          <cell r="C6281" t="str">
            <v>H</v>
          </cell>
          <cell r="D6281">
            <v>19.71</v>
          </cell>
        </row>
        <row r="6282">
          <cell r="A6282">
            <v>88270</v>
          </cell>
          <cell r="B6282" t="str">
            <v>IMPERMEABILIZADOR COM ENCARGOS COMPLEMENTARES</v>
          </cell>
          <cell r="C6282" t="str">
            <v>H</v>
          </cell>
          <cell r="D6282">
            <v>20.7</v>
          </cell>
        </row>
        <row r="6283">
          <cell r="A6283">
            <v>88272</v>
          </cell>
          <cell r="B6283" t="str">
            <v>MACARIQUEIRO COM ENCARGOS COMPLEMENTARES</v>
          </cell>
          <cell r="C6283" t="str">
            <v>H</v>
          </cell>
          <cell r="D6283">
            <v>20.190000000000001</v>
          </cell>
        </row>
        <row r="6284">
          <cell r="A6284">
            <v>88273</v>
          </cell>
          <cell r="B6284" t="str">
            <v>MARCENEIRO COM ENCARGOS COMPLEMENTARES</v>
          </cell>
          <cell r="C6284" t="str">
            <v>H</v>
          </cell>
          <cell r="D6284">
            <v>20.03</v>
          </cell>
        </row>
        <row r="6285">
          <cell r="A6285">
            <v>88274</v>
          </cell>
          <cell r="B6285" t="str">
            <v>MARMORISTA/GRANITEIRO COM ENCARGOS COMPLEMENTARES</v>
          </cell>
          <cell r="C6285" t="str">
            <v>H</v>
          </cell>
          <cell r="D6285">
            <v>20.07</v>
          </cell>
        </row>
        <row r="6286">
          <cell r="A6286">
            <v>88275</v>
          </cell>
          <cell r="B6286" t="str">
            <v>MECÃNICO DE EQUIPAMENTOS PESADOS COM ENCARGOS COMPLEMENTARES</v>
          </cell>
          <cell r="C6286" t="str">
            <v>H</v>
          </cell>
          <cell r="D6286">
            <v>20.309999999999999</v>
          </cell>
        </row>
        <row r="6287">
          <cell r="A6287">
            <v>88277</v>
          </cell>
          <cell r="B6287" t="str">
            <v>MONTADOR (TUBO AÇO/EQUIPAMENTOS) COM ENCARGOS COMPLEMENTARES</v>
          </cell>
          <cell r="C6287" t="str">
            <v>H</v>
          </cell>
          <cell r="D6287">
            <v>15.11</v>
          </cell>
        </row>
        <row r="6288">
          <cell r="A6288">
            <v>88278</v>
          </cell>
          <cell r="B6288" t="str">
            <v>MONTADOR DE ESTRUTURA METÁLICA COM ENCARGOS COMPLEMENTARES</v>
          </cell>
          <cell r="C6288" t="str">
            <v>H</v>
          </cell>
          <cell r="D6288">
            <v>14.22</v>
          </cell>
        </row>
        <row r="6289">
          <cell r="A6289">
            <v>88279</v>
          </cell>
          <cell r="B6289" t="str">
            <v>MONTADOR ELETROMECÃNICO COM ENCARGOS COMPLEMENTARES</v>
          </cell>
          <cell r="C6289" t="str">
            <v>H</v>
          </cell>
          <cell r="D6289">
            <v>21.83</v>
          </cell>
        </row>
        <row r="6290">
          <cell r="A6290">
            <v>88281</v>
          </cell>
          <cell r="B6290" t="str">
            <v>MOTORISTA DE BASCULANTE COM ENCARGOS COMPLEMENTARES</v>
          </cell>
          <cell r="C6290" t="str">
            <v>H</v>
          </cell>
          <cell r="D6290">
            <v>15.13</v>
          </cell>
        </row>
        <row r="6291">
          <cell r="A6291">
            <v>88282</v>
          </cell>
          <cell r="B6291" t="str">
            <v>MOTORISTA DE CAMINHÃO COM ENCARGOS COMPLEMENTARES</v>
          </cell>
          <cell r="C6291" t="str">
            <v>H</v>
          </cell>
          <cell r="D6291">
            <v>15.8</v>
          </cell>
        </row>
        <row r="6292">
          <cell r="A6292">
            <v>88283</v>
          </cell>
          <cell r="B6292" t="str">
            <v>MOTORISTA DE CAMINHÃO E CARRETA COM ENCARGOS COMPLEMENTARES</v>
          </cell>
          <cell r="C6292" t="str">
            <v>H</v>
          </cell>
          <cell r="D6292">
            <v>19.78</v>
          </cell>
        </row>
        <row r="6293">
          <cell r="A6293">
            <v>88284</v>
          </cell>
          <cell r="B6293" t="str">
            <v>MOTORISTA DE VEIÍCULO LEVE COM ENCARGOS COMPLEMENTARES</v>
          </cell>
          <cell r="C6293" t="str">
            <v>H</v>
          </cell>
          <cell r="D6293">
            <v>14.94</v>
          </cell>
        </row>
        <row r="6294">
          <cell r="A6294">
            <v>88285</v>
          </cell>
          <cell r="B6294" t="str">
            <v>MOTORISTA DE VEÍCULO PESADO COM ENCARGOS COMPLEMENTARES</v>
          </cell>
          <cell r="C6294" t="str">
            <v>H</v>
          </cell>
          <cell r="D6294">
            <v>16.89</v>
          </cell>
        </row>
        <row r="6295">
          <cell r="A6295">
            <v>88286</v>
          </cell>
          <cell r="B6295" t="str">
            <v>MOTORISTA OPERADOR DE MUNCK COM ENCARGOS COMPLEMENTARES</v>
          </cell>
          <cell r="C6295" t="str">
            <v>H</v>
          </cell>
          <cell r="D6295">
            <v>17.940000000000001</v>
          </cell>
        </row>
        <row r="6296">
          <cell r="A6296">
            <v>88288</v>
          </cell>
          <cell r="B6296" t="str">
            <v>NIVELADOR COM ENCARGOS COMPLEMENTARES</v>
          </cell>
          <cell r="C6296" t="str">
            <v>H</v>
          </cell>
          <cell r="D6296">
            <v>8.4</v>
          </cell>
        </row>
        <row r="6297">
          <cell r="A6297">
            <v>88291</v>
          </cell>
          <cell r="B6297" t="str">
            <v>OPERADOR DE BETONEIRA (CAMINHÃO) COM ENCARGOS COMPLEMENTARES</v>
          </cell>
          <cell r="C6297" t="str">
            <v>H</v>
          </cell>
          <cell r="D6297">
            <v>14.67</v>
          </cell>
        </row>
        <row r="6298">
          <cell r="A6298">
            <v>88292</v>
          </cell>
          <cell r="B6298" t="str">
            <v>OPERADOR DE COMPRESSOR OU COMPRESSORISTA COM ENCARGOS COMPLEMENTARES</v>
          </cell>
          <cell r="C6298" t="str">
            <v>H</v>
          </cell>
          <cell r="D6298">
            <v>15.23</v>
          </cell>
        </row>
        <row r="6299">
          <cell r="A6299">
            <v>88293</v>
          </cell>
          <cell r="B6299" t="str">
            <v>OPERADOR DE DEMARCADORA DE FAIXAS COM ENCARGOS COMPLEMENTARES</v>
          </cell>
          <cell r="C6299" t="str">
            <v>H</v>
          </cell>
          <cell r="D6299">
            <v>17.13</v>
          </cell>
        </row>
        <row r="6300">
          <cell r="A6300">
            <v>88294</v>
          </cell>
          <cell r="B6300" t="str">
            <v>OPERADOR DE ESCAVADEIRA COM ENCARGOS COMPLEMENTARES</v>
          </cell>
          <cell r="C6300" t="str">
            <v>H</v>
          </cell>
          <cell r="D6300">
            <v>18.43</v>
          </cell>
        </row>
        <row r="6301">
          <cell r="A6301">
            <v>88295</v>
          </cell>
          <cell r="B6301" t="str">
            <v>OPERADOR DE GUINCHO COM ENCARGOS COMPLEMENTARES</v>
          </cell>
          <cell r="C6301" t="str">
            <v>H</v>
          </cell>
          <cell r="D6301">
            <v>14.4</v>
          </cell>
        </row>
        <row r="6302">
          <cell r="A6302">
            <v>88296</v>
          </cell>
          <cell r="B6302" t="str">
            <v>OPERADOR DE GUINDASTE COM ENCARGOS COMPLEMENTARES</v>
          </cell>
          <cell r="C6302" t="str">
            <v>H</v>
          </cell>
          <cell r="D6302">
            <v>14.47</v>
          </cell>
        </row>
        <row r="6303">
          <cell r="A6303">
            <v>88297</v>
          </cell>
          <cell r="B6303" t="str">
            <v>OPERADOR DE MÁQUINAS E EQUIPAMENTOS COM ENCARGOS COMPLEMENTARES</v>
          </cell>
          <cell r="C6303" t="str">
            <v>H</v>
          </cell>
          <cell r="D6303">
            <v>14.99</v>
          </cell>
        </row>
        <row r="6304">
          <cell r="A6304">
            <v>88298</v>
          </cell>
          <cell r="B6304" t="str">
            <v>OPERADOR DE MARTELETE OU MARTELETEIRO COM ENCARGOS COMPLEMENTARES</v>
          </cell>
          <cell r="C6304" t="str">
            <v>H</v>
          </cell>
          <cell r="D6304">
            <v>12.63</v>
          </cell>
        </row>
        <row r="6305">
          <cell r="A6305">
            <v>88299</v>
          </cell>
          <cell r="B6305" t="str">
            <v>OPERADOR DE MOTO-ESCREIPER COM ENCARGOS COMPLEMENTARES</v>
          </cell>
          <cell r="C6305" t="str">
            <v>H</v>
          </cell>
          <cell r="D6305">
            <v>17.350000000000001</v>
          </cell>
        </row>
        <row r="6306">
          <cell r="A6306">
            <v>88300</v>
          </cell>
          <cell r="B6306" t="str">
            <v>OPERADOR DE MOTONIVELADORA COM ENCARGOS COMPLEMENTARES</v>
          </cell>
          <cell r="C6306" t="str">
            <v>H</v>
          </cell>
          <cell r="D6306">
            <v>20.39</v>
          </cell>
        </row>
        <row r="6307">
          <cell r="A6307">
            <v>88301</v>
          </cell>
          <cell r="B6307" t="str">
            <v>OPERADOR DE PÁ CARREGADEIRA COM ENCARGOS COMPLEMENTARES</v>
          </cell>
          <cell r="C6307" t="str">
            <v>H</v>
          </cell>
          <cell r="D6307">
            <v>15.95</v>
          </cell>
        </row>
        <row r="6308">
          <cell r="A6308">
            <v>88302</v>
          </cell>
          <cell r="B6308" t="str">
            <v>OPERADOR DE PAVIMENTADORA COM ENCARGOS COMPLEMENTARES</v>
          </cell>
          <cell r="C6308" t="str">
            <v>H</v>
          </cell>
          <cell r="D6308">
            <v>17.79</v>
          </cell>
        </row>
        <row r="6309">
          <cell r="A6309">
            <v>88303</v>
          </cell>
          <cell r="B6309" t="str">
            <v>OPERADOR DE ROLO COMPACTADOR COM ENCARGOS COMPLEMENTARES</v>
          </cell>
          <cell r="C6309" t="str">
            <v>H</v>
          </cell>
          <cell r="D6309">
            <v>14.97</v>
          </cell>
        </row>
        <row r="6310">
          <cell r="A6310">
            <v>88304</v>
          </cell>
          <cell r="B6310" t="str">
            <v>OPERADOR DE USINA DE ASFALTO, DE SOLOS OU DE CONCRETO COM ENCARGOS COMPLEMENTARES</v>
          </cell>
          <cell r="C6310" t="str">
            <v>H</v>
          </cell>
          <cell r="D6310">
            <v>15.84</v>
          </cell>
        </row>
        <row r="6311">
          <cell r="A6311">
            <v>88306</v>
          </cell>
          <cell r="B6311" t="str">
            <v>OPERADOR JATO DE AREIA OU JATISTA COM ENCARGOS COMPLEMENTARES</v>
          </cell>
          <cell r="C6311" t="str">
            <v>H</v>
          </cell>
          <cell r="D6311">
            <v>16.91</v>
          </cell>
        </row>
        <row r="6312">
          <cell r="A6312">
            <v>88307</v>
          </cell>
          <cell r="B6312" t="str">
            <v>OPERADOR PARA BATE ESTACAS COM ENCARGOS COMPLEMENTARES</v>
          </cell>
          <cell r="C6312" t="str">
            <v>H</v>
          </cell>
          <cell r="D6312">
            <v>16.45</v>
          </cell>
        </row>
        <row r="6313">
          <cell r="A6313">
            <v>88308</v>
          </cell>
          <cell r="B6313" t="str">
            <v>PASTILHEIRO COM ENCARGOS COMPLEMENTARES</v>
          </cell>
          <cell r="C6313" t="str">
            <v>H</v>
          </cell>
          <cell r="D6313">
            <v>22.22</v>
          </cell>
        </row>
        <row r="6314">
          <cell r="A6314">
            <v>88309</v>
          </cell>
          <cell r="B6314" t="str">
            <v>PEDREIRO COM ENCARGOS COMPLEMENTARES</v>
          </cell>
          <cell r="C6314" t="str">
            <v>H</v>
          </cell>
          <cell r="D6314">
            <v>19.809999999999999</v>
          </cell>
        </row>
        <row r="6315">
          <cell r="A6315">
            <v>88310</v>
          </cell>
          <cell r="B6315" t="str">
            <v>PINTOR COM ENCARGOS COMPLEMENTARES</v>
          </cell>
          <cell r="C6315" t="str">
            <v>H</v>
          </cell>
          <cell r="D6315">
            <v>20.92</v>
          </cell>
        </row>
        <row r="6316">
          <cell r="A6316">
            <v>88311</v>
          </cell>
          <cell r="B6316" t="str">
            <v>PINTOR DE LETREIROS COM ENCARGOS COMPLEMENTARES</v>
          </cell>
          <cell r="C6316" t="str">
            <v>H</v>
          </cell>
          <cell r="D6316">
            <v>23.2</v>
          </cell>
        </row>
        <row r="6317">
          <cell r="A6317">
            <v>88312</v>
          </cell>
          <cell r="B6317" t="str">
            <v>PINTOR PARA TINTA EPÓXI COM ENCARGOS COMPLEMENTARES</v>
          </cell>
          <cell r="C6317" t="str">
            <v>H</v>
          </cell>
          <cell r="D6317">
            <v>22.04</v>
          </cell>
        </row>
        <row r="6318">
          <cell r="A6318">
            <v>88313</v>
          </cell>
          <cell r="B6318" t="str">
            <v>POCEIRO COM ENCARGOS COMPLEMENTARES</v>
          </cell>
          <cell r="C6318" t="str">
            <v>H</v>
          </cell>
          <cell r="D6318">
            <v>14.44</v>
          </cell>
        </row>
        <row r="6319">
          <cell r="A6319">
            <v>88314</v>
          </cell>
          <cell r="B6319" t="str">
            <v>RASTELEIRO COM ENCARGOS COMPLEMENTARES</v>
          </cell>
          <cell r="C6319" t="str">
            <v>H</v>
          </cell>
          <cell r="D6319">
            <v>13.3</v>
          </cell>
        </row>
        <row r="6320">
          <cell r="A6320">
            <v>88315</v>
          </cell>
          <cell r="B6320" t="str">
            <v>SERRALHEIRO COM ENCARGOS COMPLEMENTARES</v>
          </cell>
          <cell r="C6320" t="str">
            <v>H</v>
          </cell>
          <cell r="D6320">
            <v>19.71</v>
          </cell>
        </row>
        <row r="6321">
          <cell r="A6321">
            <v>88316</v>
          </cell>
          <cell r="B6321" t="str">
            <v>SERVENTE COM ENCARGOS COMPLEMENTARES</v>
          </cell>
          <cell r="C6321" t="str">
            <v>H</v>
          </cell>
          <cell r="D6321">
            <v>15.91</v>
          </cell>
        </row>
        <row r="6322">
          <cell r="A6322">
            <v>88317</v>
          </cell>
          <cell r="B6322" t="str">
            <v>SOLDADOR COM ENCARGOS COMPLEMENTARES</v>
          </cell>
          <cell r="C6322" t="str">
            <v>H</v>
          </cell>
          <cell r="D6322">
            <v>19.96</v>
          </cell>
        </row>
        <row r="6323">
          <cell r="A6323">
            <v>88318</v>
          </cell>
          <cell r="B6323" t="str">
            <v>SOLDADOR A (PARA SOLDA A SER TESTADA COM RAIOS "X") COM ENCARGOS COMPLEMENTARES</v>
          </cell>
          <cell r="C6323" t="str">
            <v>H</v>
          </cell>
          <cell r="D6323">
            <v>24.86</v>
          </cell>
        </row>
        <row r="6324">
          <cell r="A6324">
            <v>88320</v>
          </cell>
          <cell r="B6324" t="str">
            <v>TAQUEADOR OU TAQUEIRO COM ENCARGOS COMPLEMENTARES</v>
          </cell>
          <cell r="C6324" t="str">
            <v>H</v>
          </cell>
          <cell r="D6324">
            <v>23.05</v>
          </cell>
        </row>
        <row r="6325">
          <cell r="A6325">
            <v>88321</v>
          </cell>
          <cell r="B6325" t="str">
            <v>TÉCNICO DE LABORATÓRIO COM ENCARGOS COMPLEMENTARES</v>
          </cell>
          <cell r="C6325" t="str">
            <v>H</v>
          </cell>
          <cell r="D6325">
            <v>22.5</v>
          </cell>
        </row>
        <row r="6326">
          <cell r="A6326">
            <v>88322</v>
          </cell>
          <cell r="B6326" t="str">
            <v>TÉCNICO DE SONDAGEM COM ENCARGOS COMPLEMENTARES</v>
          </cell>
          <cell r="C6326" t="str">
            <v>H</v>
          </cell>
          <cell r="D6326">
            <v>20.23</v>
          </cell>
        </row>
        <row r="6327">
          <cell r="A6327">
            <v>88323</v>
          </cell>
          <cell r="B6327" t="str">
            <v>TELHADISTA COM ENCARGOS COMPLEMENTARES</v>
          </cell>
          <cell r="C6327" t="str">
            <v>H</v>
          </cell>
          <cell r="D6327">
            <v>21.02</v>
          </cell>
        </row>
        <row r="6328">
          <cell r="A6328">
            <v>88324</v>
          </cell>
          <cell r="B6328" t="str">
            <v>TRATORISTA COM ENCARGOS COMPLEMENTARES</v>
          </cell>
          <cell r="C6328" t="str">
            <v>H</v>
          </cell>
          <cell r="D6328">
            <v>15.08</v>
          </cell>
        </row>
        <row r="6329">
          <cell r="A6329">
            <v>88325</v>
          </cell>
          <cell r="B6329" t="str">
            <v>VIDRACEIRO COM ENCARGOS COMPLEMENTARES</v>
          </cell>
          <cell r="C6329" t="str">
            <v>H</v>
          </cell>
          <cell r="D6329">
            <v>19.100000000000001</v>
          </cell>
        </row>
        <row r="6330">
          <cell r="A6330">
            <v>88326</v>
          </cell>
          <cell r="B6330" t="str">
            <v>VIGIA NOTURNO COM ENCARGOS COMPLEMENTARES</v>
          </cell>
          <cell r="C6330" t="str">
            <v>H</v>
          </cell>
          <cell r="D6330">
            <v>20.51</v>
          </cell>
        </row>
        <row r="6331">
          <cell r="A6331">
            <v>88377</v>
          </cell>
          <cell r="B6331" t="str">
            <v>OPERADOR DE BETONEIRA ESTACIONÁRIA/MISTURADOR COM ENCARGOS COMPLEMENTARES</v>
          </cell>
          <cell r="C6331" t="str">
            <v>H</v>
          </cell>
          <cell r="D6331">
            <v>14.28</v>
          </cell>
        </row>
        <row r="6332">
          <cell r="A6332">
            <v>88441</v>
          </cell>
          <cell r="B6332" t="str">
            <v>JARDINEIRO COM ENCARGOS COMPLEMENTARES</v>
          </cell>
          <cell r="C6332" t="str">
            <v>H</v>
          </cell>
          <cell r="D6332">
            <v>19.16</v>
          </cell>
        </row>
        <row r="6333">
          <cell r="A6333">
            <v>88597</v>
          </cell>
          <cell r="B6333" t="str">
            <v>DESENHISTA DETALHISTA COM ENCARGOS COMPLEMENTARES</v>
          </cell>
          <cell r="C6333" t="str">
            <v>H</v>
          </cell>
          <cell r="D6333">
            <v>23.35</v>
          </cell>
        </row>
        <row r="6334">
          <cell r="A6334">
            <v>90766</v>
          </cell>
          <cell r="B6334" t="str">
            <v>ALMOXARIFE COM ENCARGOS COMPLEMENTARES</v>
          </cell>
          <cell r="C6334" t="str">
            <v>H</v>
          </cell>
          <cell r="D6334">
            <v>15.93</v>
          </cell>
        </row>
        <row r="6335">
          <cell r="A6335">
            <v>90767</v>
          </cell>
          <cell r="B6335" t="str">
            <v>APONTADOR OU APROPRIADOR COM ENCARGOS COMPLEMENTARES</v>
          </cell>
          <cell r="C6335" t="str">
            <v>H</v>
          </cell>
          <cell r="D6335">
            <v>15.51</v>
          </cell>
        </row>
        <row r="6336">
          <cell r="A6336">
            <v>90768</v>
          </cell>
          <cell r="B6336" t="str">
            <v>ARQUITETO DE OBRA JUNIOR COM ENCARGOS COMPLEMENTARES</v>
          </cell>
          <cell r="C6336" t="str">
            <v>H</v>
          </cell>
          <cell r="D6336">
            <v>67.430000000000007</v>
          </cell>
        </row>
        <row r="6337">
          <cell r="A6337">
            <v>90769</v>
          </cell>
          <cell r="B6337" t="str">
            <v>ARQUITETO DE OBRA PLENO COM ENCARGOS COMPLEMENTARES</v>
          </cell>
          <cell r="C6337" t="str">
            <v>H</v>
          </cell>
          <cell r="D6337">
            <v>95.37</v>
          </cell>
        </row>
        <row r="6338">
          <cell r="A6338">
            <v>90770</v>
          </cell>
          <cell r="B6338" t="str">
            <v>ARQUITETO DE OBRA SENIOR COM ENCARGOS COMPLEMENTARES</v>
          </cell>
          <cell r="C6338" t="str">
            <v>H</v>
          </cell>
          <cell r="D6338">
            <v>125.77</v>
          </cell>
        </row>
        <row r="6339">
          <cell r="A6339">
            <v>90771</v>
          </cell>
          <cell r="B6339" t="str">
            <v>AUXILIAR DE DESENHISTA COM ENCARGOS COMPLEMENTARES</v>
          </cell>
          <cell r="C6339" t="str">
            <v>H</v>
          </cell>
          <cell r="D6339">
            <v>18.87</v>
          </cell>
        </row>
        <row r="6340">
          <cell r="A6340">
            <v>90772</v>
          </cell>
          <cell r="B6340" t="str">
            <v>AUXILIAR DE ESCRITORIO COM ENCARGOS COMPLEMENTARES</v>
          </cell>
          <cell r="C6340" t="str">
            <v>H</v>
          </cell>
          <cell r="D6340">
            <v>13.04</v>
          </cell>
        </row>
        <row r="6341">
          <cell r="A6341">
            <v>90773</v>
          </cell>
          <cell r="B6341" t="str">
            <v>DESENHISTA COPISTA COM ENCARGOS COMPLEMENTARES</v>
          </cell>
          <cell r="C6341" t="str">
            <v>H</v>
          </cell>
          <cell r="D6341">
            <v>17.850000000000001</v>
          </cell>
        </row>
        <row r="6342">
          <cell r="A6342">
            <v>90775</v>
          </cell>
          <cell r="B6342" t="str">
            <v>DESENHISTA PROJETISTA COM ENCARGOS COMPLEMENTARES</v>
          </cell>
          <cell r="C6342" t="str">
            <v>H</v>
          </cell>
          <cell r="D6342">
            <v>18.87</v>
          </cell>
        </row>
        <row r="6343">
          <cell r="A6343">
            <v>90776</v>
          </cell>
          <cell r="B6343" t="str">
            <v>ENCARREGADO GERAL COM ENCARGOS COMPLEMENTARES</v>
          </cell>
          <cell r="C6343" t="str">
            <v>H</v>
          </cell>
          <cell r="D6343">
            <v>21.57</v>
          </cell>
        </row>
        <row r="6344">
          <cell r="A6344">
            <v>90777</v>
          </cell>
          <cell r="B6344" t="str">
            <v>ENGENHEIRO CIVIL DE OBRA JUNIOR COM ENCARGOS COMPLEMENTARES</v>
          </cell>
          <cell r="C6344" t="str">
            <v>H</v>
          </cell>
          <cell r="D6344">
            <v>91.55</v>
          </cell>
        </row>
        <row r="6345">
          <cell r="A6345">
            <v>90778</v>
          </cell>
          <cell r="B6345" t="str">
            <v>ENGENHEIRO CIVIL DE OBRA PLENO COM ENCARGOS COMPLEMENTARES</v>
          </cell>
          <cell r="C6345" t="str">
            <v>H</v>
          </cell>
          <cell r="D6345">
            <v>104.07</v>
          </cell>
        </row>
        <row r="6346">
          <cell r="A6346">
            <v>90779</v>
          </cell>
          <cell r="B6346" t="str">
            <v>ENGENHEIRO CIVIL DE OBRA SENIOR COM ENCARGOS COMPLEMENTARES</v>
          </cell>
          <cell r="C6346" t="str">
            <v>H</v>
          </cell>
          <cell r="D6346">
            <v>141.88</v>
          </cell>
        </row>
        <row r="6347">
          <cell r="A6347">
            <v>90780</v>
          </cell>
          <cell r="B6347" t="str">
            <v>MESTRE DE OBRAS COM ENCARGOS COMPLEMENTARES</v>
          </cell>
          <cell r="C6347" t="str">
            <v>H</v>
          </cell>
          <cell r="D6347">
            <v>32</v>
          </cell>
        </row>
        <row r="6348">
          <cell r="A6348">
            <v>90781</v>
          </cell>
          <cell r="B6348" t="str">
            <v>TOPOGRAFO COM ENCARGOS COMPLEMENTARES</v>
          </cell>
          <cell r="C6348" t="str">
            <v>H</v>
          </cell>
          <cell r="D6348">
            <v>15.41</v>
          </cell>
        </row>
        <row r="6349">
          <cell r="A6349">
            <v>91677</v>
          </cell>
          <cell r="B6349" t="str">
            <v>ENGENHEIRO ELETRICISTA COM ENCARGOS COMPLEMENTARES</v>
          </cell>
          <cell r="C6349" t="str">
            <v>H</v>
          </cell>
          <cell r="D6349">
            <v>88.48</v>
          </cell>
        </row>
        <row r="6350">
          <cell r="A6350">
            <v>91678</v>
          </cell>
          <cell r="B6350" t="str">
            <v>ENGENHEIRO SANITARISTA COM ENCARGOS COMPLEMENTARES</v>
          </cell>
          <cell r="C6350" t="str">
            <v>H</v>
          </cell>
          <cell r="D6350">
            <v>85.94</v>
          </cell>
        </row>
        <row r="6351">
          <cell r="A6351">
            <v>93558</v>
          </cell>
          <cell r="B6351" t="str">
            <v>MOTORISTA DE CAMINHAO COM ENCARGOS COMPLEMENTARES</v>
          </cell>
          <cell r="C6351" t="str">
            <v>MES</v>
          </cell>
          <cell r="D6351">
            <v>2847.9</v>
          </cell>
        </row>
        <row r="6352">
          <cell r="A6352">
            <v>93559</v>
          </cell>
          <cell r="B6352" t="str">
            <v>DESENHISTA DETALHISTA COM ENCARGOS COMPLEMENTARES</v>
          </cell>
          <cell r="C6352" t="str">
            <v>MES</v>
          </cell>
          <cell r="D6352">
            <v>4154.1099999999997</v>
          </cell>
        </row>
        <row r="6353">
          <cell r="A6353">
            <v>93560</v>
          </cell>
          <cell r="B6353" t="str">
            <v>DESENHISTA COPISTA COM ENCARGOS COMPLEMENTARES</v>
          </cell>
          <cell r="C6353" t="str">
            <v>MES</v>
          </cell>
          <cell r="D6353">
            <v>3180.55</v>
          </cell>
        </row>
        <row r="6354">
          <cell r="A6354">
            <v>93561</v>
          </cell>
          <cell r="B6354" t="str">
            <v>DESENHISTA PROJETISTA COM ENCARGOS COMPLEMENTARES</v>
          </cell>
          <cell r="C6354" t="str">
            <v>MES</v>
          </cell>
          <cell r="D6354">
            <v>3359</v>
          </cell>
        </row>
        <row r="6355">
          <cell r="A6355">
            <v>93562</v>
          </cell>
          <cell r="B6355" t="str">
            <v>AUXILIAR DE DESENHISTA COM ENCARGOS COMPLEMENTARES</v>
          </cell>
          <cell r="C6355" t="str">
            <v>MES</v>
          </cell>
          <cell r="D6355">
            <v>3358.12</v>
          </cell>
        </row>
        <row r="6356">
          <cell r="A6356">
            <v>93563</v>
          </cell>
          <cell r="B6356" t="str">
            <v>ALMOXARIFE COM ENCARGOS COMPLEMENTARES</v>
          </cell>
          <cell r="C6356" t="str">
            <v>MES</v>
          </cell>
          <cell r="D6356">
            <v>2834.1</v>
          </cell>
        </row>
        <row r="6357">
          <cell r="A6357">
            <v>93564</v>
          </cell>
          <cell r="B6357" t="str">
            <v>APONTADOR OU APROPRIADOR COM ENCARGOS COMPLEMENTARES</v>
          </cell>
          <cell r="C6357" t="str">
            <v>MES</v>
          </cell>
          <cell r="D6357">
            <v>2755.94</v>
          </cell>
        </row>
        <row r="6358">
          <cell r="A6358">
            <v>93565</v>
          </cell>
          <cell r="B6358" t="str">
            <v>ENGENHEIRO CIVIL DE OBRA JUNIOR COM ENCARGOS COMPLEMENTARES</v>
          </cell>
          <cell r="C6358" t="str">
            <v>MES</v>
          </cell>
          <cell r="D6358">
            <v>16204.01</v>
          </cell>
        </row>
        <row r="6359">
          <cell r="A6359">
            <v>93566</v>
          </cell>
          <cell r="B6359" t="str">
            <v>AUXILIAR DE ESCRITORIO COM ENCARGOS COMPLEMENTARES</v>
          </cell>
          <cell r="C6359" t="str">
            <v>MES</v>
          </cell>
          <cell r="D6359">
            <v>2323.87</v>
          </cell>
        </row>
        <row r="6360">
          <cell r="A6360">
            <v>93567</v>
          </cell>
          <cell r="B6360" t="str">
            <v>ENGENHEIRO CIVIL DE OBRA PLENO COM ENCARGOS COMPLEMENTARES</v>
          </cell>
          <cell r="C6360" t="str">
            <v>MES</v>
          </cell>
          <cell r="D6360">
            <v>18417.419999999998</v>
          </cell>
        </row>
        <row r="6361">
          <cell r="A6361">
            <v>93568</v>
          </cell>
          <cell r="B6361" t="str">
            <v>ENGENHEIRO CIVIL DE OBRA SENIOR COM ENCARGOS COMPLEMENTARES</v>
          </cell>
          <cell r="C6361" t="str">
            <v>MES</v>
          </cell>
          <cell r="D6361">
            <v>25106.87</v>
          </cell>
        </row>
        <row r="6362">
          <cell r="A6362">
            <v>93569</v>
          </cell>
          <cell r="B6362" t="str">
            <v>ARQUITETO JUNIOR COM ENCARGOS COMPLEMENTARES</v>
          </cell>
          <cell r="C6362" t="str">
            <v>MES</v>
          </cell>
          <cell r="D6362">
            <v>11953.75</v>
          </cell>
        </row>
        <row r="6363">
          <cell r="A6363">
            <v>93570</v>
          </cell>
          <cell r="B6363" t="str">
            <v>ARQUITETO PLENO COM ENCARGOS COMPLEMENTARES</v>
          </cell>
          <cell r="C6363" t="str">
            <v>MES</v>
          </cell>
          <cell r="D6363">
            <v>16899.990000000002</v>
          </cell>
        </row>
        <row r="6364">
          <cell r="A6364">
            <v>93571</v>
          </cell>
          <cell r="B6364" t="str">
            <v>ARQUITETO SENIOR COM ENCARGOS COMPLEMENTARES</v>
          </cell>
          <cell r="C6364" t="str">
            <v>MES</v>
          </cell>
          <cell r="D6364">
            <v>22282.52</v>
          </cell>
        </row>
        <row r="6365">
          <cell r="A6365">
            <v>93572</v>
          </cell>
          <cell r="B6365" t="str">
            <v>ENCARREGADO GERAL DE OBRAS COM ENCARGOS COMPLEMENTARES</v>
          </cell>
          <cell r="C6365" t="str">
            <v>MES</v>
          </cell>
          <cell r="D6365">
            <v>3830.5</v>
          </cell>
        </row>
        <row r="6366">
          <cell r="A6366">
            <v>94295</v>
          </cell>
          <cell r="B6366" t="str">
            <v>MESTRE DE OBRAS COM ENCARGOS COMPLEMENTARES</v>
          </cell>
          <cell r="C6366" t="str">
            <v>MES</v>
          </cell>
          <cell r="D6366">
            <v>5672.54</v>
          </cell>
        </row>
        <row r="6367">
          <cell r="A6367">
            <v>94296</v>
          </cell>
          <cell r="B6367" t="str">
            <v>TOPOGRAFO COM ENCARGOS COMPLEMENTARES</v>
          </cell>
          <cell r="C6367" t="str">
            <v>MES</v>
          </cell>
          <cell r="D6367">
            <v>2742.55</v>
          </cell>
        </row>
        <row r="6368">
          <cell r="A6368">
            <v>95308</v>
          </cell>
          <cell r="B6368" t="str">
            <v>CURSO DE CAPACITAÇÃO PARA AJUDANTE DE ARMADOR (ENCARGOS COMPLEMENTARES) - HORISTA</v>
          </cell>
          <cell r="C6368" t="str">
            <v>H</v>
          </cell>
          <cell r="D6368">
            <v>0.08</v>
          </cell>
        </row>
        <row r="6369">
          <cell r="A6369">
            <v>95309</v>
          </cell>
          <cell r="B6369" t="str">
            <v>CURSO DE CAPACITAÇÃO PARA AJUDANTE DE CARPINTEIRO (ENCARGOS COMPLEMENTARES) - HORISTA</v>
          </cell>
          <cell r="C6369" t="str">
            <v>H</v>
          </cell>
          <cell r="D6369">
            <v>0.11</v>
          </cell>
        </row>
        <row r="6370">
          <cell r="A6370">
            <v>95310</v>
          </cell>
          <cell r="B6370" t="str">
            <v>CURSO DE CAPACITAÇÃO PARA AJUDANTE DE ESTRUTURA METÁLICA (ENCARGOS COMPLEMENTARES) - HORISTA</v>
          </cell>
          <cell r="C6370" t="str">
            <v>H</v>
          </cell>
          <cell r="D6370">
            <v>0.06</v>
          </cell>
        </row>
        <row r="6371">
          <cell r="A6371">
            <v>95311</v>
          </cell>
          <cell r="B6371" t="str">
            <v>CURSO DE CAPACITAÇÃO PARA AJUDANTE DE OPERAÇÃO EM GERAL (ENCARGOS COMPLEMENTARES) - HORISTA</v>
          </cell>
          <cell r="C6371" t="str">
            <v>H</v>
          </cell>
          <cell r="D6371">
            <v>0.08</v>
          </cell>
        </row>
        <row r="6372">
          <cell r="A6372">
            <v>95312</v>
          </cell>
          <cell r="B6372" t="str">
            <v>CURSO DE CAPACITAÇÃO PARA AJUDANTE DE PEDREIRO (ENCARGOS COMPLEMENTARES) - HORISTA</v>
          </cell>
          <cell r="C6372" t="str">
            <v>H</v>
          </cell>
          <cell r="D6372">
            <v>0.11</v>
          </cell>
        </row>
        <row r="6373">
          <cell r="A6373">
            <v>95313</v>
          </cell>
          <cell r="B6373" t="str">
            <v>CURSO DE CAPACITAÇÃO PARA AJUDANTE ESPECIALIZADO (ENCARGOS COMPLEMENTARES) - HORISTA</v>
          </cell>
          <cell r="C6373" t="str">
            <v>H</v>
          </cell>
          <cell r="D6373">
            <v>0.11</v>
          </cell>
        </row>
        <row r="6374">
          <cell r="A6374">
            <v>95314</v>
          </cell>
          <cell r="B6374" t="str">
            <v>CURSO DE CAPACITAÇÃO PARA ARMADOR (ENCARGOS COMPLEMENTARES) - HORISTA</v>
          </cell>
          <cell r="C6374" t="str">
            <v>H</v>
          </cell>
          <cell r="D6374">
            <v>0.11</v>
          </cell>
        </row>
        <row r="6375">
          <cell r="A6375">
            <v>95315</v>
          </cell>
          <cell r="B6375" t="str">
            <v>CURSO DE CAPACITAÇÃO PARA ASSENTADOR DE TUBOS (ENCARGOS COMPLEMENTARES) - HORISTA</v>
          </cell>
          <cell r="C6375" t="str">
            <v>H</v>
          </cell>
          <cell r="D6375">
            <v>0.12</v>
          </cell>
        </row>
        <row r="6376">
          <cell r="A6376">
            <v>95316</v>
          </cell>
          <cell r="B6376" t="str">
            <v>CURSO DE CAPACITAÇÃO PARA AUXILIAR DE ELETRICISTA (ENCARGOS COMPLEMENTARES) - HORISTA</v>
          </cell>
          <cell r="C6376" t="str">
            <v>H</v>
          </cell>
          <cell r="D6376">
            <v>0.27</v>
          </cell>
        </row>
        <row r="6377">
          <cell r="A6377">
            <v>95317</v>
          </cell>
          <cell r="B6377" t="str">
            <v>CURSO DE CAPACITAÇÃO PARA AUXILIAR DE ENCANADOR OU BOMBEIRO HIDRÁULICO (ENCARGOS COMPLEMENTARES) - HORISTA</v>
          </cell>
          <cell r="C6377" t="str">
            <v>H</v>
          </cell>
          <cell r="D6377">
            <v>0.13</v>
          </cell>
        </row>
        <row r="6378">
          <cell r="A6378">
            <v>95318</v>
          </cell>
          <cell r="B6378" t="str">
            <v>CURSO DE CAPACITAÇÃO PARA AUXILIAR DE LABORATÓRIO (ENCARGOS COMPLEMENTARES) - HORISTA</v>
          </cell>
          <cell r="C6378" t="str">
            <v>H</v>
          </cell>
          <cell r="D6378">
            <v>0.11</v>
          </cell>
        </row>
        <row r="6379">
          <cell r="A6379">
            <v>95319</v>
          </cell>
          <cell r="B6379" t="str">
            <v>CURSO DE CAPACITAÇÃO PARA AUXILIAR DE MECÂNICO (ENCARGOS COMPLEMENTARES) - HORISTA</v>
          </cell>
          <cell r="C6379" t="str">
            <v>H</v>
          </cell>
          <cell r="D6379">
            <v>7.0000000000000007E-2</v>
          </cell>
        </row>
        <row r="6380">
          <cell r="A6380">
            <v>95320</v>
          </cell>
          <cell r="B6380" t="str">
            <v>CURSO DE CAPACITAÇÃO PARA AUXILIAR DE SERRALHEIRO (ENCARGOS COMPLEMENTARES) - HORISTA</v>
          </cell>
          <cell r="C6380" t="str">
            <v>H</v>
          </cell>
          <cell r="D6380">
            <v>0.08</v>
          </cell>
        </row>
        <row r="6381">
          <cell r="A6381">
            <v>95321</v>
          </cell>
          <cell r="B6381" t="str">
            <v>CURSO DE CAPACITAÇÃO PARA AUXILIAR DE SERVIÇOS GERAIS (ENCARGOS COMPLEMENTARES) - HORISTA</v>
          </cell>
          <cell r="C6381" t="str">
            <v>H</v>
          </cell>
          <cell r="D6381">
            <v>0.09</v>
          </cell>
        </row>
        <row r="6382">
          <cell r="A6382">
            <v>95322</v>
          </cell>
          <cell r="B6382" t="str">
            <v>CURSO DE CAPACITAÇÃO PARA AUXILIAR DE TOPÓGRAFO (ENCARGOS COMPLEMENTARES) - HORISTA</v>
          </cell>
          <cell r="C6382" t="str">
            <v>H</v>
          </cell>
          <cell r="D6382">
            <v>0.03</v>
          </cell>
        </row>
        <row r="6383">
          <cell r="A6383">
            <v>95323</v>
          </cell>
          <cell r="B6383" t="str">
            <v>CURSO DE CAPACITAÇÃO PARA AUXILIAR TÉCNICO DE ENGENHARIA (ENCARGOS COMPLEMENTARES) - HORISTA</v>
          </cell>
          <cell r="C6383" t="str">
            <v>H</v>
          </cell>
          <cell r="D6383">
            <v>0.13</v>
          </cell>
        </row>
        <row r="6384">
          <cell r="A6384">
            <v>95324</v>
          </cell>
          <cell r="B6384" t="str">
            <v>CURSO DE CAPACITAÇÃO PARA AZULEJISTA OU LADRILHISTA (ENCARGOS COMPLEMENTARES) - HORISTA</v>
          </cell>
          <cell r="C6384" t="str">
            <v>H</v>
          </cell>
          <cell r="D6384">
            <v>0.15</v>
          </cell>
        </row>
        <row r="6385">
          <cell r="A6385">
            <v>95325</v>
          </cell>
          <cell r="B6385" t="str">
            <v>CURSO DE CAPACITAÇÃO PARA BLASTER, DINAMITADOR OU CABO DE FOGO (ENCARGOS COMPLEMENTARES) - HORISTA</v>
          </cell>
          <cell r="C6385" t="str">
            <v>H</v>
          </cell>
          <cell r="D6385">
            <v>0.12</v>
          </cell>
        </row>
        <row r="6386">
          <cell r="A6386">
            <v>95326</v>
          </cell>
          <cell r="B6386" t="str">
            <v>CURSO DE CAPACITAÇÃO PARA CADASTRISTA DE REDES DE AGUA E ESGOTO (ENCARGOS COMPLEMENTARES) - HORISTA</v>
          </cell>
          <cell r="C6386" t="str">
            <v>H</v>
          </cell>
          <cell r="D6386">
            <v>0.03</v>
          </cell>
        </row>
        <row r="6387">
          <cell r="A6387">
            <v>95327</v>
          </cell>
          <cell r="B6387" t="str">
            <v>CURSO DE CAPACITAÇÃO PARA CALAFETADOR/CALAFATE (ENCARGOS COMPLEMENTARES) - HORISTA</v>
          </cell>
          <cell r="C6387" t="str">
            <v>H</v>
          </cell>
          <cell r="D6387">
            <v>0.18</v>
          </cell>
        </row>
        <row r="6388">
          <cell r="A6388">
            <v>95328</v>
          </cell>
          <cell r="B6388" t="str">
            <v>CURSO DE CAPACITAÇÃO PARA CALCETEIRO (ENCARGOS COMPLEMENTARES) - HORISTA</v>
          </cell>
          <cell r="C6388" t="str">
            <v>H</v>
          </cell>
          <cell r="D6388">
            <v>0.11</v>
          </cell>
        </row>
        <row r="6389">
          <cell r="A6389">
            <v>95329</v>
          </cell>
          <cell r="B6389" t="str">
            <v>CURSO DE CAPACITAÇÃO PARA CARPINTEIRO DE ESQUADRIA (ENCARGOS COMPLEMENTARES) - HORISTA</v>
          </cell>
          <cell r="C6389" t="str">
            <v>H</v>
          </cell>
          <cell r="D6389">
            <v>0.16</v>
          </cell>
        </row>
        <row r="6390">
          <cell r="A6390">
            <v>95330</v>
          </cell>
          <cell r="B6390" t="str">
            <v>CURSO DE CAPACITAÇÃO PARA CARPINTEIRO DE FÔRMAS (ENCARGOS COMPLEMENTARES) - HORISTA</v>
          </cell>
          <cell r="C6390" t="str">
            <v>H</v>
          </cell>
          <cell r="D6390">
            <v>0.11</v>
          </cell>
        </row>
        <row r="6391">
          <cell r="A6391">
            <v>95331</v>
          </cell>
          <cell r="B6391" t="str">
            <v>CURSO DE CAPACITAÇÃO PARA CAVOUQUEIRO OU OPERADOR PERFURATRIZ/ROMPEDOR (ENCARGOS COMPLEMENTARES) - HORISTA</v>
          </cell>
          <cell r="C6391" t="str">
            <v>H</v>
          </cell>
          <cell r="D6391">
            <v>0.06</v>
          </cell>
        </row>
        <row r="6392">
          <cell r="A6392">
            <v>95332</v>
          </cell>
          <cell r="B6392" t="str">
            <v>CURSO DE CAPACITAÇÃO PARA ELETRICISTA (ENCARGOS COMPLEMENTARES) - HORISTA</v>
          </cell>
          <cell r="C6392" t="str">
            <v>H</v>
          </cell>
          <cell r="D6392">
            <v>0.39</v>
          </cell>
        </row>
        <row r="6393">
          <cell r="A6393">
            <v>95333</v>
          </cell>
          <cell r="B6393" t="str">
            <v>CURSO DE CAPACITAÇÃO PARA ELETRICISTA INDUSTRIAL (ENCARGOS COMPLEMENTARES) - HORISTA</v>
          </cell>
          <cell r="C6393" t="str">
            <v>H</v>
          </cell>
          <cell r="D6393">
            <v>0.39</v>
          </cell>
        </row>
        <row r="6394">
          <cell r="A6394">
            <v>95334</v>
          </cell>
          <cell r="B6394" t="str">
            <v>CURSO DE CAPACITAÇÃO PARA ELETROTÉCNICO (ENCARGOS COMPLEMENTARES) - HORISTA</v>
          </cell>
          <cell r="C6394" t="str">
            <v>H</v>
          </cell>
          <cell r="D6394">
            <v>0.32</v>
          </cell>
        </row>
        <row r="6395">
          <cell r="A6395">
            <v>95335</v>
          </cell>
          <cell r="B6395" t="str">
            <v>CURSO DE CAPACITAÇÃO PARA ENCANADOR OU BOMBEIRO HIDRÁULICO (ENCARGOS COMPLEMENTARES) - HORISTA</v>
          </cell>
          <cell r="C6395" t="str">
            <v>H</v>
          </cell>
          <cell r="D6395">
            <v>0.18</v>
          </cell>
        </row>
        <row r="6396">
          <cell r="A6396">
            <v>95336</v>
          </cell>
          <cell r="B6396" t="str">
            <v>CURSO DE CAPACITAÇÃO PARA ESTUCADOR (ENCARGOS COMPLEMENTARES) - HORISTA</v>
          </cell>
          <cell r="C6396" t="str">
            <v>H</v>
          </cell>
          <cell r="D6396">
            <v>0.12</v>
          </cell>
        </row>
        <row r="6397">
          <cell r="A6397">
            <v>95337</v>
          </cell>
          <cell r="B6397" t="str">
            <v>CURSO DE CAPACITAÇÃO PARA GESSEIRO (ENCARGOS COMPLEMENTARES) - HORISTA</v>
          </cell>
          <cell r="C6397" t="str">
            <v>H</v>
          </cell>
          <cell r="D6397">
            <v>0.11</v>
          </cell>
        </row>
        <row r="6398">
          <cell r="A6398">
            <v>95338</v>
          </cell>
          <cell r="B6398" t="str">
            <v>CURSO DE CAPACITAÇÃO PARA IMPERMEABILIZADOR (ENCARGOS COMPLEMENTARES) - HORISTA</v>
          </cell>
          <cell r="C6398" t="str">
            <v>H</v>
          </cell>
          <cell r="D6398">
            <v>0.22</v>
          </cell>
        </row>
        <row r="6399">
          <cell r="A6399">
            <v>95339</v>
          </cell>
          <cell r="B6399" t="str">
            <v>CURSO DE CAPACITAÇÃO PARA MAÇARIQUEIRO (ENCARGOS COMPLEMENTARES) - HORISTA</v>
          </cell>
          <cell r="C6399" t="str">
            <v>H</v>
          </cell>
          <cell r="D6399">
            <v>0.17</v>
          </cell>
        </row>
        <row r="6400">
          <cell r="A6400">
            <v>95340</v>
          </cell>
          <cell r="B6400" t="str">
            <v>CURSO DE CAPACITAÇÃO PARA MARCENEIRO (ENCARGOS COMPLEMENTARES) - HORISTA</v>
          </cell>
          <cell r="C6400" t="str">
            <v>H</v>
          </cell>
          <cell r="D6400">
            <v>0.15</v>
          </cell>
        </row>
        <row r="6401">
          <cell r="A6401">
            <v>95341</v>
          </cell>
          <cell r="B6401" t="str">
            <v>CURSO DE CAPACITAÇÃO PARA MARMORISTA/GRANITEIRO (ENCARGOS COMPLEMENTARES) - HORISTA</v>
          </cell>
          <cell r="C6401" t="str">
            <v>H</v>
          </cell>
          <cell r="D6401">
            <v>0.15</v>
          </cell>
        </row>
        <row r="6402">
          <cell r="A6402">
            <v>95342</v>
          </cell>
          <cell r="B6402" t="str">
            <v>CURSO DE CAPACITAÇÃO PARA MECÂNICO DE EQUIPAMENTOS PESADOS (ENCARGOS COMPLEMENTARES) - HORISTA</v>
          </cell>
          <cell r="C6402" t="str">
            <v>H</v>
          </cell>
          <cell r="D6402">
            <v>0.09</v>
          </cell>
        </row>
        <row r="6403">
          <cell r="A6403">
            <v>95343</v>
          </cell>
          <cell r="B6403" t="str">
            <v>CURSO DE CAPACITAÇÃO PARA MONTADOR  DE TUBO AÇO/EQUIPAMENTOS (ENCARGOS COMPLEMENTARES) - HORISTA</v>
          </cell>
          <cell r="C6403" t="str">
            <v>H</v>
          </cell>
          <cell r="D6403">
            <v>0.11</v>
          </cell>
        </row>
        <row r="6404">
          <cell r="A6404">
            <v>95344</v>
          </cell>
          <cell r="B6404" t="str">
            <v>CURSO DE CAPACITAÇÃO PARA MONTADOR DE ESTRUTURA METÁLICA (ENCARGOS COMPLEMENTARES) - HORISTA</v>
          </cell>
          <cell r="C6404" t="str">
            <v>H</v>
          </cell>
          <cell r="D6404">
            <v>0.08</v>
          </cell>
        </row>
        <row r="6405">
          <cell r="A6405">
            <v>95345</v>
          </cell>
          <cell r="B6405" t="str">
            <v>CURSO DE CAPACITAÇÃO PARA MONTADOR ELETROMECÂNICO (ENCARGOS COMPLEMENTARES) - HORISTA</v>
          </cell>
          <cell r="C6405" t="str">
            <v>H</v>
          </cell>
          <cell r="D6405">
            <v>0.35</v>
          </cell>
        </row>
        <row r="6406">
          <cell r="A6406">
            <v>95346</v>
          </cell>
          <cell r="B6406" t="str">
            <v>CURSO DE CAPACITAÇÃO PARA MOTORISTA DE BASCULANTE (ENCARGOS COMPLEMENTARES) - HORISTA</v>
          </cell>
          <cell r="C6406" t="str">
            <v>H</v>
          </cell>
          <cell r="D6406">
            <v>0.03</v>
          </cell>
        </row>
        <row r="6407">
          <cell r="A6407">
            <v>95347</v>
          </cell>
          <cell r="B6407" t="str">
            <v>CURSO DE CAPACITAÇÃO PARA MOTORISTA DE CAMINHÃO (ENCARGOS COMPLEMENTARES) - HORISTA</v>
          </cell>
          <cell r="C6407" t="str">
            <v>H</v>
          </cell>
          <cell r="D6407">
            <v>0.04</v>
          </cell>
        </row>
        <row r="6408">
          <cell r="A6408">
            <v>95348</v>
          </cell>
          <cell r="B6408" t="str">
            <v>CURSO DE CAPACITAÇÃO PARA MOTORISTA DE CAMINHÃO E CARRETA (ENCARGOS COMPLEMENTARES) - HORISTA</v>
          </cell>
          <cell r="C6408" t="str">
            <v>H</v>
          </cell>
          <cell r="D6408">
            <v>0.05</v>
          </cell>
        </row>
        <row r="6409">
          <cell r="A6409">
            <v>95349</v>
          </cell>
          <cell r="B6409" t="str">
            <v>CURSO DE CAPACITAÇÃO PARA MOTORISTA DE VEÍCULO LEVE (ENCARGOS COMPLEMENTARES) - HORISTA</v>
          </cell>
          <cell r="C6409" t="str">
            <v>H</v>
          </cell>
          <cell r="D6409">
            <v>0.03</v>
          </cell>
        </row>
        <row r="6410">
          <cell r="A6410">
            <v>95350</v>
          </cell>
          <cell r="B6410" t="str">
            <v>CURSO DE CAPACITAÇÃO PARA MOTORISTA DE VEÍCULO PESADO (ENCARGOS COMPLEMENTARES) - HORISTA</v>
          </cell>
          <cell r="C6410" t="str">
            <v>H</v>
          </cell>
          <cell r="D6410">
            <v>0.04</v>
          </cell>
        </row>
        <row r="6411">
          <cell r="A6411">
            <v>95351</v>
          </cell>
          <cell r="B6411" t="str">
            <v>CURSO DE CAPACITAÇÃO PARA MOTORISTA OPERADOR DE MUNCK (ENCARGOS COMPLEMENTARES) - HORISTA</v>
          </cell>
          <cell r="C6411" t="str">
            <v>H</v>
          </cell>
          <cell r="D6411">
            <v>0.15</v>
          </cell>
        </row>
        <row r="6412">
          <cell r="A6412">
            <v>95352</v>
          </cell>
          <cell r="B6412" t="str">
            <v>CURSO DE CAPACITAÇÃO PARA NIVELADOR (ENCARGOS COMPLEMENTARES) - HORISTA</v>
          </cell>
          <cell r="C6412" t="str">
            <v>H</v>
          </cell>
          <cell r="D6412">
            <v>0.04</v>
          </cell>
        </row>
        <row r="6413">
          <cell r="A6413">
            <v>95354</v>
          </cell>
          <cell r="B6413" t="str">
            <v>CURSO DE CAPACITAÇÃO PARA OPERADOR DE BETONEIRA (CAMINHÃO) (ENCARGOS COMPLEMENTARES) - HORISTA</v>
          </cell>
          <cell r="C6413" t="str">
            <v>H</v>
          </cell>
          <cell r="D6413">
            <v>0.06</v>
          </cell>
        </row>
        <row r="6414">
          <cell r="A6414">
            <v>95355</v>
          </cell>
          <cell r="B6414" t="str">
            <v>CURSO DE CAPACITAÇÃO PARA OPERADOR DE COMPRESSOR OU COMPRESSORISTA (ENCARGOS COMPLEMENTARES) - HORISTA</v>
          </cell>
          <cell r="C6414" t="str">
            <v>H</v>
          </cell>
          <cell r="D6414">
            <v>0.06</v>
          </cell>
        </row>
        <row r="6415">
          <cell r="A6415">
            <v>95356</v>
          </cell>
          <cell r="B6415" t="str">
            <v>CURSO DE CAPACITAÇÃO PARA OPERADOR DE DEMARCADORA DE FAIXAS (ENCARGOS COMPLEMENTARES) - HORISTA</v>
          </cell>
          <cell r="C6415" t="str">
            <v>H</v>
          </cell>
          <cell r="D6415">
            <v>7.0000000000000007E-2</v>
          </cell>
        </row>
        <row r="6416">
          <cell r="A6416">
            <v>95357</v>
          </cell>
          <cell r="B6416" t="str">
            <v>CURSO DE CAPACITAÇÃO PARA OPERADOR DE ESCAVADEIRA (ENCARGOS COMPLEMENTARES) - HORISTA</v>
          </cell>
          <cell r="C6416" t="str">
            <v>H</v>
          </cell>
          <cell r="D6416">
            <v>0.11</v>
          </cell>
        </row>
        <row r="6417">
          <cell r="A6417">
            <v>95358</v>
          </cell>
          <cell r="B6417" t="str">
            <v>CURSO DE CAPACITAÇÃO PARA OPERADOR DE GUINCHO (ENCARGOS COMPLEMENTARES) - HORISTA</v>
          </cell>
          <cell r="C6417" t="str">
            <v>H</v>
          </cell>
          <cell r="D6417">
            <v>0.11</v>
          </cell>
        </row>
        <row r="6418">
          <cell r="A6418">
            <v>95359</v>
          </cell>
          <cell r="B6418" t="str">
            <v>CURSO DE CAPACITAÇÃO PARA OPERADOR DE GUINDASTE (ENCARGOS COMPLEMENTARES) - HORISTA</v>
          </cell>
          <cell r="C6418" t="str">
            <v>H</v>
          </cell>
          <cell r="D6418">
            <v>0.11</v>
          </cell>
        </row>
        <row r="6419">
          <cell r="A6419">
            <v>95360</v>
          </cell>
          <cell r="B6419" t="str">
            <v>CURSO DE CAPACITAÇÃO PARA OPERADOR DE MÁQUINAS E EQUIPAMENTOS (ENCARGOS COMPLEMENTARES) - HORISTA</v>
          </cell>
          <cell r="C6419" t="str">
            <v>H</v>
          </cell>
          <cell r="D6419">
            <v>0.08</v>
          </cell>
        </row>
        <row r="6420">
          <cell r="A6420">
            <v>95361</v>
          </cell>
          <cell r="B6420" t="str">
            <v>CURSO DE CAPACITAÇÃO PARA OPERADOR DE MARTELETE OU MARTELETEIRO (ENCARGOS COMPLEMENTARES) - HORISTA</v>
          </cell>
          <cell r="C6420" t="str">
            <v>H</v>
          </cell>
          <cell r="D6420">
            <v>0.04</v>
          </cell>
        </row>
        <row r="6421">
          <cell r="A6421">
            <v>95362</v>
          </cell>
          <cell r="B6421" t="str">
            <v>CURSO DE CAPACITAÇÃO PARA OPERADOR DE MOTO-ESCREIPER (ENCARGOS COMPLEMENTARES) - HORISTA</v>
          </cell>
          <cell r="C6421" t="str">
            <v>H</v>
          </cell>
          <cell r="D6421">
            <v>7.0000000000000007E-2</v>
          </cell>
        </row>
        <row r="6422">
          <cell r="A6422">
            <v>95363</v>
          </cell>
          <cell r="B6422" t="str">
            <v>CURSO DE CAPACITAÇÃO PARA OPERADOR DE MOTONIVELADORA (ENCARGOS COMPLEMENTARES) - HORISTA</v>
          </cell>
          <cell r="C6422" t="str">
            <v>H</v>
          </cell>
          <cell r="D6422">
            <v>0.09</v>
          </cell>
        </row>
        <row r="6423">
          <cell r="A6423">
            <v>95364</v>
          </cell>
          <cell r="B6423" t="str">
            <v>CURSO DE CAPACITAÇÃO PARA OPERADOR DE PÁ CARREGADEIRA (ENCARGOS COMPLEMENTARES) - HORISTA</v>
          </cell>
          <cell r="C6423" t="str">
            <v>H</v>
          </cell>
          <cell r="D6423">
            <v>0.06</v>
          </cell>
        </row>
        <row r="6424">
          <cell r="A6424">
            <v>95365</v>
          </cell>
          <cell r="B6424" t="str">
            <v>CURSO DE CAPACITAÇÃO PARA OPERADOR DE PAVIMENTADORA (ENCARGOS COMPLEMENTARES) - HORISTA</v>
          </cell>
          <cell r="C6424" t="str">
            <v>H</v>
          </cell>
          <cell r="D6424">
            <v>7.0000000000000007E-2</v>
          </cell>
        </row>
        <row r="6425">
          <cell r="A6425">
            <v>95366</v>
          </cell>
          <cell r="B6425" t="str">
            <v>CURSO DE CAPACITAÇÃO PARA OPERADOR DE ROLO COMPACTADOR (ENCARGOS COMPLEMENTARES) - HORISTA</v>
          </cell>
          <cell r="C6425" t="str">
            <v>H</v>
          </cell>
          <cell r="D6425">
            <v>0.06</v>
          </cell>
        </row>
        <row r="6426">
          <cell r="A6426">
            <v>95367</v>
          </cell>
          <cell r="B6426" t="str">
            <v>CURSO DE CAPACITAÇÃO PARA OPERADOR DE USINA DE ASFALTO, DE SOLOS OU DE CONCRETO (ENCARGOS COMPLEMENTARES) - HORISTA</v>
          </cell>
          <cell r="C6426" t="str">
            <v>H</v>
          </cell>
          <cell r="D6426">
            <v>0.06</v>
          </cell>
        </row>
        <row r="6427">
          <cell r="A6427">
            <v>95368</v>
          </cell>
          <cell r="B6427" t="str">
            <v>CURSO DE CAPACITAÇÃO PARA OPERADOR JATO DE AREIA OU JATISTA (ENCARGOS COMPLEMENTARES) - HORISTA</v>
          </cell>
          <cell r="C6427" t="str">
            <v>H</v>
          </cell>
          <cell r="D6427">
            <v>0.1</v>
          </cell>
        </row>
        <row r="6428">
          <cell r="A6428">
            <v>95369</v>
          </cell>
          <cell r="B6428" t="str">
            <v>CURSO DE CAPACITAÇÃO PARA OPERADOR PARA BATE ESTACAS (ENCARGOS COMPLEMENTARES) - HORISTA</v>
          </cell>
          <cell r="C6428" t="str">
            <v>H</v>
          </cell>
          <cell r="D6428">
            <v>7.0000000000000007E-2</v>
          </cell>
        </row>
        <row r="6429">
          <cell r="A6429">
            <v>95370</v>
          </cell>
          <cell r="B6429" t="str">
            <v>CURSO DE CAPACITAÇÃO PARA PASTILHEIRO (ENCARGOS COMPLEMENTARES) - HORISTA</v>
          </cell>
          <cell r="C6429" t="str">
            <v>H</v>
          </cell>
          <cell r="D6429">
            <v>0.17</v>
          </cell>
        </row>
        <row r="6430">
          <cell r="A6430">
            <v>95371</v>
          </cell>
          <cell r="B6430" t="str">
            <v>CURSO DE CAPACITAÇÃO PARA PEDREIRO (ENCARGOS COMPLEMENTARES) - HORISTA</v>
          </cell>
          <cell r="C6430" t="str">
            <v>H</v>
          </cell>
          <cell r="D6430">
            <v>0.21</v>
          </cell>
        </row>
        <row r="6431">
          <cell r="A6431">
            <v>95372</v>
          </cell>
          <cell r="B6431" t="str">
            <v>CURSO DE CAPACITAÇÃO PARA PINTOR (ENCARGOS COMPLEMENTARES) - HORISTA</v>
          </cell>
          <cell r="C6431" t="str">
            <v>H</v>
          </cell>
          <cell r="D6431">
            <v>0.15</v>
          </cell>
        </row>
        <row r="6432">
          <cell r="A6432">
            <v>95373</v>
          </cell>
          <cell r="B6432" t="str">
            <v>CURSO DE CAPACITAÇÃO PARA PINTOR DE LETREIROS (ENCARGOS COMPLEMENTARES) - HORISTA</v>
          </cell>
          <cell r="C6432" t="str">
            <v>H</v>
          </cell>
          <cell r="D6432">
            <v>0.17</v>
          </cell>
        </row>
        <row r="6433">
          <cell r="A6433">
            <v>95374</v>
          </cell>
          <cell r="B6433" t="str">
            <v>CURSO DE CAPACITAÇÃO PARA PINTOR PARA TINTA EPÓXI (ENCARGOS COMPLEMENTARES) - HORISTA</v>
          </cell>
          <cell r="C6433" t="str">
            <v>H</v>
          </cell>
          <cell r="D6433">
            <v>0.16</v>
          </cell>
        </row>
        <row r="6434">
          <cell r="A6434">
            <v>95375</v>
          </cell>
          <cell r="B6434" t="str">
            <v>CURSO DE CAPACITAÇÃO PARA POCEIRO (ENCARGOS COMPLEMENTARES) - HORISTA</v>
          </cell>
          <cell r="C6434" t="str">
            <v>H</v>
          </cell>
          <cell r="D6434">
            <v>0.15</v>
          </cell>
        </row>
        <row r="6435">
          <cell r="A6435">
            <v>95376</v>
          </cell>
          <cell r="B6435" t="str">
            <v>CURSO DE CAPACITAÇÃO PARA RASTELEIRO (ENCARGOS COMPLEMENTARES) - HORISTA</v>
          </cell>
          <cell r="C6435" t="str">
            <v>H</v>
          </cell>
          <cell r="D6435">
            <v>0.03</v>
          </cell>
        </row>
        <row r="6436">
          <cell r="A6436">
            <v>95377</v>
          </cell>
          <cell r="B6436" t="str">
            <v>CURSO DE CAPACITAÇÃO PARA SERRALHEIRO (ENCARGOS COMPLEMENTARES) - HORISTA</v>
          </cell>
          <cell r="C6436" t="str">
            <v>H</v>
          </cell>
          <cell r="D6436">
            <v>0.11</v>
          </cell>
        </row>
        <row r="6437">
          <cell r="A6437">
            <v>95378</v>
          </cell>
          <cell r="B6437" t="str">
            <v>CURSO DE CAPACITAÇÃO PARA SERVENTE (ENCARGOS COMPLEMENTARES) - HORISTA</v>
          </cell>
          <cell r="C6437" t="str">
            <v>H</v>
          </cell>
          <cell r="D6437">
            <v>0.16</v>
          </cell>
        </row>
        <row r="6438">
          <cell r="A6438">
            <v>95379</v>
          </cell>
          <cell r="B6438" t="str">
            <v>CURSO DE CAPACITAÇÃO PARA SOLDADOR (ENCARGOS COMPLEMENTARES) - HORISTA</v>
          </cell>
          <cell r="C6438" t="str">
            <v>H</v>
          </cell>
          <cell r="D6438">
            <v>0.11</v>
          </cell>
        </row>
        <row r="6439">
          <cell r="A6439">
            <v>95380</v>
          </cell>
          <cell r="B6439" t="str">
            <v>CURSO DE CAPACITAÇÃO PARA SOLDADOR A (PARA SOLDA A SER TESTADA COM RAIOS  X ) (ENCARGOS COMPLEMENTARES) - HORISTA</v>
          </cell>
          <cell r="C6439" t="str">
            <v>H</v>
          </cell>
          <cell r="D6439">
            <v>0.15</v>
          </cell>
        </row>
        <row r="6440">
          <cell r="A6440">
            <v>95382</v>
          </cell>
          <cell r="B6440" t="str">
            <v>CURSO DE CAPACITAÇÃO PARA TAQUEADOR OU TAQUEIRO (ENCARGOS COMPLEMENTARES) - HORISTA</v>
          </cell>
          <cell r="C6440" t="str">
            <v>H</v>
          </cell>
          <cell r="D6440">
            <v>0.14000000000000001</v>
          </cell>
        </row>
        <row r="6441">
          <cell r="A6441">
            <v>95383</v>
          </cell>
          <cell r="B6441" t="str">
            <v>CURSO DE CAPACITAÇÃO PARA TÉCNICO DE LABORATÓRIO (ENCARGOS COMPLEMENTARES) - HORISTA</v>
          </cell>
          <cell r="C6441" t="str">
            <v>H</v>
          </cell>
          <cell r="D6441">
            <v>0.12</v>
          </cell>
        </row>
        <row r="6442">
          <cell r="A6442">
            <v>95384</v>
          </cell>
          <cell r="B6442" t="str">
            <v>CURSO DE CAPACITAÇÃO PARA TÉCNICO DE SONDAGEM (ENCARGOS COMPLEMENTARES) - HORISTA</v>
          </cell>
          <cell r="C6442" t="str">
            <v>H</v>
          </cell>
          <cell r="D6442">
            <v>0.15</v>
          </cell>
        </row>
        <row r="6443">
          <cell r="A6443">
            <v>95385</v>
          </cell>
          <cell r="B6443" t="str">
            <v>CURSO DE CAPACITAÇÃO PARA TELHADISTA (ENCARGOS COMPLEMENTARES) - HORISTA</v>
          </cell>
          <cell r="C6443" t="str">
            <v>H</v>
          </cell>
          <cell r="D6443">
            <v>0.12</v>
          </cell>
        </row>
        <row r="6444">
          <cell r="A6444">
            <v>95386</v>
          </cell>
          <cell r="B6444" t="str">
            <v>CURSO DE CAPACITAÇÃO PARA TRATORISTA (ENCARGOS COMPLEMENTARES) - HORISTA</v>
          </cell>
          <cell r="C6444" t="str">
            <v>H</v>
          </cell>
          <cell r="D6444">
            <v>0.08</v>
          </cell>
        </row>
        <row r="6445">
          <cell r="A6445">
            <v>95387</v>
          </cell>
          <cell r="B6445" t="str">
            <v>CURSO DE CAPACITAÇÃO PARA VIDRACEIRO (ENCARGOS COMPLEMENTARES) - HORISTA</v>
          </cell>
          <cell r="C6445" t="str">
            <v>H</v>
          </cell>
          <cell r="D6445">
            <v>0.14000000000000001</v>
          </cell>
        </row>
        <row r="6446">
          <cell r="A6446">
            <v>95388</v>
          </cell>
          <cell r="B6446" t="str">
            <v>CURSO DE CAPACITAÇÃO PARA VIGIA NOTURNO (ENCARGOS COMPLEMENTARES) - HORISTA</v>
          </cell>
          <cell r="C6446" t="str">
            <v>H</v>
          </cell>
          <cell r="D6446">
            <v>0.05</v>
          </cell>
        </row>
        <row r="6447">
          <cell r="A6447">
            <v>95389</v>
          </cell>
          <cell r="B6447" t="str">
            <v>CURSO DE CAPACITAÇÃO PARA OPERADOR DE BETONEIRA ESTACIONÁRIA/MISTURADOR (ENCARGOS COMPLEMENTARES) - HORISTA</v>
          </cell>
          <cell r="C6447" t="str">
            <v>H</v>
          </cell>
          <cell r="D6447">
            <v>0.05</v>
          </cell>
        </row>
        <row r="6448">
          <cell r="A6448">
            <v>95390</v>
          </cell>
          <cell r="B6448" t="str">
            <v>CURSO DE CAPACITAÇÃO PARA JARDINEIRO (ENCARGOS COMPLEMENTARES) - HORISTA</v>
          </cell>
          <cell r="C6448" t="str">
            <v>H</v>
          </cell>
          <cell r="D6448">
            <v>0.05</v>
          </cell>
        </row>
        <row r="6449">
          <cell r="A6449">
            <v>95391</v>
          </cell>
          <cell r="B6449" t="str">
            <v>CURSO DE CAPACITAÇÃO PARA DESENHISTA DETALHISTA (ENCARGOS COMPLEMENTARES) - HORISTA</v>
          </cell>
          <cell r="C6449" t="str">
            <v>H</v>
          </cell>
          <cell r="D6449">
            <v>7.0000000000000007E-2</v>
          </cell>
        </row>
        <row r="6450">
          <cell r="A6450">
            <v>95392</v>
          </cell>
          <cell r="B6450" t="str">
            <v>CURSO DE CAPACITAÇÃO PARA ALMOXARIFE (ENCARGOS COMPLEMENTARES) - HORISTA</v>
          </cell>
          <cell r="C6450" t="str">
            <v>H</v>
          </cell>
          <cell r="D6450">
            <v>0.05</v>
          </cell>
        </row>
        <row r="6451">
          <cell r="A6451">
            <v>95393</v>
          </cell>
          <cell r="B6451" t="str">
            <v>CURSO DE CAPACITAÇÃO PARA APONTADOR OU APROPRIADOR (ENCARGOS COMPLEMENTARES) - HORISTA</v>
          </cell>
          <cell r="C6451" t="str">
            <v>H</v>
          </cell>
          <cell r="D6451">
            <v>0.2</v>
          </cell>
        </row>
        <row r="6452">
          <cell r="A6452">
            <v>95394</v>
          </cell>
          <cell r="B6452" t="str">
            <v>CURSO DE CAPACITAÇÃO PARA ARQUITETO DE OBRA JÚNIOR (ENCARGOS COMPLEMENTARES) - HORISTA</v>
          </cell>
          <cell r="C6452" t="str">
            <v>H</v>
          </cell>
          <cell r="D6452">
            <v>0.37</v>
          </cell>
        </row>
        <row r="6453">
          <cell r="A6453">
            <v>95395</v>
          </cell>
          <cell r="B6453" t="str">
            <v>CURSO DE CAPACITAÇÃO PARA ARQUITETO DE OBRA PLENO (ENCARGOS COMPLEMENTARES) - HORISTA</v>
          </cell>
          <cell r="C6453" t="str">
            <v>H</v>
          </cell>
          <cell r="D6453">
            <v>0.53</v>
          </cell>
        </row>
        <row r="6454">
          <cell r="A6454">
            <v>95396</v>
          </cell>
          <cell r="B6454" t="str">
            <v>CURSO DE CAPACITAÇÃO PARA ARQUITETO DE OBRA SÊNIOR (ENCARGOS COMPLEMENTARES) - HORISTA</v>
          </cell>
          <cell r="C6454" t="str">
            <v>H</v>
          </cell>
          <cell r="D6454">
            <v>0.7</v>
          </cell>
        </row>
        <row r="6455">
          <cell r="A6455">
            <v>95397</v>
          </cell>
          <cell r="B6455" t="str">
            <v>CURSO DE CAPACITAÇÃO PARA AUXILIAR DE DESENHISTA (ENCARGOS COMPLEMENTARES) - HORISTA</v>
          </cell>
          <cell r="C6455" t="str">
            <v>H</v>
          </cell>
          <cell r="D6455">
            <v>0.06</v>
          </cell>
        </row>
        <row r="6456">
          <cell r="A6456">
            <v>95398</v>
          </cell>
          <cell r="B6456" t="str">
            <v>CURSO DE CAPACITAÇÃO PARA AUXILIAR DE ESCRITÓRIO (ENCARGOS COMPLEMENTARES) - HORISTA</v>
          </cell>
          <cell r="C6456" t="str">
            <v>H</v>
          </cell>
          <cell r="D6456">
            <v>0.04</v>
          </cell>
        </row>
        <row r="6457">
          <cell r="A6457">
            <v>95399</v>
          </cell>
          <cell r="B6457" t="str">
            <v>CURSO DE CAPACITAÇÃO PARA DESENHISTA COPISTA (ENCARGOS COMPLEMENTARES) - HORISTA</v>
          </cell>
          <cell r="C6457" t="str">
            <v>H</v>
          </cell>
          <cell r="D6457">
            <v>0.05</v>
          </cell>
        </row>
        <row r="6458">
          <cell r="A6458">
            <v>95400</v>
          </cell>
          <cell r="B6458" t="str">
            <v>CURSO DE CAPACITAÇÃO PARA DESENHISTA PROJETISTA (ENCARGOS COMPLEMENTARES) - HORISTA</v>
          </cell>
          <cell r="C6458" t="str">
            <v>H</v>
          </cell>
          <cell r="D6458">
            <v>0.06</v>
          </cell>
        </row>
        <row r="6459">
          <cell r="A6459">
            <v>95401</v>
          </cell>
          <cell r="B6459" t="str">
            <v>CURSO DE CAPACITAÇÃO PARA ENCARREGADO GERAL (ENCARGOS COMPLEMENTARES) - HORISTA</v>
          </cell>
          <cell r="C6459" t="str">
            <v>H</v>
          </cell>
          <cell r="D6459">
            <v>0.28000000000000003</v>
          </cell>
        </row>
        <row r="6460">
          <cell r="A6460">
            <v>95402</v>
          </cell>
          <cell r="B6460" t="str">
            <v>CURSO DE CAPACITAÇÃO PARA ENGENHEIRO CIVIL DE OBRA JÚNIOR (ENCARGOS COMPLEMENTARES) - HORISTA</v>
          </cell>
          <cell r="C6460" t="str">
            <v>H</v>
          </cell>
          <cell r="D6460">
            <v>0.91</v>
          </cell>
        </row>
        <row r="6461">
          <cell r="A6461">
            <v>95403</v>
          </cell>
          <cell r="B6461" t="str">
            <v>CURSO DE CAPACITAÇÃO PARA ENGENHEIRO CIVIL DE OBRA PLENO (ENCARGOS COMPLEMENTARES) - HORISTA</v>
          </cell>
          <cell r="C6461" t="str">
            <v>H</v>
          </cell>
          <cell r="D6461">
            <v>1.04</v>
          </cell>
        </row>
        <row r="6462">
          <cell r="A6462">
            <v>95404</v>
          </cell>
          <cell r="B6462" t="str">
            <v>CURSO DE CAPACITAÇÃO PARA ENGENHEIRO CIVIL DE OBRA SÊNIOR (ENCARGOS COMPLEMENTARES) - HORISTA</v>
          </cell>
          <cell r="C6462" t="str">
            <v>H</v>
          </cell>
          <cell r="D6462">
            <v>1.42</v>
          </cell>
        </row>
        <row r="6463">
          <cell r="A6463">
            <v>95405</v>
          </cell>
          <cell r="B6463" t="str">
            <v>CURSO DE CAPACITAÇÃO PARA MESTRE DE OBRAS (ENCARGOS COMPLEMENTARES) - HORISTA</v>
          </cell>
          <cell r="C6463" t="str">
            <v>H</v>
          </cell>
          <cell r="D6463">
            <v>0.43</v>
          </cell>
        </row>
        <row r="6464">
          <cell r="A6464">
            <v>95406</v>
          </cell>
          <cell r="B6464" t="str">
            <v>CURSO DE CAPACITAÇÃO PARA TOPÓGRAFO (ENCARGOS COMPLEMENTARES) - HORISTA</v>
          </cell>
          <cell r="C6464" t="str">
            <v>H</v>
          </cell>
          <cell r="D6464">
            <v>0.08</v>
          </cell>
        </row>
        <row r="6465">
          <cell r="A6465">
            <v>95407</v>
          </cell>
          <cell r="B6465" t="str">
            <v>CURSO DE CAPACITAÇÃO PARA ENGENHEIRO ELETRICISTA (ENCARGOS COMPLEMENTARES) - HORISTA</v>
          </cell>
          <cell r="C6465" t="str">
            <v>H</v>
          </cell>
          <cell r="D6465">
            <v>2</v>
          </cell>
        </row>
        <row r="6466">
          <cell r="A6466">
            <v>95408</v>
          </cell>
          <cell r="B6466" t="str">
            <v>CURSO DE CAPACITAÇÃO  PARA MOTORISTA DE CAMINHÃO (ENCARGOS COMPLEMENTARES) - MENSALISTA</v>
          </cell>
          <cell r="C6466" t="str">
            <v>MES</v>
          </cell>
          <cell r="D6466">
            <v>5.64</v>
          </cell>
        </row>
        <row r="6467">
          <cell r="A6467">
            <v>95409</v>
          </cell>
          <cell r="B6467" t="str">
            <v>CURSO DE CAPACITAÇÃO PARA DESENHISTA DETALHISTA (ENCARGOS COMPLEMENTARES) - MENSALISTA</v>
          </cell>
          <cell r="C6467" t="str">
            <v>MES</v>
          </cell>
          <cell r="D6467">
            <v>10.66</v>
          </cell>
        </row>
        <row r="6468">
          <cell r="A6468">
            <v>95410</v>
          </cell>
          <cell r="B6468" t="str">
            <v>CURSO DE CAPACITAÇÃO PARA DESENHISTA COPISTA (ENCARGOS COMPLEMENTARES) - MENSALISTA</v>
          </cell>
          <cell r="C6468" t="str">
            <v>MES</v>
          </cell>
          <cell r="D6468">
            <v>8.0399999999999991</v>
          </cell>
        </row>
        <row r="6469">
          <cell r="A6469">
            <v>95411</v>
          </cell>
          <cell r="B6469" t="str">
            <v>CURSO DE CAPACITAÇÃO PARA DESENHISTA PROJETISTA (ENCARGOS COMPLEMENTARES) - MENSALISTA</v>
          </cell>
          <cell r="C6469" t="str">
            <v>MES</v>
          </cell>
          <cell r="D6469">
            <v>8.52</v>
          </cell>
        </row>
        <row r="6470">
          <cell r="A6470">
            <v>95412</v>
          </cell>
          <cell r="B6470" t="str">
            <v>CURSO DE CAPACITAÇÃO PARA AUXILIAR DE DESENHISTA (ENCARGOS COMPLEMENTARES) - MENSALISTA</v>
          </cell>
          <cell r="C6470" t="str">
            <v>MES</v>
          </cell>
          <cell r="D6470">
            <v>8.52</v>
          </cell>
        </row>
        <row r="6471">
          <cell r="A6471">
            <v>95413</v>
          </cell>
          <cell r="B6471" t="str">
            <v>CURSO DE CAPACITAÇÃO PARA ALMOXARIFE (ENCARGOS COMPLEMENTARES) - MENSALISTA</v>
          </cell>
          <cell r="C6471" t="str">
            <v>MES</v>
          </cell>
          <cell r="D6471">
            <v>7.09</v>
          </cell>
        </row>
        <row r="6472">
          <cell r="A6472">
            <v>95414</v>
          </cell>
          <cell r="B6472" t="str">
            <v>CURSO DE CAPACITAÇÃO PARA APONTADOR OU APROPRIADOR (ENCARGOS COMPLEMENTARES) - MENSALISTA</v>
          </cell>
          <cell r="C6472" t="str">
            <v>MES</v>
          </cell>
          <cell r="D6472">
            <v>28.3</v>
          </cell>
        </row>
        <row r="6473">
          <cell r="A6473">
            <v>95415</v>
          </cell>
          <cell r="B6473" t="str">
            <v>CURSO DE CAPACITAÇÃO PARA ENGENHEIRO CIVIL DE OBRA JÚNIOR (ENCARGOS COMPLEMENTARES) - MENSALISTA</v>
          </cell>
          <cell r="C6473" t="str">
            <v>MES</v>
          </cell>
          <cell r="D6473">
            <v>123.95</v>
          </cell>
        </row>
        <row r="6474">
          <cell r="A6474">
            <v>95416</v>
          </cell>
          <cell r="B6474" t="str">
            <v>CURSO DE CAPACITAÇÃO PARA AUXILIAR DE ESCRITÓRIO (ENCARGOS COMPLEMENTARES) - MENSALISTA</v>
          </cell>
          <cell r="C6474" t="str">
            <v>MES</v>
          </cell>
          <cell r="D6474">
            <v>5.71</v>
          </cell>
        </row>
        <row r="6475">
          <cell r="A6475">
            <v>95417</v>
          </cell>
          <cell r="B6475" t="str">
            <v>CURSO DE CAPACITAÇÃO PARA ENGENHEIRO CIVIL DE OBRA PLENO (ENCARGOS COMPLEMENTARES) - MENSALISTA</v>
          </cell>
          <cell r="C6475" t="str">
            <v>MES</v>
          </cell>
          <cell r="D6475">
            <v>141.08000000000001</v>
          </cell>
        </row>
        <row r="6476">
          <cell r="A6476">
            <v>95418</v>
          </cell>
          <cell r="B6476" t="str">
            <v>CURSO DE CAPACITAÇÃO PARA ENGENHEIRO CIVIL DE OBRA SÊNIOR (ENCARGOS COMPLEMENTARES) - MENSALISTA</v>
          </cell>
          <cell r="C6476" t="str">
            <v>MES</v>
          </cell>
          <cell r="D6476">
            <v>192.85</v>
          </cell>
        </row>
        <row r="6477">
          <cell r="A6477">
            <v>95419</v>
          </cell>
          <cell r="B6477" t="str">
            <v>CURSO DE CAPACITAÇÃO PARA ARQUITETO JÚNIOR (ENCARGOS COMPLEMENTARES) - MENSALISTA</v>
          </cell>
          <cell r="C6477" t="str">
            <v>MES</v>
          </cell>
          <cell r="D6477">
            <v>51.53</v>
          </cell>
        </row>
        <row r="6478">
          <cell r="A6478">
            <v>95420</v>
          </cell>
          <cell r="B6478" t="str">
            <v>CURSO DE CAPACITAÇÃO PARA ARQUITETO PLENO (ENCARGOS COMPLEMENTARES) - MENSALISTA</v>
          </cell>
          <cell r="C6478" t="str">
            <v>MES</v>
          </cell>
          <cell r="D6478">
            <v>73.2</v>
          </cell>
        </row>
        <row r="6479">
          <cell r="A6479">
            <v>95421</v>
          </cell>
          <cell r="B6479" t="str">
            <v>CURSO DE CAPACITAÇÃO PARA ARQUITETO SÊNIOR (ENCARGOS COMPLEMENTARES) - MENSALISTA</v>
          </cell>
          <cell r="C6479" t="str">
            <v>MES</v>
          </cell>
          <cell r="D6479">
            <v>96.78</v>
          </cell>
        </row>
        <row r="6480">
          <cell r="A6480">
            <v>95422</v>
          </cell>
          <cell r="B6480" t="str">
            <v>CURSO DE CAPACITAÇÃO PARA ENCARREGADO GERAL DE OBRAS (ENCARGOS COMPLEMENTARES) - MENSALISTA</v>
          </cell>
          <cell r="C6480" t="str">
            <v>MES</v>
          </cell>
          <cell r="D6480">
            <v>39.4</v>
          </cell>
        </row>
        <row r="6481">
          <cell r="A6481">
            <v>95423</v>
          </cell>
          <cell r="B6481" t="str">
            <v>CURSO DE CAPACITAÇÃO PARA MESTRE DE OBRAS (ENCARGOS COMPLEMENTARES) - MENSALISTA</v>
          </cell>
          <cell r="C6481" t="str">
            <v>MES</v>
          </cell>
          <cell r="D6481">
            <v>59.8</v>
          </cell>
        </row>
        <row r="6482">
          <cell r="A6482">
            <v>95424</v>
          </cell>
          <cell r="B6482" t="str">
            <v>CURSO DE CAPACITAÇÃO PARA TOPÓGRAFO (ENCARGOS COMPLEMENTARES) - MENSALISTA</v>
          </cell>
          <cell r="C6482" t="str">
            <v>MES</v>
          </cell>
          <cell r="D6482">
            <v>11.17</v>
          </cell>
        </row>
        <row r="6483">
          <cell r="A6483">
            <v>100288</v>
          </cell>
          <cell r="B6483" t="str">
            <v>CURSO DE CAPACITAÇÃO PARA VIGIA DIURNO (ENCARGOS COMPLEMENTARES) - HORISTA</v>
          </cell>
          <cell r="C6483" t="str">
            <v>H</v>
          </cell>
          <cell r="D6483">
            <v>0.04</v>
          </cell>
        </row>
        <row r="6484">
          <cell r="A6484">
            <v>100289</v>
          </cell>
          <cell r="B6484" t="str">
            <v>VIGIA DIURNO COM ENCARGOS COMPLEMENTARES</v>
          </cell>
          <cell r="C6484" t="str">
            <v>H</v>
          </cell>
          <cell r="D6484">
            <v>16.23</v>
          </cell>
        </row>
        <row r="6485">
          <cell r="A6485">
            <v>100290</v>
          </cell>
          <cell r="B6485" t="str">
            <v>CURSO DE CAPACITAÇÃO PARA AUXILIAR DE ALMOXARIFE (ENCARGOS COMPLEMENTARES) - HORISTA</v>
          </cell>
          <cell r="C6485" t="str">
            <v>H</v>
          </cell>
          <cell r="D6485">
            <v>0.03</v>
          </cell>
        </row>
        <row r="6486">
          <cell r="A6486">
            <v>100291</v>
          </cell>
          <cell r="B6486" t="str">
            <v>CURSO DE CAPACITAÇÃO PARA AJUDANTE DE PINTOR (ENCARGOS COMPLEMENTARES) - HORISTA</v>
          </cell>
          <cell r="C6486" t="str">
            <v>H</v>
          </cell>
          <cell r="D6486">
            <v>0.1</v>
          </cell>
        </row>
        <row r="6487">
          <cell r="A6487">
            <v>100292</v>
          </cell>
          <cell r="B6487" t="str">
            <v>CURSO DE CAPACITAÇÃO PARA COORDENADOR/GERENTE DE OBRA (ENCARGOS COMPLEMENTARES) - HORISTA</v>
          </cell>
          <cell r="C6487" t="str">
            <v>H</v>
          </cell>
          <cell r="D6487">
            <v>0.45</v>
          </cell>
        </row>
        <row r="6488">
          <cell r="A6488">
            <v>100293</v>
          </cell>
          <cell r="B6488" t="str">
            <v>CURSO DE CAPACITAÇÃO PARA AUXILIAR DE AZULEJISTA (ENCARGOS COMPLEMENTARES) - HORISTA</v>
          </cell>
          <cell r="C6488" t="str">
            <v>H</v>
          </cell>
          <cell r="D6488">
            <v>0.1</v>
          </cell>
        </row>
        <row r="6489">
          <cell r="A6489">
            <v>100294</v>
          </cell>
          <cell r="B6489" t="str">
            <v>CURSO DE CAPACITAÇÃO PARA ARQUITETO PAISAGISTA (ENCARGOS COMPLEMENTARES) - HORISTA</v>
          </cell>
          <cell r="C6489" t="str">
            <v>H</v>
          </cell>
          <cell r="D6489">
            <v>0.21</v>
          </cell>
        </row>
        <row r="6490">
          <cell r="A6490">
            <v>100295</v>
          </cell>
          <cell r="B6490" t="str">
            <v>CURSO DE CAPACITAÇÃO PARA MONTADOR DE ELETROELETRONICOS (ENCARGOS COMPLEMENTARES) - HORISTA</v>
          </cell>
          <cell r="C6490" t="str">
            <v>H</v>
          </cell>
          <cell r="D6490">
            <v>0.31</v>
          </cell>
        </row>
        <row r="6491">
          <cell r="A6491">
            <v>100296</v>
          </cell>
          <cell r="B6491" t="str">
            <v>CURSO DE CAPACITAÇÃO PARA ENGENHEIRO CIVIL JUNIOR (ENCARGOS COMPLEMENTARES) - HORISTA</v>
          </cell>
          <cell r="C6491" t="str">
            <v>H</v>
          </cell>
          <cell r="D6491">
            <v>0.71</v>
          </cell>
        </row>
        <row r="6492">
          <cell r="A6492">
            <v>100297</v>
          </cell>
          <cell r="B6492" t="str">
            <v>CURSO DE CAPACITAÇÃO PARA ENGENHEIRO CIVIL PLENO (ENCARGOS COMPLEMENTARES) - HORISTA</v>
          </cell>
          <cell r="C6492" t="str">
            <v>H</v>
          </cell>
          <cell r="D6492">
            <v>0.81</v>
          </cell>
        </row>
        <row r="6493">
          <cell r="A6493">
            <v>100298</v>
          </cell>
          <cell r="B6493" t="str">
            <v>CURSO DE CAPACITAÇÃO PARA MECÂNICO DE REFRIGERAÇÃO (ENCARGOS COMPLEMENTARES) - HORISTA</v>
          </cell>
          <cell r="C6493" t="str">
            <v>H</v>
          </cell>
          <cell r="D6493">
            <v>0.39</v>
          </cell>
        </row>
        <row r="6494">
          <cell r="A6494">
            <v>100299</v>
          </cell>
          <cell r="B6494" t="str">
            <v>CURSO DE CAPACITAÇÃO PARA TÉCNICO EM SEGURANÇA DO TRABALHO (ENCARGOS COMPLEMENTARES) - HORISTA</v>
          </cell>
          <cell r="C6494" t="str">
            <v>H</v>
          </cell>
          <cell r="D6494">
            <v>0.27</v>
          </cell>
        </row>
        <row r="6495">
          <cell r="A6495">
            <v>100300</v>
          </cell>
          <cell r="B6495" t="str">
            <v>AUXILIAR DE ALMOXARIFE COM ENCARGOS COMPLEMENTARES</v>
          </cell>
          <cell r="C6495" t="str">
            <v>H</v>
          </cell>
          <cell r="D6495">
            <v>12.44</v>
          </cell>
        </row>
        <row r="6496">
          <cell r="A6496">
            <v>100301</v>
          </cell>
          <cell r="B6496" t="str">
            <v>AJUDANTE DE PINTOR COM ENCARGOS COMPLEMENTARES</v>
          </cell>
          <cell r="C6496" t="str">
            <v>H</v>
          </cell>
          <cell r="D6496">
            <v>16.739999999999998</v>
          </cell>
        </row>
        <row r="6497">
          <cell r="A6497">
            <v>100302</v>
          </cell>
          <cell r="B6497" t="str">
            <v>COORDENADOR/GERENTE DE OBRA COM ENCARGOS COMPLEMENTARES</v>
          </cell>
          <cell r="C6497" t="str">
            <v>H</v>
          </cell>
          <cell r="D6497">
            <v>132.86000000000001</v>
          </cell>
        </row>
        <row r="6498">
          <cell r="A6498">
            <v>100303</v>
          </cell>
          <cell r="B6498" t="str">
            <v>AUXILIAR DE AZULEJISTA COM ENCARGOS COMPLEMENTARES</v>
          </cell>
          <cell r="C6498" t="str">
            <v>H</v>
          </cell>
          <cell r="D6498">
            <v>15.67</v>
          </cell>
        </row>
        <row r="6499">
          <cell r="A6499">
            <v>100304</v>
          </cell>
          <cell r="B6499" t="str">
            <v>ARQUITETO PAISAGISTA COM ENCARGOS COMPLEMENTARES</v>
          </cell>
          <cell r="C6499" t="str">
            <v>H</v>
          </cell>
          <cell r="D6499">
            <v>63.58</v>
          </cell>
        </row>
        <row r="6500">
          <cell r="A6500">
            <v>100305</v>
          </cell>
          <cell r="B6500" t="str">
            <v>ENGENHEIRO CIVIL JUNIOR COM ENCARGOS COMPLEMENTARES</v>
          </cell>
          <cell r="C6500" t="str">
            <v>H</v>
          </cell>
          <cell r="D6500">
            <v>92.65</v>
          </cell>
        </row>
        <row r="6501">
          <cell r="A6501">
            <v>100306</v>
          </cell>
          <cell r="B6501" t="str">
            <v>ENGENHEIRO CIVIL PLENO COM ENCARGOS COMPLEMENTARES</v>
          </cell>
          <cell r="C6501" t="str">
            <v>H</v>
          </cell>
          <cell r="D6501">
            <v>104.41</v>
          </cell>
        </row>
        <row r="6502">
          <cell r="A6502">
            <v>100307</v>
          </cell>
          <cell r="B6502" t="str">
            <v>MONTADOR DE ELETROELETRÔNICOS COM ENCARGOS COMPLEMENTARES</v>
          </cell>
          <cell r="C6502" t="str">
            <v>H</v>
          </cell>
          <cell r="D6502">
            <v>20.079999999999998</v>
          </cell>
        </row>
        <row r="6503">
          <cell r="A6503">
            <v>100308</v>
          </cell>
          <cell r="B6503" t="str">
            <v>MECÂNICO DE REFRIGERAÇÃO COM ENCARGOS COMPLEMENTARES</v>
          </cell>
          <cell r="C6503" t="str">
            <v>H</v>
          </cell>
          <cell r="D6503">
            <v>22.06</v>
          </cell>
        </row>
        <row r="6504">
          <cell r="A6504">
            <v>100309</v>
          </cell>
          <cell r="B6504" t="str">
            <v>TÉCNICO EM SEGURANÇA DO TRABALHO COM ENCARGOS COMPLEMENTARES</v>
          </cell>
          <cell r="C6504" t="str">
            <v>H</v>
          </cell>
          <cell r="D6504">
            <v>23.78</v>
          </cell>
        </row>
        <row r="6505">
          <cell r="A6505">
            <v>100310</v>
          </cell>
          <cell r="B6505" t="str">
            <v>CURSO DE CAPACITAÇÃO PARA AUXILIAR DE ALMOXARIFE (ENCARGOS COMPLEMENTARES) - MENSALISTA</v>
          </cell>
          <cell r="C6505" t="str">
            <v>MES</v>
          </cell>
          <cell r="D6505">
            <v>5.43</v>
          </cell>
        </row>
        <row r="6506">
          <cell r="A6506">
            <v>100311</v>
          </cell>
          <cell r="B6506" t="str">
            <v>CURSO DE CAPACITAÇÃO PARA COORDENADOR/GERENTE DE OBRA (ENCARGOS COMPLEMENTARES) - MENSALISTA</v>
          </cell>
          <cell r="C6506" t="str">
            <v>MES</v>
          </cell>
          <cell r="D6506">
            <v>62.89</v>
          </cell>
        </row>
        <row r="6507">
          <cell r="A6507">
            <v>100312</v>
          </cell>
          <cell r="B6507" t="str">
            <v>CURSO DE CAPACITAÇÃO PARA ARQUITETO PAISAGISTA (ENCARGOS COMPLEMENTARES) - MENSALISTA</v>
          </cell>
          <cell r="C6507" t="str">
            <v>MES</v>
          </cell>
          <cell r="D6507">
            <v>29.86</v>
          </cell>
        </row>
        <row r="6508">
          <cell r="A6508">
            <v>100313</v>
          </cell>
          <cell r="B6508" t="str">
            <v>CURSO DE CAPACITAÇÃO PARA ENGENHEIRO CIVIL JUNIOR (ENCARGOS COMPLEMENTARES) - MENSALISTA</v>
          </cell>
          <cell r="C6508" t="str">
            <v>MES</v>
          </cell>
          <cell r="D6508">
            <v>98.35</v>
          </cell>
        </row>
        <row r="6509">
          <cell r="A6509">
            <v>100314</v>
          </cell>
          <cell r="B6509" t="str">
            <v>CURSO DE CAPACITAÇÃO PARA ENGENHEIRO CIVIL PLENO (ENCARGOS COMPLEMENTARES) - MENSALISTA</v>
          </cell>
          <cell r="C6509" t="str">
            <v>MES</v>
          </cell>
          <cell r="D6509">
            <v>110.95</v>
          </cell>
        </row>
        <row r="6510">
          <cell r="A6510">
            <v>100315</v>
          </cell>
          <cell r="B6510" t="str">
            <v>CURSO DE CAPACITAÇÃO PARA TÉCNICO EM SEGURANÇA DO TRABALHO (ENCARGOS COMPLEMENTARES) - MENSALISTA</v>
          </cell>
          <cell r="C6510" t="str">
            <v>MES</v>
          </cell>
          <cell r="D6510">
            <v>37.83</v>
          </cell>
        </row>
        <row r="6511">
          <cell r="A6511">
            <v>100316</v>
          </cell>
          <cell r="B6511" t="str">
            <v>AUXILIAR DE ALMOXARIFE COM ENCARGOS COMPLEMENTARES</v>
          </cell>
          <cell r="C6511" t="str">
            <v>MES</v>
          </cell>
          <cell r="D6511">
            <v>2218.48</v>
          </cell>
        </row>
        <row r="6512">
          <cell r="A6512">
            <v>100317</v>
          </cell>
          <cell r="B6512" t="str">
            <v>COORDENADOR / GERENTE DE OBRA COM ENCARGOS COMPLEMENTARES</v>
          </cell>
          <cell r="C6512" t="str">
            <v>MES</v>
          </cell>
          <cell r="D6512">
            <v>23546.880000000001</v>
          </cell>
        </row>
        <row r="6513">
          <cell r="A6513">
            <v>100318</v>
          </cell>
          <cell r="B6513" t="str">
            <v>ARQUITETO PAISAGISTA COM ENCARGOS COMPLEMENTARES</v>
          </cell>
          <cell r="C6513" t="str">
            <v>MES</v>
          </cell>
          <cell r="D6513">
            <v>11278.97</v>
          </cell>
        </row>
        <row r="6514">
          <cell r="A6514">
            <v>100319</v>
          </cell>
          <cell r="B6514" t="str">
            <v>ENGENHEIRO CIVIL JUNIOR COM ENCARGOS COMPLEMENTARES</v>
          </cell>
          <cell r="C6514" t="str">
            <v>MES</v>
          </cell>
          <cell r="D6514">
            <v>16410.23</v>
          </cell>
        </row>
        <row r="6515">
          <cell r="A6515">
            <v>100320</v>
          </cell>
          <cell r="B6515" t="str">
            <v>ENGENHEIRO CIVIL PLENO COM ENCARGOS COMPLEMENTARES</v>
          </cell>
          <cell r="C6515" t="str">
            <v>MES</v>
          </cell>
          <cell r="D6515">
            <v>18489.79</v>
          </cell>
        </row>
        <row r="6516">
          <cell r="A6516">
            <v>100321</v>
          </cell>
          <cell r="B6516" t="str">
            <v>TÉCNICO EM SEGURANÇA DO TRABALHO COM ENCARGOS COMPLEMENTARES</v>
          </cell>
          <cell r="C6516" t="str">
            <v>MES</v>
          </cell>
          <cell r="D6516">
            <v>4220.68</v>
          </cell>
        </row>
        <row r="6517">
          <cell r="A6517">
            <v>100533</v>
          </cell>
          <cell r="B6517" t="str">
            <v>TECNICO DE EDIFICACOES COM ENCARGOS COMPLEMENTARES</v>
          </cell>
          <cell r="C6517" t="str">
            <v>H</v>
          </cell>
          <cell r="D6517">
            <v>14.83</v>
          </cell>
        </row>
        <row r="6518">
          <cell r="A6518">
            <v>100534</v>
          </cell>
          <cell r="B6518" t="str">
            <v>TECNICO DE EDIFICACOES COM ENCARGOS COMPLEMENTARES</v>
          </cell>
          <cell r="C6518" t="str">
            <v>MES</v>
          </cell>
          <cell r="D6518">
            <v>2646.05</v>
          </cell>
        </row>
        <row r="6519">
          <cell r="A6519">
            <v>100535</v>
          </cell>
          <cell r="B6519" t="str">
            <v>CURSO DE CAPACITAÇÃO PARA TECNICO DE EDIFICACOES (ENCARGOS COMPLEMENTARES) - HORISTA</v>
          </cell>
          <cell r="C6519" t="str">
            <v>H</v>
          </cell>
          <cell r="D6519">
            <v>0.16</v>
          </cell>
        </row>
        <row r="6520">
          <cell r="A6520">
            <v>100536</v>
          </cell>
          <cell r="B6520" t="str">
            <v>CURSO DE CAPACITAÇÃO PARA TECNICO DE EDIFICACOES (ENCARGOS COMPLEMENTARES) - MENSALISTA</v>
          </cell>
          <cell r="C6520" t="str">
            <v>MES</v>
          </cell>
          <cell r="D6520">
            <v>23.01</v>
          </cell>
        </row>
        <row r="6521">
          <cell r="A6521">
            <v>101284</v>
          </cell>
          <cell r="B6521" t="str">
            <v>CURSO DE CAPACITAÇÃO PARA ENGENHEIRO CIVIL SENIOR (ENCARGOS COMPLEMENTARES) - HORISTA</v>
          </cell>
          <cell r="C6521" t="str">
            <v>H</v>
          </cell>
          <cell r="D6521">
            <v>1.1100000000000001</v>
          </cell>
        </row>
        <row r="6522">
          <cell r="A6522">
            <v>101285</v>
          </cell>
          <cell r="B6522" t="str">
            <v>CURSO DE CAPACITAÇÃO PARA ENGENHEIRO SANITARISTA (ENCARGOS COMPLEMENTARES) - HORISTA</v>
          </cell>
          <cell r="C6522" t="str">
            <v>H</v>
          </cell>
          <cell r="D6522">
            <v>0.28999999999999998</v>
          </cell>
        </row>
        <row r="6523">
          <cell r="A6523">
            <v>101286</v>
          </cell>
          <cell r="B6523" t="str">
            <v>CURSO DE CAPACITAÇÃO PARA AJUDANTE DE ARMADOR (ENCARGOS COMPLEMENTARES) - MENSALISTA</v>
          </cell>
          <cell r="C6523" t="str">
            <v>MES</v>
          </cell>
          <cell r="D6523">
            <v>11.17</v>
          </cell>
        </row>
        <row r="6524">
          <cell r="A6524">
            <v>101287</v>
          </cell>
          <cell r="B6524" t="str">
            <v>CURSO DE CAPACITAÇÃO PARA AJUDANTE DE ELETRICISTA (ENCARGOS COMPLEMENTARES) - MENSALISTA</v>
          </cell>
          <cell r="C6524" t="str">
            <v>MES</v>
          </cell>
          <cell r="D6524">
            <v>37.840000000000003</v>
          </cell>
        </row>
        <row r="6525">
          <cell r="A6525">
            <v>101288</v>
          </cell>
          <cell r="B6525" t="str">
            <v>CURSO DE CAPACITAÇÃO PARA AJUDANTE DE ESTRUTURAS METÁLICAS(ENCARGOS COMPLEMENTARES) - MENSALISTA</v>
          </cell>
          <cell r="C6525" t="str">
            <v>MES</v>
          </cell>
          <cell r="D6525">
            <v>8.27</v>
          </cell>
        </row>
        <row r="6526">
          <cell r="A6526">
            <v>101289</v>
          </cell>
          <cell r="B6526" t="str">
            <v>CURSO DE CAPACITAÇÃO PARA AJUDANTE DE OPERAÇÃO EM GERAL (ENCARGOS COMPLEMENTARES) - MENSALISTA</v>
          </cell>
          <cell r="C6526" t="str">
            <v>MES</v>
          </cell>
          <cell r="D6526">
            <v>11.56</v>
          </cell>
        </row>
        <row r="6527">
          <cell r="A6527">
            <v>101290</v>
          </cell>
          <cell r="B6527" t="str">
            <v>CURSO DE CAPACITAÇÃO PARA AJUDANTE DE PINTOR (ENCARGOS COMPLEMENTARES) - MENSALISTA</v>
          </cell>
          <cell r="C6527" t="str">
            <v>MES</v>
          </cell>
          <cell r="D6527">
            <v>14.78</v>
          </cell>
        </row>
        <row r="6528">
          <cell r="A6528">
            <v>101291</v>
          </cell>
          <cell r="B6528" t="str">
            <v>CURSO DE CAPACITAÇÃO PARA AJUDANTE DE SERRALHEIRO (ENCARGOS COMPLEMENTARES) - MENSALISTA</v>
          </cell>
          <cell r="C6528" t="str">
            <v>MES</v>
          </cell>
          <cell r="D6528">
            <v>11.98</v>
          </cell>
        </row>
        <row r="6529">
          <cell r="A6529">
            <v>101292</v>
          </cell>
          <cell r="B6529" t="str">
            <v>CURSO DE CAPACITAÇÃO PARA AJUDANTE ESPECIALIZADO (ENCARGOS COMPLEMENTARES) - MENSALISTA</v>
          </cell>
          <cell r="C6529" t="str">
            <v>MES</v>
          </cell>
          <cell r="D6529">
            <v>15.46</v>
          </cell>
        </row>
        <row r="6530">
          <cell r="A6530">
            <v>101293</v>
          </cell>
          <cell r="B6530" t="str">
            <v>CURSO DE CAPACITAÇÃO PARA ARMADOR (ENCARGOS COMPLEMENTARES) - MENSALISTA</v>
          </cell>
          <cell r="C6530" t="str">
            <v>MES</v>
          </cell>
          <cell r="D6530">
            <v>16.02</v>
          </cell>
        </row>
        <row r="6531">
          <cell r="A6531">
            <v>101294</v>
          </cell>
          <cell r="B6531" t="str">
            <v>CURSO DE CAPACITAÇÃO PARA ASSENTADOR DE MANILHA (ENCARGOS COMPLEMENTARES) - MENSALISTA</v>
          </cell>
          <cell r="C6531" t="str">
            <v>MES</v>
          </cell>
          <cell r="D6531">
            <v>17.2</v>
          </cell>
        </row>
        <row r="6532">
          <cell r="A6532">
            <v>101295</v>
          </cell>
          <cell r="B6532" t="str">
            <v>CURSO DE CAPACITAÇÃO PARA AUXILIAR DE AZULEJISTA (ENCARGOS COMPLEMENTARES) - MENSALISTA</v>
          </cell>
          <cell r="C6532" t="str">
            <v>MES</v>
          </cell>
          <cell r="D6532">
            <v>14.93</v>
          </cell>
        </row>
        <row r="6533">
          <cell r="A6533">
            <v>101296</v>
          </cell>
          <cell r="B6533" t="str">
            <v>CURSO DE CAPACITAÇÃO PARA AUXILIAR DE ENCANADOR OU BOMBEIRO HIDRÁULICO (ENCARGOS COMPLEMENTARES) - MENSALISTA</v>
          </cell>
          <cell r="C6533" t="str">
            <v>MES</v>
          </cell>
          <cell r="D6533">
            <v>18.3</v>
          </cell>
        </row>
        <row r="6534">
          <cell r="A6534">
            <v>101297</v>
          </cell>
          <cell r="B6534" t="str">
            <v>CURSO DE CAPACITAÇÃO PARA AUXILIAR DE LABORATORISTA (ENCARGOS COMPLEMENTARES) - MENSALISTA</v>
          </cell>
          <cell r="C6534" t="str">
            <v>MES</v>
          </cell>
          <cell r="D6534">
            <v>15.85</v>
          </cell>
        </row>
        <row r="6535">
          <cell r="A6535">
            <v>101298</v>
          </cell>
          <cell r="B6535" t="str">
            <v>CURSO DE CAPACITAÇÃO PARA AUXILIAR DE MECANICO (ENCARGOS COMPLEMENTARES) - MENSALISTA</v>
          </cell>
          <cell r="C6535" t="str">
            <v>MES</v>
          </cell>
          <cell r="D6535">
            <v>10.039999999999999</v>
          </cell>
        </row>
        <row r="6536">
          <cell r="A6536">
            <v>101299</v>
          </cell>
          <cell r="B6536" t="str">
            <v>CURSO DE CAPACITAÇÃO PARA AUXILIAR DE PEDREIRO (ENCARGOS COMPLEMENTARES) - MENSALISTA</v>
          </cell>
          <cell r="C6536" t="str">
            <v>MES</v>
          </cell>
          <cell r="D6536">
            <v>15.22</v>
          </cell>
        </row>
        <row r="6537">
          <cell r="A6537">
            <v>101300</v>
          </cell>
          <cell r="B6537" t="str">
            <v>CURSO DE CAPACITAÇÃO PARA AUXILIAR DE SERVIÇOS GERAIS (ENCARGOS COMPLEMENTARES) - MENSALISTA</v>
          </cell>
          <cell r="C6537" t="str">
            <v>MES</v>
          </cell>
          <cell r="D6537">
            <v>12.83</v>
          </cell>
        </row>
        <row r="6538">
          <cell r="A6538">
            <v>101301</v>
          </cell>
          <cell r="B6538" t="str">
            <v>CURSO DE CAPACITAÇÃO PARA AUXILIAR DE TOPÓGRAFO (ENCARGOS COMPLEMENTARES) - MENSALISTA</v>
          </cell>
          <cell r="C6538" t="str">
            <v>MES</v>
          </cell>
          <cell r="D6538">
            <v>4.5599999999999996</v>
          </cell>
        </row>
        <row r="6539">
          <cell r="A6539">
            <v>101302</v>
          </cell>
          <cell r="B6539" t="str">
            <v>CURSO DE CAPACITAÇÃO PARA AUXILIAR TÉCNICO DE ENGENHARIA (ENCARGOS COMPLEMENTARES) - MENSALISTA</v>
          </cell>
          <cell r="C6539" t="str">
            <v>MES</v>
          </cell>
          <cell r="D6539">
            <v>18.059999999999999</v>
          </cell>
        </row>
        <row r="6540">
          <cell r="A6540">
            <v>101303</v>
          </cell>
          <cell r="B6540" t="str">
            <v>CURSO DE CAPACITAÇÃO PARA MONTADOR DE ELETROELETRONICOS(ENCARGOS COMPLEMENTARES) - MENSALISTA</v>
          </cell>
          <cell r="C6540" t="str">
            <v>MES</v>
          </cell>
          <cell r="D6540">
            <v>43.52</v>
          </cell>
        </row>
        <row r="6541">
          <cell r="A6541">
            <v>101304</v>
          </cell>
          <cell r="B6541" t="str">
            <v>CURSO DE CAPACITAÇÃO PARA AZULEJISTA OU LADRILHISTA (ENCARGOS COMPLEMENTARES) - MENSALISTA</v>
          </cell>
          <cell r="C6541" t="str">
            <v>MES</v>
          </cell>
          <cell r="D6541">
            <v>20.48</v>
          </cell>
        </row>
        <row r="6542">
          <cell r="A6542">
            <v>101305</v>
          </cell>
          <cell r="B6542" t="str">
            <v>CURSO DE CAPACITAÇÃO PARA BLASTER, DINAMITADOR OU CABO DE FORÇA (ENCARGOS COMPLEMENTARES) - MENSALISTA</v>
          </cell>
          <cell r="C6542" t="str">
            <v>MES</v>
          </cell>
          <cell r="D6542">
            <v>17.16</v>
          </cell>
        </row>
        <row r="6543">
          <cell r="A6543">
            <v>101306</v>
          </cell>
          <cell r="B6543" t="str">
            <v>CURSO DE CAPACITAÇÃO PARA CALAFETADOR (ENCARGOS COMPLEMENTARES) - MENSALISTA</v>
          </cell>
          <cell r="C6543" t="str">
            <v>MES</v>
          </cell>
          <cell r="D6543">
            <v>24.95</v>
          </cell>
        </row>
        <row r="6544">
          <cell r="A6544">
            <v>101307</v>
          </cell>
          <cell r="B6544" t="str">
            <v>CURSO DE CAPACITAÇÃO PARA CALCETEIRO (ENCARGOS COMPLEMENTARES) - MENSALISTA</v>
          </cell>
          <cell r="C6544" t="str">
            <v>MES</v>
          </cell>
          <cell r="D6544">
            <v>15.84</v>
          </cell>
        </row>
        <row r="6545">
          <cell r="A6545">
            <v>101308</v>
          </cell>
          <cell r="B6545" t="str">
            <v>CURSO DE CAPACITAÇÃO PARA MONTADOR DE ESTRUTURAS METALICAS (ENCARGOS COMPLEMENTARES) - MENSALISTA</v>
          </cell>
          <cell r="C6545" t="str">
            <v>MES</v>
          </cell>
          <cell r="D6545">
            <v>10.97</v>
          </cell>
        </row>
        <row r="6546">
          <cell r="A6546">
            <v>101309</v>
          </cell>
          <cell r="B6546" t="str">
            <v>CURSO DE CAPACITAÇÃO PARA CARPINTEIRO AUXILIAR (ENCARGOS COMPLEMENTARES) - MENSALISTA</v>
          </cell>
          <cell r="C6546" t="str">
            <v>MES</v>
          </cell>
          <cell r="D6546">
            <v>16.14</v>
          </cell>
        </row>
        <row r="6547">
          <cell r="A6547">
            <v>101310</v>
          </cell>
          <cell r="B6547" t="str">
            <v>CURSO DE CAPACITAÇÃO PARA CARPINTEIRO DE ESQUADRIAS (ENCARGOS COMPLEMENTARES) - MENSALISTA</v>
          </cell>
          <cell r="C6547" t="str">
            <v>MES</v>
          </cell>
          <cell r="D6547">
            <v>22.36</v>
          </cell>
        </row>
        <row r="6548">
          <cell r="A6548">
            <v>101311</v>
          </cell>
          <cell r="B6548" t="str">
            <v>CURSO DE CAPACITAÇÃO PARA CARPINTEIRO DE FORMAS (ENCARGOS COMPLEMENTARES) - MENSALISTA</v>
          </cell>
          <cell r="C6548" t="str">
            <v>MES</v>
          </cell>
          <cell r="D6548">
            <v>16.02</v>
          </cell>
        </row>
        <row r="6549">
          <cell r="A6549">
            <v>101312</v>
          </cell>
          <cell r="B6549" t="str">
            <v>CURSO DE CAPACITAÇÃO PARA CAVOUQUEIRO OU OPERADOR DE PERFURATRIZ (ENCARGOS COMPLEMENTARES) - MENSALISTA</v>
          </cell>
          <cell r="C6549" t="str">
            <v>MES</v>
          </cell>
          <cell r="D6549">
            <v>9.5299999999999994</v>
          </cell>
        </row>
        <row r="6550">
          <cell r="A6550">
            <v>101313</v>
          </cell>
          <cell r="B6550" t="str">
            <v>CURSO DE CAPACITAÇÃO PARA ELETRICISTA (ENCARGOS COMPLEMENTARES) - MENSALISTA</v>
          </cell>
          <cell r="C6550" t="str">
            <v>MES</v>
          </cell>
          <cell r="D6550">
            <v>53.8</v>
          </cell>
        </row>
        <row r="6551">
          <cell r="A6551">
            <v>101314</v>
          </cell>
          <cell r="B6551" t="str">
            <v>CURSO DE CAPACITAÇÃO PARA ELETRICISTA DE MANUTENÇÃO INDUSTRIAL (ENCARGOS COMPLEMENTARES) - MENSALISTA</v>
          </cell>
          <cell r="C6551" t="str">
            <v>MES</v>
          </cell>
          <cell r="D6551">
            <v>53.8</v>
          </cell>
        </row>
        <row r="6552">
          <cell r="A6552">
            <v>101315</v>
          </cell>
          <cell r="B6552" t="str">
            <v>CURSO DE CAPACITAÇÃO PARA ELETROTÉCNICO (ENCARGOS COMPLEMENTARES) - MENSALISTA</v>
          </cell>
          <cell r="C6552" t="str">
            <v>MES</v>
          </cell>
          <cell r="D6552">
            <v>45.05</v>
          </cell>
        </row>
        <row r="6553">
          <cell r="A6553">
            <v>101316</v>
          </cell>
          <cell r="B6553" t="str">
            <v>CURSO DE CAPACITAÇÃO PARA ENCANADOR OU BOMBEIRO HIDRÁULICO (ENCARGOS COMPLEMENTARES) - MENSALISTA</v>
          </cell>
          <cell r="C6553" t="str">
            <v>MES</v>
          </cell>
          <cell r="D6553">
            <v>25.81</v>
          </cell>
        </row>
        <row r="6554">
          <cell r="A6554">
            <v>101317</v>
          </cell>
          <cell r="B6554" t="str">
            <v>CURSO DE CAPACITAÇÃO PARA ENGENHEIRO CIVIL SENIOR (ENCARGOS COMPLEMENTARES) - MENSALISTA</v>
          </cell>
          <cell r="C6554" t="str">
            <v>MES</v>
          </cell>
          <cell r="D6554">
            <v>152.06</v>
          </cell>
        </row>
        <row r="6555">
          <cell r="A6555">
            <v>101318</v>
          </cell>
          <cell r="B6555" t="str">
            <v>CURSO DE CAPACITAÇÃO PARA ENGENHEIRO ELETRICISTA (ENCARGOS COMPLEMENTARES) - MENSALISTA</v>
          </cell>
          <cell r="C6555" t="str">
            <v>MES</v>
          </cell>
          <cell r="D6555">
            <v>274.35000000000002</v>
          </cell>
        </row>
        <row r="6556">
          <cell r="A6556">
            <v>101319</v>
          </cell>
          <cell r="B6556" t="str">
            <v>CURSO DE CAPACITAÇÃO PARA ENGENHEIRO SANITARISTA (ENCARGOS COMPLEMENTARES) - MENSALISTA</v>
          </cell>
          <cell r="C6556" t="str">
            <v>MES</v>
          </cell>
          <cell r="D6556">
            <v>40.520000000000003</v>
          </cell>
        </row>
        <row r="6557">
          <cell r="A6557">
            <v>101320</v>
          </cell>
          <cell r="B6557" t="str">
            <v>CURSO DE CAPACITAÇÃO PARA MONTADOR DE MAQUINAS (ENCARGOS COMPLEMENTARES) - MENSALISTA</v>
          </cell>
          <cell r="C6557" t="str">
            <v>MES</v>
          </cell>
          <cell r="D6557">
            <v>13.01</v>
          </cell>
        </row>
        <row r="6558">
          <cell r="A6558">
            <v>101321</v>
          </cell>
          <cell r="B6558" t="str">
            <v>CURSO DE CAPACITAÇÃO PARA ESTUCADOR (ENCARGOS COMPLEMENTARES) - MENSALISTA</v>
          </cell>
          <cell r="C6558" t="str">
            <v>MES</v>
          </cell>
          <cell r="D6558">
            <v>16.809999999999999</v>
          </cell>
        </row>
        <row r="6559">
          <cell r="A6559">
            <v>101322</v>
          </cell>
          <cell r="B6559" t="str">
            <v>CURSO DE CAPACITAÇÃO PARA GESSEIRO (ENCARGOS COMPLEMENTARES) - MENSALISTA</v>
          </cell>
          <cell r="C6559" t="str">
            <v>MES</v>
          </cell>
          <cell r="D6559">
            <v>16.02</v>
          </cell>
        </row>
        <row r="6560">
          <cell r="A6560">
            <v>101323</v>
          </cell>
          <cell r="B6560" t="str">
            <v>CURSO DE CAPACITAÇÃO PARA IMPERMEABILIZADOR (ENCARGOS COMPLEMENTARES) - MENSALISTA</v>
          </cell>
          <cell r="C6560" t="str">
            <v>MES</v>
          </cell>
          <cell r="D6560">
            <v>31.17</v>
          </cell>
        </row>
        <row r="6561">
          <cell r="A6561">
            <v>101324</v>
          </cell>
          <cell r="B6561" t="str">
            <v>CURSO DE CAPACITAÇÃO PARA MOTORISTA DE CAMINHAO-BASCULANTE (ENCARGOS COMPLEMENTARES) - MENSALISTA</v>
          </cell>
          <cell r="C6561" t="str">
            <v>MES</v>
          </cell>
          <cell r="D6561">
            <v>5.32</v>
          </cell>
        </row>
        <row r="6562">
          <cell r="A6562">
            <v>101325</v>
          </cell>
          <cell r="B6562" t="str">
            <v>CURSO DE CAPACITAÇÃO PARA INSTALADOR DE TUBULAÇÕES (ENCARGOS COMPLEMENTARES) - MENSALISTA</v>
          </cell>
          <cell r="C6562" t="str">
            <v>MES</v>
          </cell>
          <cell r="D6562">
            <v>15.21</v>
          </cell>
        </row>
        <row r="6563">
          <cell r="A6563">
            <v>101326</v>
          </cell>
          <cell r="B6563" t="str">
            <v>CURSO DE CAPACITAÇÃO PARA JARDINEIRO (ENCARGOS COMPLEMENTARES) - MENSALISTA</v>
          </cell>
          <cell r="C6563" t="str">
            <v>MES</v>
          </cell>
          <cell r="D6563">
            <v>6.86</v>
          </cell>
        </row>
        <row r="6564">
          <cell r="A6564">
            <v>101327</v>
          </cell>
          <cell r="B6564" t="str">
            <v>CURSO DE CAPACITAÇÃO PARA LEITURISTA OU CADASTRISTA DE REDES DE ÁGUA (ENCARGOS COMPLEMENTARES) - MENSALISTA</v>
          </cell>
          <cell r="C6564" t="str">
            <v>MES</v>
          </cell>
          <cell r="D6564">
            <v>4.6900000000000004</v>
          </cell>
        </row>
        <row r="6565">
          <cell r="A6565">
            <v>101328</v>
          </cell>
          <cell r="B6565" t="str">
            <v>CURSO DE CAPACITAÇÃO PARA MOTORISTA DE CAMINHAO-CARRETA (ENCARGOS COMPLEMENTARES) - MENSALISTA</v>
          </cell>
          <cell r="C6565" t="str">
            <v>MES</v>
          </cell>
          <cell r="D6565">
            <v>7.53</v>
          </cell>
        </row>
        <row r="6566">
          <cell r="A6566">
            <v>101329</v>
          </cell>
          <cell r="B6566" t="str">
            <v>CURSO DE CAPACITAÇÃO PARA MAÇARIQUEIRO (ENCARGOS COMPLEMENTARES) - MENSALISTA</v>
          </cell>
          <cell r="C6566" t="str">
            <v>MES</v>
          </cell>
          <cell r="D6566">
            <v>24.41</v>
          </cell>
        </row>
        <row r="6567">
          <cell r="A6567">
            <v>101330</v>
          </cell>
          <cell r="B6567" t="str">
            <v>CURSO DE CAPACITAÇÃO PARA MARCENEIRO (ENCARGOS COMPLEMENTARES) - MENSALISTA</v>
          </cell>
          <cell r="C6567" t="str">
            <v>MES</v>
          </cell>
          <cell r="D6567">
            <v>20.94</v>
          </cell>
        </row>
        <row r="6568">
          <cell r="A6568">
            <v>101331</v>
          </cell>
          <cell r="B6568" t="str">
            <v>CURSO DE CAPACITAÇÃO PARA MARMORISTA / GRANITEIRO (ENCARGOS COMPLEMENTARES) - MENSALISTA</v>
          </cell>
          <cell r="C6568" t="str">
            <v>MES</v>
          </cell>
          <cell r="D6568">
            <v>20.94</v>
          </cell>
        </row>
        <row r="6569">
          <cell r="A6569">
            <v>101332</v>
          </cell>
          <cell r="B6569" t="str">
            <v>CURSO DE CAPACITAÇÃO PARA MOTORISTA DE CARRO DE PASSEIO (ENCARGOS COMPLEMENTARES) - MENSALISTA</v>
          </cell>
          <cell r="C6569" t="str">
            <v>MES</v>
          </cell>
          <cell r="D6569">
            <v>5.22</v>
          </cell>
        </row>
        <row r="6570">
          <cell r="A6570">
            <v>101333</v>
          </cell>
          <cell r="B6570" t="str">
            <v>CURSO DE CAPACITAÇÃO PARA MECÂNICO DE EQUIPAMENTOS PESADOS (ENCARGOS COMPLEMENTARES) - MENSALISTA</v>
          </cell>
          <cell r="C6570" t="str">
            <v>MES</v>
          </cell>
          <cell r="D6570">
            <v>12.66</v>
          </cell>
        </row>
        <row r="6571">
          <cell r="A6571">
            <v>101334</v>
          </cell>
          <cell r="B6571" t="str">
            <v>CURSO DE CAPACITAÇÃO PARA MECÂNICO DE REFRIGERAÇÃO (ENCARGOS COMPLEMENTARES) - MENSALISTA</v>
          </cell>
          <cell r="C6571" t="str">
            <v>MES</v>
          </cell>
          <cell r="D6571">
            <v>43.97</v>
          </cell>
        </row>
        <row r="6572">
          <cell r="A6572">
            <v>101335</v>
          </cell>
          <cell r="B6572" t="str">
            <v>CURSO DE CAPACITAÇÃO PARA MOTORISTA DE ONIBUS / MICRO-ONIBUS (ENCARGOS COMPLEMENTARES) - MENSALISTA</v>
          </cell>
          <cell r="C6572" t="str">
            <v>MES</v>
          </cell>
          <cell r="D6572">
            <v>6.15</v>
          </cell>
        </row>
        <row r="6573">
          <cell r="A6573">
            <v>101336</v>
          </cell>
          <cell r="B6573" t="str">
            <v>CURSO DE CAPACITAÇÃO PARA MOTORISTA OPERADOR DE CAMINHAO COM MUNCK (ENCARGOS COMPLEMENTARES) - MENSALISTA</v>
          </cell>
          <cell r="C6573" t="str">
            <v>MES</v>
          </cell>
          <cell r="D6573">
            <v>21.27</v>
          </cell>
        </row>
        <row r="6574">
          <cell r="A6574">
            <v>101337</v>
          </cell>
          <cell r="B6574" t="str">
            <v>CURSO DE CAPACITAÇÃO PARA NIVELADOR (ENCARGOS COMPLEMENTARES) - MENSALISTA</v>
          </cell>
          <cell r="C6574" t="str">
            <v>MES</v>
          </cell>
          <cell r="D6574">
            <v>5.75</v>
          </cell>
        </row>
        <row r="6575">
          <cell r="A6575">
            <v>101338</v>
          </cell>
          <cell r="B6575" t="str">
            <v>CURSO DE CAPACITAÇÃO PARA OPERADOR DE BATE-ESTACAS (ENCARGOS COMPLEMENTARES) - MENSALISTA</v>
          </cell>
          <cell r="C6575" t="str">
            <v>MES</v>
          </cell>
          <cell r="D6575">
            <v>9.66</v>
          </cell>
        </row>
        <row r="6576">
          <cell r="A6576">
            <v>101339</v>
          </cell>
          <cell r="B6576" t="str">
            <v>CURSO DE CAPACITAÇÃO PARA OPERADOR DE BETONEIRA (ENCARGOS COMPLEMENTARES) - MENSALISTA</v>
          </cell>
          <cell r="C6576" t="str">
            <v>MES</v>
          </cell>
          <cell r="D6576">
            <v>8.2799999999999994</v>
          </cell>
        </row>
        <row r="6577">
          <cell r="A6577">
            <v>101340</v>
          </cell>
          <cell r="B6577" t="str">
            <v>CURSO DE CAPACITAÇÃO PARA OPERADOR DE BETONEIRA ESTACIONARIA / MISTURADOR (ENCARGOS COMPLEMENTARES) - MENSALISTA</v>
          </cell>
          <cell r="C6577" t="str">
            <v>MES</v>
          </cell>
          <cell r="D6577">
            <v>7.99</v>
          </cell>
        </row>
        <row r="6578">
          <cell r="A6578">
            <v>101341</v>
          </cell>
          <cell r="B6578" t="str">
            <v>CURSO DE CAPACITAÇÃO PARA OPERADOR DE COMPRESSOR DE AR OU COMPRESSORISTA (ENCARGOS COMPLEMENTARES) - MENSALISTA</v>
          </cell>
          <cell r="C6578" t="str">
            <v>MES</v>
          </cell>
          <cell r="D6578">
            <v>8.7100000000000009</v>
          </cell>
        </row>
        <row r="6579">
          <cell r="A6579">
            <v>101342</v>
          </cell>
          <cell r="B6579" t="str">
            <v>CURSO DE CAPACITAÇÃO PARA OPERADOR DE DEMARCADORA DE FAIXAS DE TRAFEGO (ENCARGOS COMPLEMENTARES) - MENSALISTA</v>
          </cell>
          <cell r="C6579" t="str">
            <v>MES</v>
          </cell>
          <cell r="D6579">
            <v>10.199999999999999</v>
          </cell>
        </row>
        <row r="6580">
          <cell r="A6580">
            <v>101343</v>
          </cell>
          <cell r="B6580" t="str">
            <v>CURSO DE CAPACITAÇÃO PARA OPERADOR DE ESCAVADEIRA (ENCARGOS COMPLEMENTARES) - MENSALISTA</v>
          </cell>
          <cell r="C6580" t="str">
            <v>MES</v>
          </cell>
          <cell r="D6580">
            <v>15.49</v>
          </cell>
        </row>
        <row r="6581">
          <cell r="A6581">
            <v>101344</v>
          </cell>
          <cell r="B6581" t="str">
            <v>CURSO DE CAPACITAÇÃO PARA OPERADOR DE GUINCHO OU GUINCHEIRO (ENCARGOS COMPLEMENTARES) - MENSALISTA</v>
          </cell>
          <cell r="C6581" t="str">
            <v>MES</v>
          </cell>
          <cell r="D6581">
            <v>15.89</v>
          </cell>
        </row>
        <row r="6582">
          <cell r="A6582">
            <v>101345</v>
          </cell>
          <cell r="B6582" t="str">
            <v>CURSO DE CAPACITAÇÃO PARA OPERADOR DE GUINDASTE (ENCARGOS COMPLEMENTARES) - MENSALISTA</v>
          </cell>
          <cell r="C6582" t="str">
            <v>MES</v>
          </cell>
          <cell r="D6582">
            <v>15.97</v>
          </cell>
        </row>
        <row r="6583">
          <cell r="A6583">
            <v>101346</v>
          </cell>
          <cell r="B6583" t="str">
            <v>CURSO DE CAPACITAÇÃO PARA OPERADOR DE JATO ABRASIVO OU JATISTA (ENCARGOS COMPLEMENTARES) - MENSALISTA</v>
          </cell>
          <cell r="C6583" t="str">
            <v>MES</v>
          </cell>
          <cell r="D6583">
            <v>13.86</v>
          </cell>
        </row>
        <row r="6584">
          <cell r="A6584">
            <v>101347</v>
          </cell>
          <cell r="B6584" t="str">
            <v>CURSO DE CAPACITAÇÃO PARA OPERADOR DE MAQUINAS E TRATORES DIVERSOS (ENCARGOS COMPLEMENTARES) - MENSALISTA</v>
          </cell>
          <cell r="C6584" t="str">
            <v>MES</v>
          </cell>
          <cell r="D6584">
            <v>11.8</v>
          </cell>
        </row>
        <row r="6585">
          <cell r="A6585">
            <v>101348</v>
          </cell>
          <cell r="B6585" t="str">
            <v>CURSO DE CAPACITAÇÃO PARA OPERADOR DE MARTELETE OU MARTELETEIRO (ENCARGOS COMPLEMENTARES) - MENSALISTA</v>
          </cell>
          <cell r="C6585" t="str">
            <v>MES</v>
          </cell>
          <cell r="D6585">
            <v>6.71</v>
          </cell>
        </row>
        <row r="6586">
          <cell r="A6586">
            <v>101349</v>
          </cell>
          <cell r="B6586" t="str">
            <v>CURSO DE CAPACITAÇÃO PARA OPERADOR DE MOTO SCRAPER (ENCARGOS COMPLEMENTARES) - MENSALISTA</v>
          </cell>
          <cell r="C6586" t="str">
            <v>MES</v>
          </cell>
          <cell r="D6586">
            <v>10.37</v>
          </cell>
        </row>
        <row r="6587">
          <cell r="A6587">
            <v>101350</v>
          </cell>
          <cell r="B6587" t="str">
            <v>CURSO DE CAPACITAÇÃO PARA OPERADOR DE MOTONIVELADORA (ENCARGOS COMPLEMENTARES) - MENSALISTA</v>
          </cell>
          <cell r="C6587" t="str">
            <v>MES</v>
          </cell>
          <cell r="D6587">
            <v>12.72</v>
          </cell>
        </row>
        <row r="6588">
          <cell r="A6588">
            <v>101351</v>
          </cell>
          <cell r="B6588" t="str">
            <v>CURSO DE CAPACITAÇÃO PARA OPERADOR DE PA CARREGADEIRA (ENCARGOS COMPLEMENTARES) - MENSALISTA</v>
          </cell>
          <cell r="C6588" t="str">
            <v>MES</v>
          </cell>
          <cell r="D6588">
            <v>9.2899999999999991</v>
          </cell>
        </row>
        <row r="6589">
          <cell r="A6589">
            <v>101352</v>
          </cell>
          <cell r="B6589" t="str">
            <v>CURSO DE CAPACITAÇÃO PARA OPERADOR DE PAVIMENTADORA / MESA VIBROACABADORA (ENCARGOS COMPLEMENTARES) - MENSALISTA</v>
          </cell>
          <cell r="C6589" t="str">
            <v>MES</v>
          </cell>
          <cell r="D6589">
            <v>10.71</v>
          </cell>
        </row>
        <row r="6590">
          <cell r="A6590">
            <v>101353</v>
          </cell>
          <cell r="B6590" t="str">
            <v>CURSO DE CAPACITAÇÃO PARA OPERADOR DE ROLO COMPACTADOR (ENCARGOS COMPLEMENTARES) - MENSALISTA</v>
          </cell>
          <cell r="C6590" t="str">
            <v>MES</v>
          </cell>
          <cell r="D6590">
            <v>8.51</v>
          </cell>
        </row>
        <row r="6591">
          <cell r="A6591">
            <v>101354</v>
          </cell>
          <cell r="B6591" t="str">
            <v>CURSO DE CAPACITAÇÃO PARA OPERADOR DE TRATOR - EXCLUSIVE AGROPECUARIA (ENCARGOS COMPLEMENTARES) - MENSALISTA</v>
          </cell>
          <cell r="C6591" t="str">
            <v>MES</v>
          </cell>
          <cell r="D6591">
            <v>11.9</v>
          </cell>
        </row>
        <row r="6592">
          <cell r="A6592">
            <v>101355</v>
          </cell>
          <cell r="B6592" t="str">
            <v>CURSO DE CAPACITAÇÃO PARA OPERADOR DE USINA DE ASFALTO, DE SOLOS OU DE CONCRETO (ENCARGOS COMPLEMENTARES) - MENSALISTA</v>
          </cell>
          <cell r="C6592" t="str">
            <v>MES</v>
          </cell>
          <cell r="D6592">
            <v>9.19</v>
          </cell>
        </row>
        <row r="6593">
          <cell r="A6593">
            <v>101356</v>
          </cell>
          <cell r="B6593" t="str">
            <v>CURSO DE CAPACITAÇÃO PARA PASTILHEIRO (ENCARGOS COMPLEMENTARES) - MENSALISTA</v>
          </cell>
          <cell r="C6593" t="str">
            <v>MES</v>
          </cell>
          <cell r="D6593">
            <v>23.89</v>
          </cell>
        </row>
        <row r="6594">
          <cell r="A6594">
            <v>101357</v>
          </cell>
          <cell r="B6594" t="str">
            <v>CURSO DE CAPACITAÇÃO PARA PEDREIRO (ENCARGOS COMPLEMENTARES) - MENSALISTA</v>
          </cell>
          <cell r="C6594" t="str">
            <v>MES</v>
          </cell>
          <cell r="D6594">
            <v>29.41</v>
          </cell>
        </row>
        <row r="6595">
          <cell r="A6595">
            <v>101358</v>
          </cell>
          <cell r="B6595" t="str">
            <v>CURSO DE CAPACITAÇÃO PARA PINTOR (ENCARGOS COMPLEMENTARES) - MENSALISTA</v>
          </cell>
          <cell r="C6595" t="str">
            <v>MES</v>
          </cell>
          <cell r="D6595">
            <v>20.48</v>
          </cell>
        </row>
        <row r="6596">
          <cell r="A6596">
            <v>101359</v>
          </cell>
          <cell r="B6596" t="str">
            <v>CURSO DE CAPACITAÇÃO PARA PINTOR DE LETREIROS (ENCARGOS COMPLEMENTARES) - MENSALISTA</v>
          </cell>
          <cell r="C6596" t="str">
            <v>MES</v>
          </cell>
          <cell r="D6596">
            <v>23.61</v>
          </cell>
        </row>
        <row r="6597">
          <cell r="A6597">
            <v>101360</v>
          </cell>
          <cell r="B6597" t="str">
            <v>CURSO DE CAPACITAÇÃO PARA PINTOR PARA TINTA EPOXI (ENCARGOS COMPLEMENTARES) - MENSALISTA</v>
          </cell>
          <cell r="C6597" t="str">
            <v>MES</v>
          </cell>
          <cell r="D6597">
            <v>22.03</v>
          </cell>
        </row>
        <row r="6598">
          <cell r="A6598">
            <v>101361</v>
          </cell>
          <cell r="B6598" t="str">
            <v>CURSO DE CAPACITAÇÃO PARA POCEIRO / ESCAVADOR DE VALAS E TUBULOES (ENCARGOS COMPLEMENTARES) - MENSALISTA</v>
          </cell>
          <cell r="C6598" t="str">
            <v>MES</v>
          </cell>
          <cell r="D6598">
            <v>20.45</v>
          </cell>
        </row>
        <row r="6599">
          <cell r="A6599">
            <v>101362</v>
          </cell>
          <cell r="B6599" t="str">
            <v>CURSO DE CAPACITAÇÃO PARA RASTELEIRO (ENCARGOS COMPLEMENTARES) - MENSALISTA</v>
          </cell>
          <cell r="C6599" t="str">
            <v>MES</v>
          </cell>
          <cell r="D6599">
            <v>4.4400000000000004</v>
          </cell>
        </row>
        <row r="6600">
          <cell r="A6600">
            <v>101363</v>
          </cell>
          <cell r="B6600" t="str">
            <v>CURSO DE CAPACITAÇÃO PARA SERRALHEIRO (ENCARGOS COMPLEMENTARES) - MENSALISTA</v>
          </cell>
          <cell r="C6600" t="str">
            <v>MES</v>
          </cell>
          <cell r="D6600">
            <v>16.02</v>
          </cell>
        </row>
        <row r="6601">
          <cell r="A6601">
            <v>101364</v>
          </cell>
          <cell r="B6601" t="str">
            <v>CURSO DE CAPACITAÇÃO PARA SERVENTE DE OBRAS (ENCARGOS COMPLEMENTARES) - MENSALISTA</v>
          </cell>
          <cell r="C6601" t="str">
            <v>MES</v>
          </cell>
          <cell r="D6601">
            <v>21.88</v>
          </cell>
        </row>
        <row r="6602">
          <cell r="A6602">
            <v>101365</v>
          </cell>
          <cell r="B6602" t="str">
            <v>CURSO DE CAPACITAÇÃO PARA SOLDADOR (ENCARGOS COMPLEMENTARES) - MENSALISTA</v>
          </cell>
          <cell r="C6602" t="str">
            <v>MES</v>
          </cell>
          <cell r="D6602">
            <v>15.49</v>
          </cell>
        </row>
        <row r="6603">
          <cell r="A6603">
            <v>101366</v>
          </cell>
          <cell r="B6603" t="str">
            <v>CURSO DE CAPACITAÇÃO PARA SOLDADOR ELETRICO (ENCARGOS COMPLEMENTARES) - MENSALISTA</v>
          </cell>
          <cell r="C6603" t="str">
            <v>MES</v>
          </cell>
          <cell r="D6603">
            <v>20.76</v>
          </cell>
        </row>
        <row r="6604">
          <cell r="A6604">
            <v>101367</v>
          </cell>
          <cell r="B6604" t="str">
            <v>CURSO DE CAPACITAÇÃO PARA TAQUEADOR OU TAQUEIRO (ENCARGOS COMPLEMENTARES) - MENSALISTA</v>
          </cell>
          <cell r="C6604" t="str">
            <v>MES</v>
          </cell>
          <cell r="D6604">
            <v>19.66</v>
          </cell>
        </row>
        <row r="6605">
          <cell r="A6605">
            <v>101368</v>
          </cell>
          <cell r="B6605" t="str">
            <v>CURSO DE CAPACITAÇÃO PARA TECNICO EM LABORATORIO E CAMPO DE CONSTRUCAO CIVIL (ENCARGOS COMPLEMENTARES) - MENSALISTA</v>
          </cell>
          <cell r="C6605" t="str">
            <v>MES</v>
          </cell>
          <cell r="D6605">
            <v>16.63</v>
          </cell>
        </row>
        <row r="6606">
          <cell r="A6606">
            <v>101369</v>
          </cell>
          <cell r="B6606" t="str">
            <v>CURSO DE CAPACITAÇÃO PARA TECNICO EM SONDAGEM (ENCARGOS COMPLEMENTARES) - MENSALISTA</v>
          </cell>
          <cell r="C6606" t="str">
            <v>MES</v>
          </cell>
          <cell r="D6606">
            <v>20.54</v>
          </cell>
        </row>
        <row r="6607">
          <cell r="A6607">
            <v>101370</v>
          </cell>
          <cell r="B6607" t="str">
            <v>CURSO DE CAPACITAÇÃO PARA TELHADOR (ENCARGOS COMPLEMENTARES) - MENSALISTA</v>
          </cell>
          <cell r="C6607" t="str">
            <v>MES</v>
          </cell>
          <cell r="D6607">
            <v>17.489999999999998</v>
          </cell>
        </row>
        <row r="6608">
          <cell r="A6608">
            <v>101371</v>
          </cell>
          <cell r="B6608" t="str">
            <v>CURSO DE CAPACITAÇÃO PARA VIDRACEIRO (ENCARGOS COMPLEMENTARES) - MENSALISTA</v>
          </cell>
          <cell r="C6608" t="str">
            <v>MES</v>
          </cell>
          <cell r="D6608">
            <v>19.63</v>
          </cell>
        </row>
        <row r="6609">
          <cell r="A6609">
            <v>101372</v>
          </cell>
          <cell r="B6609" t="str">
            <v>CURSO DE CAPACITAÇÃO PARA VIGIA DIURNO (ENCARGOS COMPLEMENTARES) - MENSALISTA</v>
          </cell>
          <cell r="C6609" t="str">
            <v>MES</v>
          </cell>
          <cell r="D6609">
            <v>5.49</v>
          </cell>
        </row>
        <row r="6610">
          <cell r="A6610">
            <v>101373</v>
          </cell>
          <cell r="B6610" t="str">
            <v>ENGENHEIRO CIVIL SENIOR COM ENCARGOS COMPLEMENTARES</v>
          </cell>
          <cell r="C6610" t="str">
            <v>H</v>
          </cell>
          <cell r="D6610">
            <v>142.72999999999999</v>
          </cell>
        </row>
        <row r="6611">
          <cell r="A6611">
            <v>101374</v>
          </cell>
          <cell r="B6611" t="str">
            <v>AJUDANTE DE ARMADOR COM ENCARGOS COMPLEMENTARES</v>
          </cell>
          <cell r="C6611" t="str">
            <v>MES</v>
          </cell>
          <cell r="D6611">
            <v>2747.89</v>
          </cell>
        </row>
        <row r="6612">
          <cell r="A6612">
            <v>101375</v>
          </cell>
          <cell r="B6612" t="str">
            <v>AJUDANTE DE ELETRICISTA COM ENCARGOS COMPLEMENTARES</v>
          </cell>
          <cell r="C6612" t="str">
            <v>MES</v>
          </cell>
          <cell r="D6612">
            <v>2856.01</v>
          </cell>
        </row>
        <row r="6613">
          <cell r="A6613">
            <v>101376</v>
          </cell>
          <cell r="B6613" t="str">
            <v>AJUDANTE DE ESTRUTURAS METÁLICAS COM ENCARGOS COMPLEMENTARES</v>
          </cell>
          <cell r="C6613" t="str">
            <v>MES</v>
          </cell>
          <cell r="D6613">
            <v>2118.7600000000002</v>
          </cell>
        </row>
        <row r="6614">
          <cell r="A6614">
            <v>101377</v>
          </cell>
          <cell r="B6614" t="str">
            <v>AJUDANTE DE OPERAÇÃO EM GERAL COM ENCARGOS COMPLEMENTARES</v>
          </cell>
          <cell r="C6614" t="str">
            <v>MES</v>
          </cell>
          <cell r="D6614">
            <v>2811.98</v>
          </cell>
        </row>
        <row r="6615">
          <cell r="A6615">
            <v>101378</v>
          </cell>
          <cell r="B6615" t="str">
            <v>AJUDANTE DE PINTOR COM ENCARGOS COMPLEMENTARES</v>
          </cell>
          <cell r="C6615" t="str">
            <v>MES</v>
          </cell>
          <cell r="D6615">
            <v>3034.37</v>
          </cell>
        </row>
        <row r="6616">
          <cell r="A6616">
            <v>101379</v>
          </cell>
          <cell r="B6616" t="str">
            <v>AJUDANTE DE SERRALHEIRO COM ENCARGOS COMPLEMENTARES</v>
          </cell>
          <cell r="C6616" t="str">
            <v>MES</v>
          </cell>
          <cell r="D6616">
            <v>2881.71</v>
          </cell>
        </row>
        <row r="6617">
          <cell r="A6617">
            <v>101380</v>
          </cell>
          <cell r="B6617" t="str">
            <v>AJUDANTE ESPECIALIZADO COM ENCARGOS COMPLEMENTARES</v>
          </cell>
          <cell r="C6617" t="str">
            <v>MES</v>
          </cell>
          <cell r="D6617">
            <v>3443.07</v>
          </cell>
        </row>
        <row r="6618">
          <cell r="A6618">
            <v>101381</v>
          </cell>
          <cell r="B6618" t="str">
            <v>ARMADOR COM ENCARGOS COMPLEMENTARES</v>
          </cell>
          <cell r="C6618" t="str">
            <v>MES</v>
          </cell>
          <cell r="D6618">
            <v>3547.07</v>
          </cell>
        </row>
        <row r="6619">
          <cell r="A6619">
            <v>101382</v>
          </cell>
          <cell r="B6619" t="str">
            <v>ASSENTADOR DE MANILHAS COM ENCARGOS COMPLEMENTARES</v>
          </cell>
          <cell r="C6619" t="str">
            <v>MES</v>
          </cell>
          <cell r="D6619">
            <v>2976.03</v>
          </cell>
        </row>
        <row r="6620">
          <cell r="A6620">
            <v>101383</v>
          </cell>
          <cell r="B6620" t="str">
            <v>AUXILIAR DE AZULEJISTA COM ENCARGOS COMPLEMENTARES</v>
          </cell>
          <cell r="C6620" t="str">
            <v>MES</v>
          </cell>
          <cell r="D6620">
            <v>2834.07</v>
          </cell>
        </row>
        <row r="6621">
          <cell r="A6621">
            <v>101384</v>
          </cell>
          <cell r="B6621" t="str">
            <v>AUXILIAR DE ENCANADOR OU BOMBEIRO HIDRÁULICO COM ENCARGOS COMPLEMENTARES</v>
          </cell>
          <cell r="C6621" t="str">
            <v>MES</v>
          </cell>
          <cell r="D6621">
            <v>2774.96</v>
          </cell>
        </row>
        <row r="6622">
          <cell r="A6622">
            <v>101385</v>
          </cell>
          <cell r="B6622" t="str">
            <v>AUXILIAR DE LABORATORISTA DE SOLOS E DE CONCRETO COM ENCARGOS COMPLEMENTARES</v>
          </cell>
          <cell r="C6622" t="str">
            <v>MES</v>
          </cell>
          <cell r="D6622">
            <v>3820.13</v>
          </cell>
        </row>
        <row r="6623">
          <cell r="A6623">
            <v>101386</v>
          </cell>
          <cell r="B6623" t="str">
            <v>AUXILIAR DE MECÂNICO COM ENCARGOS COMPLEMENTARES</v>
          </cell>
          <cell r="C6623" t="str">
            <v>MES</v>
          </cell>
          <cell r="D6623">
            <v>2409.71</v>
          </cell>
        </row>
        <row r="6624">
          <cell r="A6624">
            <v>101387</v>
          </cell>
          <cell r="B6624" t="str">
            <v>AUXILIAR DE PEDREIRO COM ENCARGOS COMPLEMENTARES</v>
          </cell>
          <cell r="C6624" t="str">
            <v>MES</v>
          </cell>
          <cell r="D6624">
            <v>2871.33</v>
          </cell>
        </row>
        <row r="6625">
          <cell r="A6625">
            <v>101388</v>
          </cell>
          <cell r="B6625" t="str">
            <v>AUXILIAR DE SERVIÇOS GERAIS COM ENCARGOS COMPLEMENTARES</v>
          </cell>
          <cell r="C6625" t="str">
            <v>MES</v>
          </cell>
          <cell r="D6625">
            <v>3008.11</v>
          </cell>
        </row>
        <row r="6626">
          <cell r="A6626">
            <v>101389</v>
          </cell>
          <cell r="B6626" t="str">
            <v>AUXILIAR DE TOPÓGRAFO COM ENCARGOS COMPLEMENTARES</v>
          </cell>
          <cell r="C6626" t="str">
            <v>MES</v>
          </cell>
          <cell r="D6626">
            <v>1233.72</v>
          </cell>
        </row>
        <row r="6627">
          <cell r="A6627">
            <v>101390</v>
          </cell>
          <cell r="B6627" t="str">
            <v>AUXILIAR TÉCNICO / ASSISTENTE DE ENGENHARIA COM ENCARGOS COMPLEMENTARES</v>
          </cell>
          <cell r="C6627" t="str">
            <v>MES</v>
          </cell>
          <cell r="D6627">
            <v>4312.28</v>
          </cell>
        </row>
        <row r="6628">
          <cell r="A6628">
            <v>101391</v>
          </cell>
          <cell r="B6628" t="str">
            <v>AZULEJISTA OU LADRILHEIRO COM ENCARGOS COMPLEMENTARES</v>
          </cell>
          <cell r="C6628" t="str">
            <v>MES</v>
          </cell>
          <cell r="D6628">
            <v>3551.53</v>
          </cell>
        </row>
        <row r="6629">
          <cell r="A6629">
            <v>101392</v>
          </cell>
          <cell r="B6629" t="str">
            <v>BLASTER, DINAMITADOR OU CABO DE FORÇA COM ENCARGOS COMPLEMENTARES</v>
          </cell>
          <cell r="C6629" t="str">
            <v>MES</v>
          </cell>
          <cell r="D6629">
            <v>2576.79</v>
          </cell>
        </row>
        <row r="6630">
          <cell r="A6630">
            <v>101393</v>
          </cell>
          <cell r="B6630" t="str">
            <v>CALAFETADOR / CALAFATE COM ENCARGOS COMPLEMENTARES</v>
          </cell>
          <cell r="C6630" t="str">
            <v>MES</v>
          </cell>
          <cell r="D6630">
            <v>4129.25</v>
          </cell>
        </row>
        <row r="6631">
          <cell r="A6631">
            <v>101394</v>
          </cell>
          <cell r="B6631" t="str">
            <v>CALCETEIRO COM ENCARGOS COMPLEMENTARES</v>
          </cell>
          <cell r="C6631" t="str">
            <v>MES</v>
          </cell>
          <cell r="D6631">
            <v>3517.76</v>
          </cell>
        </row>
        <row r="6632">
          <cell r="A6632">
            <v>101395</v>
          </cell>
          <cell r="B6632" t="str">
            <v>CARPINTEIRO AUXILIAR COM ENCARGOS COMPLEMENTARES</v>
          </cell>
          <cell r="C6632" t="str">
            <v>MES</v>
          </cell>
          <cell r="D6632">
            <v>2981.59</v>
          </cell>
        </row>
        <row r="6633">
          <cell r="A6633">
            <v>101396</v>
          </cell>
          <cell r="B6633" t="str">
            <v>CARPINTEIRO DE ESQUADRIAS COM ENCARGOS COMPLEMENTARES</v>
          </cell>
          <cell r="C6633" t="str">
            <v>MES</v>
          </cell>
          <cell r="D6633">
            <v>3786.43</v>
          </cell>
        </row>
        <row r="6634">
          <cell r="A6634">
            <v>101397</v>
          </cell>
          <cell r="B6634" t="str">
            <v>CARPINTEIRO DE FORMAS COM ENCARGOS COMPLEMENTARES</v>
          </cell>
          <cell r="C6634" t="str">
            <v>MES</v>
          </cell>
          <cell r="D6634">
            <v>3538.67</v>
          </cell>
        </row>
        <row r="6635">
          <cell r="A6635">
            <v>101398</v>
          </cell>
          <cell r="B6635" t="str">
            <v>CAVOUQUEIRO OU OPERADOR DE PERFURATRIZ COM ENCARGOS COMPLEMENTARES</v>
          </cell>
          <cell r="C6635" t="str">
            <v>MES</v>
          </cell>
          <cell r="D6635">
            <v>2325.66</v>
          </cell>
        </row>
        <row r="6636">
          <cell r="A6636">
            <v>101399</v>
          </cell>
          <cell r="B6636" t="str">
            <v>ELETRICISTA COM ENCARGOS COMPLEMENTARES</v>
          </cell>
          <cell r="C6636" t="str">
            <v>MES</v>
          </cell>
          <cell r="D6636">
            <v>3677.77</v>
          </cell>
        </row>
        <row r="6637">
          <cell r="A6637">
            <v>101400</v>
          </cell>
          <cell r="B6637" t="str">
            <v>ELETRICISTA DE MANUTENÇÃO INDUSTRIAL COM ENCARGOS COMPLEMENTARES</v>
          </cell>
          <cell r="C6637" t="str">
            <v>MES</v>
          </cell>
          <cell r="D6637">
            <v>3677.77</v>
          </cell>
        </row>
        <row r="6638">
          <cell r="A6638">
            <v>101401</v>
          </cell>
          <cell r="B6638" t="str">
            <v>ELETROTÉCNICO COM ENCARGOS COMPLEMENTARES</v>
          </cell>
          <cell r="C6638" t="str">
            <v>MES</v>
          </cell>
          <cell r="D6638">
            <v>3699.22</v>
          </cell>
        </row>
        <row r="6639">
          <cell r="A6639">
            <v>101402</v>
          </cell>
          <cell r="B6639" t="str">
            <v>ENCANADOR OU BOMBEIRO HIDRÁULICO COM ENCARGOS COMPLEMENTARES</v>
          </cell>
          <cell r="C6639" t="str">
            <v>MES</v>
          </cell>
          <cell r="D6639">
            <v>3573.22</v>
          </cell>
        </row>
        <row r="6640">
          <cell r="A6640">
            <v>101403</v>
          </cell>
          <cell r="B6640" t="str">
            <v>ENGENHEIRO CIVIL SENIOR COM ENCARGOS COMPLEMENTARES</v>
          </cell>
          <cell r="C6640" t="str">
            <v>MES</v>
          </cell>
          <cell r="D6640">
            <v>25268.63</v>
          </cell>
        </row>
        <row r="6641">
          <cell r="A6641">
            <v>101404</v>
          </cell>
          <cell r="B6641" t="str">
            <v>ENGENHEIRO ELETRICISTA COM ENCARGOS COMPLEMENTARES</v>
          </cell>
          <cell r="C6641" t="str">
            <v>MES</v>
          </cell>
          <cell r="D6641">
            <v>15620.83</v>
          </cell>
        </row>
        <row r="6642">
          <cell r="A6642">
            <v>101405</v>
          </cell>
          <cell r="B6642" t="str">
            <v>ENGENHEIRO SANITARISTA COM ENCARGOS COMPLEMENTARES</v>
          </cell>
          <cell r="C6642" t="str">
            <v>MES</v>
          </cell>
          <cell r="D6642">
            <v>15237.72</v>
          </cell>
        </row>
        <row r="6643">
          <cell r="A6643">
            <v>101406</v>
          </cell>
          <cell r="B6643" t="str">
            <v>ESTUCADOR COM ENCARGOS COMPLEMENTARES</v>
          </cell>
          <cell r="C6643" t="str">
            <v>MES</v>
          </cell>
          <cell r="D6643">
            <v>3677.13</v>
          </cell>
        </row>
        <row r="6644">
          <cell r="A6644">
            <v>101407</v>
          </cell>
          <cell r="B6644" t="str">
            <v>GESSEIRO COM ENCARGOS COMPLEMENTARES</v>
          </cell>
          <cell r="C6644" t="str">
            <v>MES</v>
          </cell>
          <cell r="D6644">
            <v>3547.07</v>
          </cell>
        </row>
        <row r="6645">
          <cell r="A6645">
            <v>101408</v>
          </cell>
          <cell r="B6645" t="str">
            <v>IMPERMEABILIZADOR COM ENCARGOS COMPLEMENTARES</v>
          </cell>
          <cell r="C6645" t="str">
            <v>MES</v>
          </cell>
          <cell r="D6645">
            <v>3719.21</v>
          </cell>
        </row>
        <row r="6646">
          <cell r="A6646">
            <v>101409</v>
          </cell>
          <cell r="B6646" t="str">
            <v>INSTALADOR DE TUBULAÇÕES COM ENCARGOS COMPLEMENTARES</v>
          </cell>
          <cell r="C6646" t="str">
            <v>MES</v>
          </cell>
          <cell r="D6646">
            <v>2719.55</v>
          </cell>
        </row>
        <row r="6647">
          <cell r="A6647">
            <v>101410</v>
          </cell>
          <cell r="B6647" t="str">
            <v>JARDINEIRO COM ENCARGOS COMPLEMENTARES</v>
          </cell>
          <cell r="C6647" t="str">
            <v>MES</v>
          </cell>
          <cell r="D6647">
            <v>3453.6</v>
          </cell>
        </row>
        <row r="6648">
          <cell r="A6648">
            <v>101411</v>
          </cell>
          <cell r="B6648" t="str">
            <v>LEITURISTA OU CADASTRISTA DE REDES DE ÁGUA COM ENCARGOS COMPLEMENTARES</v>
          </cell>
          <cell r="C6648" t="str">
            <v>MES</v>
          </cell>
          <cell r="D6648">
            <v>1945.35</v>
          </cell>
        </row>
        <row r="6649">
          <cell r="A6649">
            <v>101412</v>
          </cell>
          <cell r="B6649" t="str">
            <v>MAÇARIQUEIRO COM ENCARGOS COMPLEMENTARES</v>
          </cell>
          <cell r="C6649" t="str">
            <v>MES</v>
          </cell>
          <cell r="D6649">
            <v>3635.87</v>
          </cell>
        </row>
        <row r="6650">
          <cell r="A6650">
            <v>101413</v>
          </cell>
          <cell r="B6650" t="str">
            <v>MARCENEIRO COM ENCARGOS COMPLEMENTARES</v>
          </cell>
          <cell r="C6650" t="str">
            <v>MES</v>
          </cell>
          <cell r="D6650">
            <v>3601.74</v>
          </cell>
        </row>
        <row r="6651">
          <cell r="A6651">
            <v>101414</v>
          </cell>
          <cell r="B6651" t="str">
            <v>MARMORISTA / GRANITEIRO COM ENCARGOS COMPLEMENTARES</v>
          </cell>
          <cell r="C6651" t="str">
            <v>MES</v>
          </cell>
          <cell r="D6651">
            <v>3610.93</v>
          </cell>
        </row>
        <row r="6652">
          <cell r="A6652">
            <v>101415</v>
          </cell>
          <cell r="B6652" t="str">
            <v>MECÂNICO DE EQUIPAMENTOS PESADOS COM ENCARGOS COMPLEMENTARES</v>
          </cell>
          <cell r="C6652" t="str">
            <v>MES</v>
          </cell>
          <cell r="D6652">
            <v>3643.92</v>
          </cell>
        </row>
        <row r="6653">
          <cell r="A6653">
            <v>101416</v>
          </cell>
          <cell r="B6653" t="str">
            <v>MECÂNICO DE REFRIGERAÇÃO COM ENCARGOS COMPLEMENTARES</v>
          </cell>
          <cell r="C6653" t="str">
            <v>MES</v>
          </cell>
          <cell r="D6653">
            <v>3942.08</v>
          </cell>
        </row>
        <row r="6654">
          <cell r="A6654">
            <v>101417</v>
          </cell>
          <cell r="B6654" t="str">
            <v>MONTADOR DE ELETROELETRÔNICO COM ENCARGOS COMPLEMENTARES</v>
          </cell>
          <cell r="C6654" t="str">
            <v>MES</v>
          </cell>
          <cell r="D6654">
            <v>3604.22</v>
          </cell>
        </row>
        <row r="6655">
          <cell r="A6655">
            <v>101418</v>
          </cell>
          <cell r="B6655" t="str">
            <v>MONTADOR DE ESTRUTURAS METÁLICAS COM ENCARGOS COMPLEMENTARES</v>
          </cell>
          <cell r="C6655" t="str">
            <v>MES</v>
          </cell>
          <cell r="D6655">
            <v>2563.62</v>
          </cell>
        </row>
        <row r="6656">
          <cell r="A6656">
            <v>101419</v>
          </cell>
          <cell r="B6656" t="str">
            <v>MONTADOR DE MÁQUINAS COM ENCARGOS COMPLEMENTARES</v>
          </cell>
          <cell r="C6656" t="str">
            <v>MES</v>
          </cell>
          <cell r="D6656">
            <v>3878.07</v>
          </cell>
        </row>
        <row r="6657">
          <cell r="A6657">
            <v>101420</v>
          </cell>
          <cell r="B6657" t="str">
            <v>MOTORISTA DE CAMINHÃO BASCULANTE COM ENCARGOS COMPLEMENTARES</v>
          </cell>
          <cell r="C6657" t="str">
            <v>MES</v>
          </cell>
          <cell r="D6657">
            <v>2729.03</v>
          </cell>
        </row>
        <row r="6658">
          <cell r="A6658">
            <v>101421</v>
          </cell>
          <cell r="B6658" t="str">
            <v>MOTORISTA DE CAMINHÃO CARRETA COM ENCARGOS COMPLEMENTARES</v>
          </cell>
          <cell r="C6658" t="str">
            <v>MES</v>
          </cell>
          <cell r="D6658">
            <v>3550.55</v>
          </cell>
        </row>
        <row r="6659">
          <cell r="A6659">
            <v>101422</v>
          </cell>
          <cell r="B6659" t="str">
            <v>MOTORISTA DE CARRO DE PASSEIO COM ENCARGOS COMPLEMENTARES</v>
          </cell>
          <cell r="C6659" t="str">
            <v>MES</v>
          </cell>
          <cell r="D6659">
            <v>2694.32</v>
          </cell>
        </row>
        <row r="6660">
          <cell r="A6660">
            <v>101423</v>
          </cell>
          <cell r="B6660" t="str">
            <v>MOTORISTA DE ÔNIBUS / MICRO-ÔNIBUS COM ENCARGOS COMPLEMENTARES</v>
          </cell>
          <cell r="C6660" t="str">
            <v>MES</v>
          </cell>
          <cell r="D6660">
            <v>3038.5</v>
          </cell>
        </row>
        <row r="6661">
          <cell r="A6661">
            <v>101424</v>
          </cell>
          <cell r="B6661" t="str">
            <v>MOTORISTA OPERADOR DE CAMINHÃO COM MUNCK COM ENCARGOS COMPLEMENTARES</v>
          </cell>
          <cell r="C6661" t="str">
            <v>MES</v>
          </cell>
          <cell r="D6661">
            <v>3220.38</v>
          </cell>
        </row>
        <row r="6662">
          <cell r="A6662">
            <v>101425</v>
          </cell>
          <cell r="B6662" t="str">
            <v>NIVELADOR  COM ENCARGOS COMPLEMENTARES</v>
          </cell>
          <cell r="C6662" t="str">
            <v>MES</v>
          </cell>
          <cell r="D6662">
            <v>1504.37</v>
          </cell>
        </row>
        <row r="6663">
          <cell r="A6663">
            <v>101426</v>
          </cell>
          <cell r="B6663" t="str">
            <v>OPERADOR DE BATE-ESTACA COM ENCARGOS COMPLEMENTARES</v>
          </cell>
          <cell r="C6663" t="str">
            <v>MES</v>
          </cell>
          <cell r="D6663">
            <v>2959.16</v>
          </cell>
        </row>
        <row r="6664">
          <cell r="A6664">
            <v>101427</v>
          </cell>
          <cell r="B6664" t="str">
            <v>OPERADOR DE BETONEIRA (CAMINHÃO) COM ENCARGOS COMPLEMENTARES</v>
          </cell>
          <cell r="C6664" t="str">
            <v>MES</v>
          </cell>
          <cell r="D6664">
            <v>2645.05</v>
          </cell>
        </row>
        <row r="6665">
          <cell r="A6665">
            <v>101428</v>
          </cell>
          <cell r="B6665" t="str">
            <v>OPERADOR DE BETONEIRA ESTACIONÁRIA COM ENCARGOS COMPLEMENTARES</v>
          </cell>
          <cell r="C6665" t="str">
            <v>MES</v>
          </cell>
          <cell r="D6665">
            <v>2578.9</v>
          </cell>
        </row>
        <row r="6666">
          <cell r="A6666">
            <v>101429</v>
          </cell>
          <cell r="B6666" t="str">
            <v>OPERADOR DE COMPRESSOR DE AR OU COMPRESSORISTA COM ENCARGOS COMPLEMENTARES</v>
          </cell>
          <cell r="C6666" t="str">
            <v>MES</v>
          </cell>
          <cell r="D6666">
            <v>2742.97</v>
          </cell>
        </row>
        <row r="6667">
          <cell r="A6667">
            <v>101430</v>
          </cell>
          <cell r="B6667" t="str">
            <v>OPERADOR DE DEMARCADORA DE FAIXAS DE TRÁFEGO COM ENCARGOS COMPLEMENTARES</v>
          </cell>
          <cell r="C6667" t="str">
            <v>MES</v>
          </cell>
          <cell r="D6667">
            <v>3081.65</v>
          </cell>
        </row>
        <row r="6668">
          <cell r="A6668">
            <v>101431</v>
          </cell>
          <cell r="B6668" t="str">
            <v>OPERADOR DE ESCAVADEIRA COM ENCARGOS COMPLEMENTARES</v>
          </cell>
          <cell r="C6668" t="str">
            <v>MES</v>
          </cell>
          <cell r="D6668">
            <v>3308.24</v>
          </cell>
        </row>
        <row r="6669">
          <cell r="A6669">
            <v>101432</v>
          </cell>
          <cell r="B6669" t="str">
            <v>OPERADOR DE GUINCHO OU GUINCHEIRO COM ENCARGOS COMPLEMENTARES</v>
          </cell>
          <cell r="C6669" t="str">
            <v>MES</v>
          </cell>
          <cell r="D6669">
            <v>2595.79</v>
          </cell>
        </row>
        <row r="6670">
          <cell r="A6670">
            <v>101433</v>
          </cell>
          <cell r="B6670" t="str">
            <v>OPERADOR DE GUINDASTE COM ENCARGOS COMPLEMENTARES</v>
          </cell>
          <cell r="C6670" t="str">
            <v>MES</v>
          </cell>
          <cell r="D6670">
            <v>2605.9</v>
          </cell>
        </row>
        <row r="6671">
          <cell r="A6671">
            <v>101434</v>
          </cell>
          <cell r="B6671" t="str">
            <v>OPERADOR DE JATO ABRASIVO OU JATISTA COM ENCARGOS COMPLEMENTARES</v>
          </cell>
          <cell r="C6671" t="str">
            <v>MES</v>
          </cell>
          <cell r="D6671">
            <v>3040.52</v>
          </cell>
        </row>
        <row r="6672">
          <cell r="A6672">
            <v>101435</v>
          </cell>
          <cell r="B6672" t="str">
            <v>OPERADOR DE MÁQUINAS E TRATORES DIVERSOS COM ENCARGOS COMPLEMENTARES</v>
          </cell>
          <cell r="C6672" t="str">
            <v>MES</v>
          </cell>
          <cell r="D6672">
            <v>2700.9</v>
          </cell>
        </row>
        <row r="6673">
          <cell r="A6673">
            <v>101436</v>
          </cell>
          <cell r="B6673" t="str">
            <v>OPERADOR DE MARTELETE OU MARTELETEIRO COM ENCARGOS COMPLEMENTARES</v>
          </cell>
          <cell r="C6673" t="str">
            <v>MES</v>
          </cell>
          <cell r="D6673">
            <v>2286.04</v>
          </cell>
        </row>
        <row r="6674">
          <cell r="A6674">
            <v>101437</v>
          </cell>
          <cell r="B6674" t="str">
            <v>OPERADOR DE MOTO SCRAPER COM ENCARGOS COMPLEMENTARES</v>
          </cell>
          <cell r="C6674" t="str">
            <v>MES</v>
          </cell>
          <cell r="D6674">
            <v>3121.34</v>
          </cell>
        </row>
        <row r="6675">
          <cell r="A6675">
            <v>101438</v>
          </cell>
          <cell r="B6675" t="str">
            <v>OPERADOR DE MOTONIVELADORA COM ENCARGOS COMPLEMENTARES</v>
          </cell>
          <cell r="C6675" t="str">
            <v>MES</v>
          </cell>
          <cell r="D6675">
            <v>3658.48</v>
          </cell>
        </row>
        <row r="6676">
          <cell r="A6676">
            <v>101439</v>
          </cell>
          <cell r="B6676" t="str">
            <v>OPERADOR DE PÁ CARREGADEIRA COM ENCARGOS COMPLEMENTARES</v>
          </cell>
          <cell r="C6676" t="str">
            <v>MES</v>
          </cell>
          <cell r="D6676">
            <v>2874.81</v>
          </cell>
        </row>
        <row r="6677">
          <cell r="A6677">
            <v>101440</v>
          </cell>
          <cell r="B6677" t="str">
            <v>OPERADOR DE PAVIMENTADORA / MESA VIBROACABADORA COM ENCARGOS COMPLEMENTARES</v>
          </cell>
          <cell r="C6677" t="str">
            <v>MES</v>
          </cell>
          <cell r="D6677">
            <v>3198.07</v>
          </cell>
        </row>
        <row r="6678">
          <cell r="A6678">
            <v>101441</v>
          </cell>
          <cell r="B6678" t="str">
            <v>OPERADOR DE ROLO COMPACTADOR COM ENCARGOS COMPLEMENTARES</v>
          </cell>
          <cell r="C6678" t="str">
            <v>MES</v>
          </cell>
          <cell r="D6678">
            <v>2697.61</v>
          </cell>
        </row>
        <row r="6679">
          <cell r="A6679">
            <v>101442</v>
          </cell>
          <cell r="B6679" t="str">
            <v>OPERADOR DE TRATOR - EXCLUSIVE AGROPECUÁRIA COM ENCARGOS COMPLEMENTARES</v>
          </cell>
          <cell r="C6679" t="str">
            <v>MES</v>
          </cell>
          <cell r="D6679">
            <v>2716.24</v>
          </cell>
        </row>
        <row r="6680">
          <cell r="A6680">
            <v>101443</v>
          </cell>
          <cell r="B6680" t="str">
            <v>OPERADOR DE USINA DE ASFALTO, DE SOLOS OU DE CONCRETO COM ENCARGOS COMPLEMENTARES</v>
          </cell>
          <cell r="C6680" t="str">
            <v>MES</v>
          </cell>
          <cell r="D6680">
            <v>2852.75</v>
          </cell>
        </row>
        <row r="6681">
          <cell r="A6681">
            <v>101444</v>
          </cell>
          <cell r="B6681" t="str">
            <v>PASTILHEIRO COM ENCARGOS COMPLEMENTARES</v>
          </cell>
          <cell r="C6681" t="str">
            <v>MES</v>
          </cell>
          <cell r="D6681">
            <v>3991.69</v>
          </cell>
        </row>
        <row r="6682">
          <cell r="A6682">
            <v>101445</v>
          </cell>
          <cell r="B6682" t="str">
            <v>PEDREIRO COM ENCARGOS COMPLEMENTARES</v>
          </cell>
          <cell r="C6682" t="str">
            <v>MES</v>
          </cell>
          <cell r="D6682">
            <v>3560.46</v>
          </cell>
        </row>
        <row r="6683">
          <cell r="A6683">
            <v>101446</v>
          </cell>
          <cell r="B6683" t="str">
            <v>PINTOR COM ENCARGOS COMPLEMENTARES</v>
          </cell>
          <cell r="C6683" t="str">
            <v>MES</v>
          </cell>
          <cell r="D6683">
            <v>3770.7</v>
          </cell>
        </row>
        <row r="6684">
          <cell r="A6684">
            <v>101447</v>
          </cell>
          <cell r="B6684" t="str">
            <v>PINTOR DE LETREIROS COM ENCARGOS COMPLEMENTARES</v>
          </cell>
          <cell r="C6684" t="str">
            <v>MES</v>
          </cell>
          <cell r="D6684">
            <v>4175.09</v>
          </cell>
        </row>
        <row r="6685">
          <cell r="A6685">
            <v>101448</v>
          </cell>
          <cell r="B6685" t="str">
            <v>PINTOR PARA TINTA EPÓXI COM ENCARGOS COMPLEMENTARES</v>
          </cell>
          <cell r="C6685" t="str">
            <v>MES</v>
          </cell>
          <cell r="D6685">
            <v>3970.83</v>
          </cell>
        </row>
        <row r="6686">
          <cell r="A6686">
            <v>101449</v>
          </cell>
          <cell r="B6686" t="str">
            <v>POCEIRO / ESCAVADOR DE VALAS COM ENCARGOS COMPLEMENTARES</v>
          </cell>
          <cell r="C6686" t="str">
            <v>MES</v>
          </cell>
          <cell r="D6686">
            <v>2600.35</v>
          </cell>
        </row>
        <row r="6687">
          <cell r="A6687">
            <v>101450</v>
          </cell>
          <cell r="B6687" t="str">
            <v>RASTELEIRO COM ENCARGOS COMPLEMENTARES</v>
          </cell>
          <cell r="C6687" t="str">
            <v>MES</v>
          </cell>
          <cell r="D6687">
            <v>2404.11</v>
          </cell>
        </row>
        <row r="6688">
          <cell r="A6688">
            <v>101451</v>
          </cell>
          <cell r="B6688" t="str">
            <v>SERRALHEIRO COM ENCARGOS COMPLEMENTARES</v>
          </cell>
          <cell r="C6688" t="str">
            <v>MES</v>
          </cell>
          <cell r="D6688">
            <v>3547.07</v>
          </cell>
        </row>
        <row r="6689">
          <cell r="A6689">
            <v>101452</v>
          </cell>
          <cell r="B6689" t="str">
            <v>SERVENTE DE OBRAS COM ENCARGOS COMPLEMENTARES</v>
          </cell>
          <cell r="C6689" t="str">
            <v>MES</v>
          </cell>
          <cell r="D6689">
            <v>2867.52</v>
          </cell>
        </row>
        <row r="6690">
          <cell r="A6690">
            <v>101453</v>
          </cell>
          <cell r="B6690" t="str">
            <v>SOLDADOR COM ENCARGOS COMPLEMENTARES</v>
          </cell>
          <cell r="C6690" t="str">
            <v>MES</v>
          </cell>
          <cell r="D6690">
            <v>3596.48</v>
          </cell>
        </row>
        <row r="6691">
          <cell r="A6691">
            <v>101454</v>
          </cell>
          <cell r="B6691" t="str">
            <v>SOLDADOR ELÉTRICO COM ENCARGOS COMPLEMENTARES</v>
          </cell>
          <cell r="C6691" t="str">
            <v>MES</v>
          </cell>
          <cell r="D6691">
            <v>4466.7299999999996</v>
          </cell>
        </row>
        <row r="6692">
          <cell r="A6692">
            <v>101455</v>
          </cell>
          <cell r="B6692" t="str">
            <v>TAQUEADOR OU TAQUEIRO COM ENCARGOS COMPLEMENTARES</v>
          </cell>
          <cell r="C6692" t="str">
            <v>MES</v>
          </cell>
          <cell r="D6692">
            <v>4138.8999999999996</v>
          </cell>
        </row>
        <row r="6693">
          <cell r="A6693">
            <v>101456</v>
          </cell>
          <cell r="B6693" t="str">
            <v>TÉCNICO DE LABORATÓRIO E CAMPO DE CONSTRUÇÃO COM ENCARGOS COMPLEMENTARES</v>
          </cell>
          <cell r="C6693" t="str">
            <v>MES</v>
          </cell>
          <cell r="D6693">
            <v>3998.57</v>
          </cell>
        </row>
        <row r="6694">
          <cell r="A6694">
            <v>101457</v>
          </cell>
          <cell r="B6694" t="str">
            <v>TÉCNICO EM SONDAGEM COM ENCARGOS COMPLEMENTARES</v>
          </cell>
          <cell r="C6694" t="str">
            <v>MES</v>
          </cell>
          <cell r="D6694">
            <v>4141.8900000000003</v>
          </cell>
        </row>
        <row r="6695">
          <cell r="A6695">
            <v>101458</v>
          </cell>
          <cell r="B6695" t="str">
            <v>TELHADOR COM ENCARGOS COMPLEMENTARES</v>
          </cell>
          <cell r="C6695" t="str">
            <v>MES</v>
          </cell>
          <cell r="D6695">
            <v>3781.56</v>
          </cell>
        </row>
        <row r="6696">
          <cell r="A6696">
            <v>101459</v>
          </cell>
          <cell r="B6696" t="str">
            <v>VIDRACEIRO COM ENCARGOS COMPLEMENTARES</v>
          </cell>
          <cell r="C6696" t="str">
            <v>MES</v>
          </cell>
          <cell r="D6696">
            <v>3440.93</v>
          </cell>
        </row>
        <row r="6697">
          <cell r="A6697">
            <v>101460</v>
          </cell>
          <cell r="B6697" t="str">
            <v>VIGIA DIURNO COM ENCARGOS COMPLEMENTARES</v>
          </cell>
          <cell r="C6697" t="str">
            <v>MES</v>
          </cell>
          <cell r="D6697">
            <v>2934.26</v>
          </cell>
        </row>
      </sheetData>
      <sheetData sheetId="3">
        <row r="1">
          <cell r="A1">
            <v>41758</v>
          </cell>
          <cell r="B1" t="str">
            <v>!EM PROCESSO DE DESATIVACAO! CADEADO EM ACO INOX, LARGURA DE *50* MM, COM HASTE EM ACO TEMPERADO, SEM MOLA - CHAVES INCLUIDAS</v>
          </cell>
          <cell r="C1" t="str">
            <v xml:space="preserve">UN    </v>
          </cell>
          <cell r="D1">
            <v>144.72999999999999</v>
          </cell>
        </row>
        <row r="2">
          <cell r="A2">
            <v>1363</v>
          </cell>
          <cell r="B2" t="str">
            <v>!EM PROCESSO DE DESATIVACAO! CHAPA DE MADEIRA COMPENSADA DE PINUS, VIROLA OU EQUIVALENTE, DE *2,2 X 1,6* M, E = 6 MM</v>
          </cell>
          <cell r="C2" t="str">
            <v xml:space="preserve">M2    </v>
          </cell>
          <cell r="D2">
            <v>18.13</v>
          </cell>
        </row>
        <row r="3">
          <cell r="A3">
            <v>1344</v>
          </cell>
          <cell r="B3" t="str">
            <v>!EM PROCESSO DE DESATIVACAO! CHAPA DE MADEIRA COMPENSADA PLASTIFICADA PARA FORMA DE CONCRETO, DE 2,20 x 1,10 M, E = 6 MM</v>
          </cell>
          <cell r="C3" t="str">
            <v xml:space="preserve">UN    </v>
          </cell>
          <cell r="D3">
            <v>45.19</v>
          </cell>
        </row>
        <row r="4">
          <cell r="A4">
            <v>1342</v>
          </cell>
          <cell r="B4" t="str">
            <v>!EM PROCESSO DE DESATIVACAO! CHAPA DE MADEIRA COMPENSADA PLASTIFICADA PARA FORMA DE CONCRETO, DE 2,20 X 1,10 m, E = 14 MM</v>
          </cell>
          <cell r="C4" t="str">
            <v xml:space="preserve">UN    </v>
          </cell>
          <cell r="D4">
            <v>79.88</v>
          </cell>
        </row>
        <row r="5">
          <cell r="A5">
            <v>1349</v>
          </cell>
          <cell r="B5" t="str">
            <v>!EM PROCESSO DE DESATIVACAO! CHAPA DE MADEIRA COMPENSADA PLASTIFICADA PARA FORMA DE CONCRETO, DE 2,20 X 1,10 M, E = 20 MM</v>
          </cell>
          <cell r="C5" t="str">
            <v xml:space="preserve">UN    </v>
          </cell>
          <cell r="D5">
            <v>113.92</v>
          </cell>
        </row>
        <row r="6">
          <cell r="A6">
            <v>1350</v>
          </cell>
          <cell r="B6" t="str">
            <v>!EM PROCESSO DE DESATIVACAO! CHAPA DE MADEIRA COMPENSADA RESINADA PARA FORMA DE CONCRETO, DE *2,2 X 1,1* M, E = 10 MM</v>
          </cell>
          <cell r="C6" t="str">
            <v xml:space="preserve">UN    </v>
          </cell>
          <cell r="D6">
            <v>39.200000000000003</v>
          </cell>
        </row>
        <row r="7">
          <cell r="A7">
            <v>1357</v>
          </cell>
          <cell r="B7" t="str">
            <v>!EM PROCESSO DE DESATIVACAO! CHAPA DE MADEIRA COMPENSADA RESINADA PARA FORMA DE CONCRETO, DE *2,2 X 1,1* M, E = 12 MM</v>
          </cell>
          <cell r="C7" t="str">
            <v xml:space="preserve">UN    </v>
          </cell>
          <cell r="D7">
            <v>49.93</v>
          </cell>
        </row>
        <row r="8">
          <cell r="A8">
            <v>1359</v>
          </cell>
          <cell r="B8" t="str">
            <v>!EM PROCESSO DE DESATIVACAO! CHAPA DE MADEIRA COMPENSADA RESINADA PARA FORMA DE CONCRETO, DE *2,2 X 1,1* M, E = 20 MM</v>
          </cell>
          <cell r="C8" t="str">
            <v xml:space="preserve">UN    </v>
          </cell>
          <cell r="D8">
            <v>77.14</v>
          </cell>
        </row>
        <row r="9">
          <cell r="A9">
            <v>1351</v>
          </cell>
          <cell r="B9" t="str">
            <v>!EM PROCESSO DE DESATIVACAO! CHAPA DE MADEIRA COMPENSADA RESINADA PARA FORMA DE CONCRETO, DE *2,2 X 1,1* M, E = 6 MM</v>
          </cell>
          <cell r="C9" t="str">
            <v xml:space="preserve">UN    </v>
          </cell>
          <cell r="D9">
            <v>24.86</v>
          </cell>
        </row>
        <row r="10">
          <cell r="A10">
            <v>3113</v>
          </cell>
          <cell r="B10" t="str">
            <v>!EM PROCESSO DE DESATIVACAO! CREMONA COM CASTANHA BIPARTIDA, COM VARA DE 1.50 M, EM LATAO CROMADO, PARA PORTAS E JANELAS - COMPLETA</v>
          </cell>
          <cell r="C10" t="str">
            <v xml:space="preserve">CJ    </v>
          </cell>
          <cell r="D10">
            <v>63.14</v>
          </cell>
        </row>
        <row r="11">
          <cell r="A11">
            <v>2404</v>
          </cell>
          <cell r="B11" t="str">
            <v>!EM PROCESSO DE DESATIVACAO! DIVISORIA COLMEIA CEGA COM MONTANTE E RODAPE DE ALUMINIO ANODIZADO SIMPLES (SEM COLOCACAO)</v>
          </cell>
          <cell r="C11" t="str">
            <v xml:space="preserve">M2    </v>
          </cell>
          <cell r="D11">
            <v>93</v>
          </cell>
        </row>
        <row r="12">
          <cell r="A12">
            <v>2418</v>
          </cell>
          <cell r="B12" t="str">
            <v>!EM PROCESSO DE DESATIVACAO! DOBRADICA EM ACO/FERRO, 3" X 2 1/2", E= 1,2 A 1,8 MM, SEM ANEL,  CROMADO OU ZINCADO, TAMPA BOLA, COM PARAFUSOS</v>
          </cell>
          <cell r="C12" t="str">
            <v xml:space="preserve">UN    </v>
          </cell>
          <cell r="D12">
            <v>8.11</v>
          </cell>
        </row>
        <row r="13">
          <cell r="A13">
            <v>2720</v>
          </cell>
          <cell r="B13" t="str">
            <v>!EM PROCESSO DE DESATIVACAO! ESCAVADEIRA DRAGA DE ARRASTE, CAP. 3/4 JC 140HP (INCL MANUTENCAO/OPERACAO)</v>
          </cell>
          <cell r="C13" t="str">
            <v xml:space="preserve">H     </v>
          </cell>
          <cell r="D13">
            <v>171.31</v>
          </cell>
        </row>
        <row r="14">
          <cell r="A14">
            <v>2719</v>
          </cell>
          <cell r="B14" t="str">
            <v>!EM PROCESSO DE DESATIVACAO! ESCAVADEIRA HIDRAULICA SOBRE ESTEIRAS DE 99 HP, PESO OPERACIONAL DE *16* T E CAPACIDADE DE 0,85 A 1,00 M3 (LOCACAO COM OPERADOR, COMBUSTIVEL E MANUTENCAO)</v>
          </cell>
          <cell r="C14" t="str">
            <v xml:space="preserve">H     </v>
          </cell>
          <cell r="D14">
            <v>145.15</v>
          </cell>
        </row>
        <row r="15">
          <cell r="A15">
            <v>6086</v>
          </cell>
          <cell r="B15" t="str">
            <v>!EM PROCESSO DE DESATIVACAO! FUNDO SINTETICO NIVELADOR BRANCO FOSCO PARA MADEIRA</v>
          </cell>
          <cell r="C15" t="str">
            <v xml:space="preserve">GL    </v>
          </cell>
          <cell r="D15">
            <v>74.03</v>
          </cell>
        </row>
        <row r="16">
          <cell r="A16">
            <v>38968</v>
          </cell>
          <cell r="B16" t="str">
            <v>!EM PROCESSO DE DESATIVACAO! GRADIL *1320 X 2170* MM (A X L) EM BARRA DE ACO CHATA *25 MM X 2* MM, ENTRELACADA COM BARRA ACO REDONDA *5* MM, MALHA *65 X 132* MM, GALVANIZADO E PINTURA ELETROSTATICA, COR PRETO</v>
          </cell>
          <cell r="C16" t="str">
            <v xml:space="preserve">M2    </v>
          </cell>
          <cell r="D16">
            <v>336.94</v>
          </cell>
        </row>
        <row r="17">
          <cell r="A17">
            <v>3378</v>
          </cell>
          <cell r="B17" t="str">
            <v>!EM PROCESSO DE DESATIVACAO! HASTE DE ATERRAMENTO EM ACO COM 3,00 M DE COMPRIMENTO E DN = 3/4", REVESTIDA COM BAIXA CAMADA DE COBRE, SEM CONECTOR</v>
          </cell>
          <cell r="C17" t="str">
            <v xml:space="preserve">UN    </v>
          </cell>
          <cell r="D17">
            <v>53.38</v>
          </cell>
        </row>
        <row r="18">
          <cell r="A18">
            <v>3380</v>
          </cell>
          <cell r="B18" t="str">
            <v>!EM PROCESSO DE DESATIVACAO! HASTE DE ATERRAMENTO EM ACO COM 3,00 M DE COMPRIMENTO E DN = 5/8", REVESTIDA COM BAIXA CAMADA DE COBRE, COM CONECTOR TIPO GRAMPO</v>
          </cell>
          <cell r="C18" t="str">
            <v xml:space="preserve">UN    </v>
          </cell>
          <cell r="D18">
            <v>37.369999999999997</v>
          </cell>
        </row>
        <row r="19">
          <cell r="A19">
            <v>3379</v>
          </cell>
          <cell r="B19" t="str">
            <v>!EM PROCESSO DE DESATIVACAO! HASTE DE ATERRAMENTO EM ACO COM 3,00 M DE COMPRIMENTO E DN = 5/8", REVESTIDA COM BAIXA CAMADA DE COBRE, SEM CONECTOR</v>
          </cell>
          <cell r="C19" t="str">
            <v xml:space="preserve">UN    </v>
          </cell>
          <cell r="D19">
            <v>36.08</v>
          </cell>
        </row>
        <row r="20">
          <cell r="A20">
            <v>615</v>
          </cell>
          <cell r="B20" t="str">
            <v>!EM PROCESSO DE DESATIVACAO! JANELA BASCULANTE, ACO, COM BATENTE/REQUADRO, 60 X 80 CM (SEM VIDROS)</v>
          </cell>
          <cell r="C20" t="str">
            <v xml:space="preserve">M2    </v>
          </cell>
          <cell r="D20">
            <v>398.39</v>
          </cell>
        </row>
        <row r="21">
          <cell r="A21">
            <v>606</v>
          </cell>
          <cell r="B21" t="str">
            <v>!EM PROCESSO DE DESATIVACAO! JANELA DE CORRER, ACO, BATENTE/REQUADRO DE 6 A 14 CM, QUADRICULADA, PINTURA ANTICORROSIVA, SEM VIDRO, BANDEIRA COM BASCULA, 4 FLS, 120  X 150 CM (A X L)</v>
          </cell>
          <cell r="C21" t="str">
            <v xml:space="preserve">M2    </v>
          </cell>
          <cell r="D21">
            <v>625.83000000000004</v>
          </cell>
        </row>
        <row r="22">
          <cell r="A22">
            <v>11193</v>
          </cell>
          <cell r="B22" t="str">
            <v>!EM PROCESSO DE DESATIVACAO! JANELA DE CORRER, ACO, BATENTE/REQUADRO DE 6 A 14 CM, VENEZIANA, PINT ANTICORROSIVA, PINT ACABAMENTO, COM VIDRO, 6 FLS, 120  X 150 CM (A X L)</v>
          </cell>
          <cell r="C22" t="str">
            <v xml:space="preserve">M2    </v>
          </cell>
          <cell r="D22">
            <v>634.53</v>
          </cell>
        </row>
        <row r="23">
          <cell r="A23">
            <v>11197</v>
          </cell>
          <cell r="B23" t="str">
            <v>!EM PROCESSO DE DESATIVACAO! JANELA DE CORRER, ACO, COM BATENTE/REQUADRO DE 6 A 14 CM, SEM DIVISAO, PINT ANTICORROSIVA, PINT ACABAMENTO, COM VIDRO, SEM BANDEIRA, 2 FLS, 120  X 150 CM (A X L)</v>
          </cell>
          <cell r="C23" t="str">
            <v xml:space="preserve">UN    </v>
          </cell>
          <cell r="D23">
            <v>868.99</v>
          </cell>
        </row>
        <row r="24">
          <cell r="A24">
            <v>3346</v>
          </cell>
          <cell r="B24" t="str">
            <v>!EM PROCESSO DE DESATIVACAO! LOCACAO DE GRUPO GERADOR *80 A 125* KVA, MOTOR DIESEL, REBOCAVEL, ACIONAMENTO MANUAL</v>
          </cell>
          <cell r="C24" t="str">
            <v xml:space="preserve">H     </v>
          </cell>
          <cell r="D24">
            <v>13.5</v>
          </cell>
        </row>
        <row r="25">
          <cell r="A25">
            <v>3348</v>
          </cell>
          <cell r="B25" t="str">
            <v>!EM PROCESSO DE DESATIVACAO! LOCACAO DE GRUPO GERADOR ACIMA DE * 125 ATE 180* KVA, MOTOR DIESEL, REBOCAVEL, ACIONAMENTO MANUAL</v>
          </cell>
          <cell r="C25" t="str">
            <v xml:space="preserve">H     </v>
          </cell>
          <cell r="D25">
            <v>16.149999999999999</v>
          </cell>
        </row>
        <row r="26">
          <cell r="A26">
            <v>3345</v>
          </cell>
          <cell r="B26" t="str">
            <v>!EM PROCESSO DE DESATIVACAO! LOCACAO DE GRUPO GERADOR ACIMA DE * 20 A 80* KVA, MOTOR DIESEL, REBOCAVEL, ACIONAMENTO MANUAL</v>
          </cell>
          <cell r="C26" t="str">
            <v xml:space="preserve">H     </v>
          </cell>
          <cell r="D26">
            <v>10.43</v>
          </cell>
        </row>
        <row r="27">
          <cell r="A27">
            <v>39833</v>
          </cell>
          <cell r="B27" t="str">
            <v>!EM PROCESSO DE DESATIVACAO! LOCACAO DE GRUPO GERADOR DE *260* KVA, DIESEL REBOCAVEL, ACIONAMENTO MANUAL</v>
          </cell>
          <cell r="C27" t="str">
            <v xml:space="preserve">H     </v>
          </cell>
          <cell r="D27">
            <v>22.12</v>
          </cell>
        </row>
        <row r="28">
          <cell r="A28">
            <v>39834</v>
          </cell>
          <cell r="B28" t="str">
            <v>!EM PROCESSO DE DESATIVACAO! LOCACAO DE GRUPO GERADOR DE *400* KVA, DIESEL REBOCAVEL, ACIONAMENTO MANUAL</v>
          </cell>
          <cell r="C28" t="str">
            <v xml:space="preserve">H     </v>
          </cell>
          <cell r="D28">
            <v>37.96</v>
          </cell>
        </row>
        <row r="29">
          <cell r="A29">
            <v>39835</v>
          </cell>
          <cell r="B29" t="str">
            <v>!EM PROCESSO DE DESATIVACAO! LOCACAO DE GRUPO GERADOR DE *550* KVA, DIESEL REBOCAVEL, ACIONAMENTO MANUAL</v>
          </cell>
          <cell r="C29" t="str">
            <v xml:space="preserve">H     </v>
          </cell>
          <cell r="D29">
            <v>46.28</v>
          </cell>
        </row>
        <row r="30">
          <cell r="A30">
            <v>3779</v>
          </cell>
          <cell r="B30" t="str">
            <v>!EM PROCESSO DE DESATIVACAO! LONA PLASTICA, PRETA, LARGURA 8 M, E= 150 MICRA</v>
          </cell>
          <cell r="C30" t="str">
            <v xml:space="preserve">M     </v>
          </cell>
          <cell r="D30">
            <v>7.66</v>
          </cell>
        </row>
        <row r="31">
          <cell r="A31">
            <v>13382</v>
          </cell>
          <cell r="B31" t="str">
            <v>!EM PROCESSO DE DESATIVACAO! LUMINARIA FECHADA P/ ILUMINACAO PUBLICA, TIPO ABL 50/F OU EQUIV, P/ LAMPADA A VAPOR DE MERCURIO 400W</v>
          </cell>
          <cell r="C31" t="str">
            <v xml:space="preserve">UN    </v>
          </cell>
          <cell r="D31">
            <v>204.36</v>
          </cell>
        </row>
        <row r="32">
          <cell r="A32">
            <v>4051</v>
          </cell>
          <cell r="B32" t="str">
            <v>!EM PROCESSO DE DESATIVACAO! MASSA CORRIDA PVA PARA PAREDES INTERNAS</v>
          </cell>
          <cell r="C32" t="str">
            <v xml:space="preserve">18L   </v>
          </cell>
          <cell r="D32">
            <v>74.900000000000006</v>
          </cell>
        </row>
        <row r="33">
          <cell r="A33">
            <v>4047</v>
          </cell>
          <cell r="B33" t="str">
            <v>!EM PROCESSO DE DESATIVACAO! MASSA CORRIDA PVA PARA PAREDES INTERNAS</v>
          </cell>
          <cell r="C33" t="str">
            <v xml:space="preserve">GL    </v>
          </cell>
          <cell r="D33">
            <v>14.98</v>
          </cell>
        </row>
        <row r="34">
          <cell r="A34">
            <v>11367</v>
          </cell>
          <cell r="B34" t="str">
            <v>!EM PROCESSO DE DESATIVACAO! PORTA DE MADEIRA, FOLHA LEVE (NBR 15930), E = 35 MM, NUCLEO COLMEIA, CAPA LISA EM HDF, ACABAMENTO MELAMINICO EM PADRAO MADEIRA</v>
          </cell>
          <cell r="C34" t="str">
            <v xml:space="preserve">M2    </v>
          </cell>
          <cell r="D34">
            <v>112.36</v>
          </cell>
        </row>
        <row r="35">
          <cell r="A35">
            <v>11523</v>
          </cell>
          <cell r="B35" t="str">
            <v>!EM PROCESSO DE DESATIVACAO! PUXADOR CONCHA DE EMBUTIR, EM LATAO CROMADO, PARA PORTA / JANELA DE CORRER, LISO, SEM FURO PARA CHAVE, COM FUROS PARA FIXAR PARAFUSOS, *30 X 90* MM (LARGURA X ALTURA)</v>
          </cell>
          <cell r="C35" t="str">
            <v xml:space="preserve">UN    </v>
          </cell>
          <cell r="D35">
            <v>13.65</v>
          </cell>
        </row>
        <row r="36">
          <cell r="A36">
            <v>6204</v>
          </cell>
          <cell r="B36" t="str">
            <v>!EM PROCESSO DE DESATIVACAO! SARRAFO DE MADEIRA NAO APARELHADA *2,5 X 15* CM, MACARANDUBA, ANGELIM OU EQUIVALENTE DA REGIAO</v>
          </cell>
          <cell r="C36" t="str">
            <v xml:space="preserve">M     </v>
          </cell>
          <cell r="D36">
            <v>7.85</v>
          </cell>
        </row>
        <row r="37">
          <cell r="A37">
            <v>6188</v>
          </cell>
          <cell r="B37" t="str">
            <v>!EM PROCESSO DE DESATIVACAO! TABUA DE MADEIRA NAO APARELHADA *2,5 X 30 CM (1 X 12 ") PINUS, MISTA OU EQUIVALENTE DA REGIAO</v>
          </cell>
          <cell r="C37" t="str">
            <v xml:space="preserve">M2    </v>
          </cell>
          <cell r="D37">
            <v>37.93</v>
          </cell>
        </row>
        <row r="38">
          <cell r="A38">
            <v>4126</v>
          </cell>
          <cell r="B38" t="str">
            <v>!EM PROCESSO DE DESATIVACAO! TERMINAL DE PORCELANA (MUFLA) UNIPOLAR, USO EXTERNO, TENSAO 3,6/6 KV, PARA CABO DE 10/16 MM2, COM ISOLAMENTO EPR</v>
          </cell>
          <cell r="C38" t="str">
            <v xml:space="preserve">UN    </v>
          </cell>
          <cell r="D38">
            <v>201.22</v>
          </cell>
        </row>
        <row r="39">
          <cell r="A39">
            <v>7287</v>
          </cell>
          <cell r="B39" t="str">
            <v>!EM PROCESSO DE DESATIVACAO! TINTA A OLEO BRILHANTE PARA MADEIRA E METAIS</v>
          </cell>
          <cell r="C39" t="str">
            <v xml:space="preserve">GL    </v>
          </cell>
          <cell r="D39">
            <v>73.67</v>
          </cell>
        </row>
        <row r="40">
          <cell r="A40">
            <v>7347</v>
          </cell>
          <cell r="B40" t="str">
            <v>!EM PROCESSO DE DESATIVACAO! TINTA ACRILICA PREMIUM PARA PISO</v>
          </cell>
          <cell r="C40" t="str">
            <v xml:space="preserve">GL    </v>
          </cell>
          <cell r="D40">
            <v>47.84</v>
          </cell>
        </row>
        <row r="41">
          <cell r="A41">
            <v>7345</v>
          </cell>
          <cell r="B41" t="str">
            <v>!EM PROCESSO DE DESATIVACAO! TINTA LATEX PVA PREMIUM, COR BRANCA</v>
          </cell>
          <cell r="C41" t="str">
            <v xml:space="preserve">L     </v>
          </cell>
          <cell r="D41">
            <v>17.21</v>
          </cell>
        </row>
        <row r="42">
          <cell r="A42">
            <v>7344</v>
          </cell>
          <cell r="B42" t="str">
            <v>!EM PROCESSO DE DESATIVACAO! TINTA LATEX PVA PREMIUM, COR BRANCA</v>
          </cell>
          <cell r="C42" t="str">
            <v xml:space="preserve">GL    </v>
          </cell>
          <cell r="D42">
            <v>61.98</v>
          </cell>
        </row>
        <row r="43">
          <cell r="A43">
            <v>40514</v>
          </cell>
          <cell r="B43" t="str">
            <v>!EM PROCESSO DE DESATIVACAO! VERNIZ POLIURETANO BRILHANTE PARA MADEIRA, SEM FILTRO SOLAR, USO INTERNO E EXTERNO</v>
          </cell>
          <cell r="C43" t="str">
            <v xml:space="preserve">L     </v>
          </cell>
          <cell r="D43">
            <v>21.8</v>
          </cell>
        </row>
        <row r="44">
          <cell r="A44">
            <v>4487</v>
          </cell>
          <cell r="B44" t="str">
            <v>!EM PROCESSO DE DESATIVACAO! VIGOTA DE MADEIRA NAO APARELHADA *5 X 10* CM, MACARANDUBA, ANGELIM OU EQUIVALENTE DA REGIAO</v>
          </cell>
          <cell r="C44" t="str">
            <v xml:space="preserve">M     </v>
          </cell>
          <cell r="D44">
            <v>9.93</v>
          </cell>
        </row>
        <row r="45">
          <cell r="A45">
            <v>11199</v>
          </cell>
          <cell r="B45" t="str">
            <v>!EM PROCESSO DE DESATIVACAO!JANELA DE CORRER, ACO, BATENTE/REQUADRO DE 6 A 14 CM,  COM DIVISAO HORIZ , PINT ANTICORROSIVA, SEM VIDRO, BANDEIRA COM BASCULA, 4 FLS, 120  X 150 CM (A X L)</v>
          </cell>
          <cell r="C45" t="str">
            <v xml:space="preserve">UN    </v>
          </cell>
          <cell r="D45">
            <v>898.01</v>
          </cell>
        </row>
        <row r="46">
          <cell r="A46">
            <v>4053</v>
          </cell>
          <cell r="B46" t="str">
            <v>!EM PROCESSO DE DESATIVACAO!MASSA A OLEO PARA MADEIRA</v>
          </cell>
          <cell r="C46" t="str">
            <v xml:space="preserve">GL    </v>
          </cell>
          <cell r="D46">
            <v>57.06</v>
          </cell>
        </row>
        <row r="47">
          <cell r="A47">
            <v>4056</v>
          </cell>
          <cell r="B47" t="str">
            <v>!EM PROCESSO DE DESATIVACAO!MASSA ACRILICA PARA PAREDES INTERIOR/EXTERIOR</v>
          </cell>
          <cell r="C47" t="str">
            <v xml:space="preserve">GL    </v>
          </cell>
          <cell r="D47">
            <v>30.01</v>
          </cell>
        </row>
        <row r="48">
          <cell r="A48">
            <v>21136</v>
          </cell>
          <cell r="B48" t="str">
            <v>!EM PROCESSO DESATIVACAO! ELETRODUTO EM ACO GALVANIZADO ELETROLITICO, LEVE, DIAMETRO 1", PAREDE DE 0,90 MM</v>
          </cell>
          <cell r="C48" t="str">
            <v xml:space="preserve">M     </v>
          </cell>
          <cell r="D48">
            <v>11.95</v>
          </cell>
        </row>
        <row r="49">
          <cell r="A49">
            <v>21128</v>
          </cell>
          <cell r="B49" t="str">
            <v>!EM PROCESSO DESATIVACAO! ELETRODUTO EM ACO GALVANIZADO ELETROLITICO, LEVE, DIAMETRO 3/4", PAREDE DE 0,90 MM</v>
          </cell>
          <cell r="C49" t="str">
            <v xml:space="preserve">M     </v>
          </cell>
          <cell r="D49">
            <v>9.25</v>
          </cell>
        </row>
        <row r="50">
          <cell r="A50">
            <v>21130</v>
          </cell>
          <cell r="B50" t="str">
            <v>!EM PROCESSO DESATIVACAO! ELETRODUTO EM ACO GALVANIZADO ELETROLITICO, SEMI-PESADO, DIAMETRO 1 1/2", PAREDE DE 1,20 MM</v>
          </cell>
          <cell r="C50" t="str">
            <v xml:space="preserve">M     </v>
          </cell>
          <cell r="D50">
            <v>23.36</v>
          </cell>
        </row>
        <row r="51">
          <cell r="A51">
            <v>21135</v>
          </cell>
          <cell r="B51" t="str">
            <v>!EM PROCESSO DESATIVACAO! ELETRODUTO EM ACO GALVANIZADO ELETROLITICO, SEMI-PESADO, DIAMETRO 1 1/4", PAREDE DE 1,20 MM</v>
          </cell>
          <cell r="C51" t="str">
            <v xml:space="preserve">M     </v>
          </cell>
          <cell r="D51">
            <v>23</v>
          </cell>
        </row>
        <row r="52">
          <cell r="A52">
            <v>38605</v>
          </cell>
          <cell r="B52" t="str">
            <v>ABERTURA PARA ENCAIXE DE CUBA OU LAVATORIO EM BANCADA DE MARMORE/ GRANITO OU OUTRO TIPO DE PEDRA NATURAL</v>
          </cell>
          <cell r="C52" t="str">
            <v xml:space="preserve">UN    </v>
          </cell>
          <cell r="D52">
            <v>115.14</v>
          </cell>
        </row>
        <row r="53">
          <cell r="A53">
            <v>11270</v>
          </cell>
          <cell r="B53" t="str">
            <v>ABRACADEIRA DE LATAO PARA FIXACAO DE CABO PARA-RAIO, DIMENSOES 32 X 24 X 24 MM</v>
          </cell>
          <cell r="C53" t="str">
            <v xml:space="preserve">UN    </v>
          </cell>
          <cell r="D53">
            <v>1.8</v>
          </cell>
        </row>
        <row r="54">
          <cell r="A54">
            <v>412</v>
          </cell>
          <cell r="B54" t="str">
            <v>ABRACADEIRA DE NYLON PARA AMARRACAO DE CABOS, COMPRIMENTO DE *230* X *7,6* MM</v>
          </cell>
          <cell r="C54" t="str">
            <v xml:space="preserve">UN    </v>
          </cell>
          <cell r="D54">
            <v>1.02</v>
          </cell>
        </row>
        <row r="55">
          <cell r="A55">
            <v>414</v>
          </cell>
          <cell r="B55" t="str">
            <v>ABRACADEIRA DE NYLON PARA AMARRACAO DE CABOS, COMPRIMENTO DE 100 X 2,5 MM</v>
          </cell>
          <cell r="C55" t="str">
            <v xml:space="preserve">UN    </v>
          </cell>
          <cell r="D55">
            <v>0.06</v>
          </cell>
        </row>
        <row r="56">
          <cell r="A56">
            <v>410</v>
          </cell>
          <cell r="B56" t="str">
            <v>ABRACADEIRA DE NYLON PARA AMARRACAO DE CABOS, COMPRIMENTO DE 150 X *3,6* MM</v>
          </cell>
          <cell r="C56" t="str">
            <v xml:space="preserve">UN    </v>
          </cell>
          <cell r="D56">
            <v>0.15</v>
          </cell>
        </row>
        <row r="57">
          <cell r="A57">
            <v>411</v>
          </cell>
          <cell r="B57" t="str">
            <v>ABRACADEIRA DE NYLON PARA AMARRACAO DE CABOS, COMPRIMENTO DE 200 X *4,6* MM</v>
          </cell>
          <cell r="C57" t="str">
            <v xml:space="preserve">UN    </v>
          </cell>
          <cell r="D57">
            <v>0.2</v>
          </cell>
        </row>
        <row r="58">
          <cell r="A58">
            <v>408</v>
          </cell>
          <cell r="B58" t="str">
            <v>ABRACADEIRA DE NYLON PARA AMARRACAO DE CABOS, COMPRIMENTO DE 390 X *4,6* MM</v>
          </cell>
          <cell r="C58" t="str">
            <v xml:space="preserve">UN    </v>
          </cell>
          <cell r="D58">
            <v>0.99</v>
          </cell>
        </row>
        <row r="59">
          <cell r="A59">
            <v>39131</v>
          </cell>
          <cell r="B59" t="str">
            <v>ABRACADEIRA EM ACO PARA AMARRACAO DE ELETRODUTOS, TIPO D, COM 1 1/2" E CUNHA DE FIXACAO</v>
          </cell>
          <cell r="C59" t="str">
            <v xml:space="preserve">UN    </v>
          </cell>
          <cell r="D59">
            <v>2.5499999999999998</v>
          </cell>
        </row>
        <row r="60">
          <cell r="A60">
            <v>394</v>
          </cell>
          <cell r="B60" t="str">
            <v>ABRACADEIRA EM ACO PARA AMARRACAO DE ELETRODUTOS, TIPO D, COM 1 1/2" E PARAFUSO DE FIXACAO</v>
          </cell>
          <cell r="C60" t="str">
            <v xml:space="preserve">UN    </v>
          </cell>
          <cell r="D60">
            <v>2.58</v>
          </cell>
        </row>
        <row r="61">
          <cell r="A61">
            <v>39130</v>
          </cell>
          <cell r="B61" t="str">
            <v>ABRACADEIRA EM ACO PARA AMARRACAO DE ELETRODUTOS, TIPO D, COM 1 1/4" E CUNHA DE FIXACAO</v>
          </cell>
          <cell r="C61" t="str">
            <v xml:space="preserve">UN    </v>
          </cell>
          <cell r="D61">
            <v>2.3199999999999998</v>
          </cell>
        </row>
        <row r="62">
          <cell r="A62">
            <v>395</v>
          </cell>
          <cell r="B62" t="str">
            <v>ABRACADEIRA EM ACO PARA AMARRACAO DE ELETRODUTOS, TIPO D, COM 1 1/4" E PARAFUSO DE FIXACAO</v>
          </cell>
          <cell r="C62" t="str">
            <v xml:space="preserve">UN    </v>
          </cell>
          <cell r="D62">
            <v>2.48</v>
          </cell>
        </row>
        <row r="63">
          <cell r="A63">
            <v>39127</v>
          </cell>
          <cell r="B63" t="str">
            <v>ABRACADEIRA EM ACO PARA AMARRACAO DE ELETRODUTOS, TIPO D, COM 1/2" E CUNHA DE FIXACAO</v>
          </cell>
          <cell r="C63" t="str">
            <v xml:space="preserve">UN    </v>
          </cell>
          <cell r="D63">
            <v>1.22</v>
          </cell>
        </row>
        <row r="64">
          <cell r="A64">
            <v>392</v>
          </cell>
          <cell r="B64" t="str">
            <v>ABRACADEIRA EM ACO PARA AMARRACAO DE ELETRODUTOS, TIPO D, COM 1/2" E PARAFUSO DE FIXACAO</v>
          </cell>
          <cell r="C64" t="str">
            <v xml:space="preserve">UN    </v>
          </cell>
          <cell r="D64">
            <v>1.26</v>
          </cell>
        </row>
        <row r="65">
          <cell r="A65">
            <v>39129</v>
          </cell>
          <cell r="B65" t="str">
            <v>ABRACADEIRA EM ACO PARA AMARRACAO DE ELETRODUTOS, TIPO D, COM 1" E CUNHA DE FIXACAO</v>
          </cell>
          <cell r="C65" t="str">
            <v xml:space="preserve">UN    </v>
          </cell>
          <cell r="D65">
            <v>1.43</v>
          </cell>
        </row>
        <row r="66">
          <cell r="A66">
            <v>393</v>
          </cell>
          <cell r="B66" t="str">
            <v>ABRACADEIRA EM ACO PARA AMARRACAO DE ELETRODUTOS, TIPO D, COM 1" E PARAFUSO DE FIXACAO</v>
          </cell>
          <cell r="C66" t="str">
            <v xml:space="preserve">UN    </v>
          </cell>
          <cell r="D66">
            <v>1.5</v>
          </cell>
        </row>
        <row r="67">
          <cell r="A67">
            <v>39133</v>
          </cell>
          <cell r="B67" t="str">
            <v>ABRACADEIRA EM ACO PARA AMARRACAO DE ELETRODUTOS, TIPO D, COM 2 1/2" E CUNHA DE FIXACAO</v>
          </cell>
          <cell r="C67" t="str">
            <v xml:space="preserve">UN    </v>
          </cell>
          <cell r="D67">
            <v>3.35</v>
          </cell>
        </row>
        <row r="68">
          <cell r="A68">
            <v>397</v>
          </cell>
          <cell r="B68" t="str">
            <v>ABRACADEIRA EM ACO PARA AMARRACAO DE ELETRODUTOS, TIPO D, COM 2 1/2" E PARAFUSO DE FIXACAO</v>
          </cell>
          <cell r="C68" t="str">
            <v xml:space="preserve">UN    </v>
          </cell>
          <cell r="D68">
            <v>3.7</v>
          </cell>
        </row>
        <row r="69">
          <cell r="A69">
            <v>39132</v>
          </cell>
          <cell r="B69" t="str">
            <v>ABRACADEIRA EM ACO PARA AMARRACAO DE ELETRODUTOS, TIPO D, COM 2" E CUNHA DE FIXACAO</v>
          </cell>
          <cell r="C69" t="str">
            <v xml:space="preserve">UN    </v>
          </cell>
          <cell r="D69">
            <v>2.68</v>
          </cell>
        </row>
        <row r="70">
          <cell r="A70">
            <v>396</v>
          </cell>
          <cell r="B70" t="str">
            <v>ABRACADEIRA EM ACO PARA AMARRACAO DE ELETRODUTOS, TIPO D, COM 2" E PARAFUSO DE FIXACAO</v>
          </cell>
          <cell r="C70" t="str">
            <v xml:space="preserve">UN    </v>
          </cell>
          <cell r="D70">
            <v>2.87</v>
          </cell>
        </row>
        <row r="71">
          <cell r="A71">
            <v>39135</v>
          </cell>
          <cell r="B71" t="str">
            <v>ABRACADEIRA EM ACO PARA AMARRACAO DE ELETRODUTOS, TIPO D, COM 3 1/2" E CUNHA DE FIXACAO</v>
          </cell>
          <cell r="C71" t="str">
            <v xml:space="preserve">UN    </v>
          </cell>
          <cell r="D71">
            <v>5.36</v>
          </cell>
        </row>
        <row r="72">
          <cell r="A72">
            <v>39128</v>
          </cell>
          <cell r="B72" t="str">
            <v>ABRACADEIRA EM ACO PARA AMARRACAO DE ELETRODUTOS, TIPO D, COM 3/4" E CUNHA DE FIXACAO</v>
          </cell>
          <cell r="C72" t="str">
            <v xml:space="preserve">UN    </v>
          </cell>
          <cell r="D72">
            <v>1.34</v>
          </cell>
        </row>
        <row r="73">
          <cell r="A73">
            <v>400</v>
          </cell>
          <cell r="B73" t="str">
            <v>ABRACADEIRA EM ACO PARA AMARRACAO DE ELETRODUTOS, TIPO D, COM 3/4" E PARAFUSO DE FIXACAO</v>
          </cell>
          <cell r="C73" t="str">
            <v xml:space="preserve">UN    </v>
          </cell>
          <cell r="D73">
            <v>1.3</v>
          </cell>
        </row>
        <row r="74">
          <cell r="A74">
            <v>39125</v>
          </cell>
          <cell r="B74" t="str">
            <v>ABRACADEIRA EM ACO PARA AMARRACAO DE ELETRODUTOS, TIPO D, COM 3/8" E PARAFUSO DE FIXACAO</v>
          </cell>
          <cell r="C74" t="str">
            <v xml:space="preserve">UN    </v>
          </cell>
          <cell r="D74">
            <v>1.34</v>
          </cell>
        </row>
        <row r="75">
          <cell r="A75">
            <v>39134</v>
          </cell>
          <cell r="B75" t="str">
            <v>ABRACADEIRA EM ACO PARA AMARRACAO DE ELETRODUTOS, TIPO D, COM 3" E CUNHA DE FIXACAO</v>
          </cell>
          <cell r="C75" t="str">
            <v xml:space="preserve">UN    </v>
          </cell>
          <cell r="D75">
            <v>4.46</v>
          </cell>
        </row>
        <row r="76">
          <cell r="A76">
            <v>398</v>
          </cell>
          <cell r="B76" t="str">
            <v>ABRACADEIRA EM ACO PARA AMARRACAO DE ELETRODUTOS, TIPO D, COM 3" E PARAFUSO DE FIXACAO</v>
          </cell>
          <cell r="C76" t="str">
            <v xml:space="preserve">UN    </v>
          </cell>
          <cell r="D76">
            <v>4.1100000000000003</v>
          </cell>
        </row>
        <row r="77">
          <cell r="A77">
            <v>39126</v>
          </cell>
          <cell r="B77" t="str">
            <v>ABRACADEIRA EM ACO PARA AMARRACAO DE ELETRODUTOS, TIPO D, COM 4" E CUNHA DE FIXACAO</v>
          </cell>
          <cell r="C77" t="str">
            <v xml:space="preserve">UN    </v>
          </cell>
          <cell r="D77">
            <v>6.03</v>
          </cell>
        </row>
        <row r="78">
          <cell r="A78">
            <v>399</v>
          </cell>
          <cell r="B78" t="str">
            <v>ABRACADEIRA EM ACO PARA AMARRACAO DE ELETRODUTOS, TIPO D, COM 4" E PARAFUSO DE FIXACAO</v>
          </cell>
          <cell r="C78" t="str">
            <v xml:space="preserve">UN    </v>
          </cell>
          <cell r="D78">
            <v>5.31</v>
          </cell>
        </row>
        <row r="79">
          <cell r="A79">
            <v>39158</v>
          </cell>
          <cell r="B79" t="str">
            <v>ABRACADEIRA EM ACO PARA AMARRACAO DE ELETRODUTOS, TIPO ECONOMICA (GOTA), COM 8"</v>
          </cell>
          <cell r="C79" t="str">
            <v xml:space="preserve">UN    </v>
          </cell>
          <cell r="D79">
            <v>14.26</v>
          </cell>
        </row>
        <row r="80">
          <cell r="A80">
            <v>39141</v>
          </cell>
          <cell r="B80" t="str">
            <v>ABRACADEIRA EM ACO PARA AMARRACAO DE ELETRODUTOS, TIPO U SIMPLES, COM 1 1/2"</v>
          </cell>
          <cell r="C80" t="str">
            <v xml:space="preserve">UN    </v>
          </cell>
          <cell r="D80">
            <v>1.03</v>
          </cell>
        </row>
        <row r="81">
          <cell r="A81">
            <v>39140</v>
          </cell>
          <cell r="B81" t="str">
            <v>ABRACADEIRA EM ACO PARA AMARRACAO DE ELETRODUTOS, TIPO U SIMPLES, COM 1 1/4"</v>
          </cell>
          <cell r="C81" t="str">
            <v xml:space="preserve">UN    </v>
          </cell>
          <cell r="D81">
            <v>0.94</v>
          </cell>
        </row>
        <row r="82">
          <cell r="A82">
            <v>39137</v>
          </cell>
          <cell r="B82" t="str">
            <v>ABRACADEIRA EM ACO PARA AMARRACAO DE ELETRODUTOS, TIPO U SIMPLES, COM 1/2"</v>
          </cell>
          <cell r="C82" t="str">
            <v xml:space="preserve">UN    </v>
          </cell>
          <cell r="D82">
            <v>0.54</v>
          </cell>
        </row>
        <row r="83">
          <cell r="A83">
            <v>39139</v>
          </cell>
          <cell r="B83" t="str">
            <v>ABRACADEIRA EM ACO PARA AMARRACAO DE ELETRODUTOS, TIPO U SIMPLES, COM 1"</v>
          </cell>
          <cell r="C83" t="str">
            <v xml:space="preserve">UN    </v>
          </cell>
          <cell r="D83">
            <v>0.78</v>
          </cell>
        </row>
        <row r="84">
          <cell r="A84">
            <v>39143</v>
          </cell>
          <cell r="B84" t="str">
            <v>ABRACADEIRA EM ACO PARA AMARRACAO DE ELETRODUTOS, TIPO U SIMPLES, COM 2 1/2"</v>
          </cell>
          <cell r="C84" t="str">
            <v xml:space="preserve">UN    </v>
          </cell>
          <cell r="D84">
            <v>2.13</v>
          </cell>
        </row>
        <row r="85">
          <cell r="A85">
            <v>39142</v>
          </cell>
          <cell r="B85" t="str">
            <v>ABRACADEIRA EM ACO PARA AMARRACAO DE ELETRODUTOS, TIPO U SIMPLES, COM 2"</v>
          </cell>
          <cell r="C85" t="str">
            <v xml:space="preserve">UN    </v>
          </cell>
          <cell r="D85">
            <v>1.53</v>
          </cell>
        </row>
        <row r="86">
          <cell r="A86">
            <v>39138</v>
          </cell>
          <cell r="B86" t="str">
            <v>ABRACADEIRA EM ACO PARA AMARRACAO DE ELETRODUTOS, TIPO U SIMPLES, COM 3/4"</v>
          </cell>
          <cell r="C86" t="str">
            <v xml:space="preserve">UN    </v>
          </cell>
          <cell r="D86">
            <v>0.56999999999999995</v>
          </cell>
        </row>
        <row r="87">
          <cell r="A87">
            <v>39136</v>
          </cell>
          <cell r="B87" t="str">
            <v>ABRACADEIRA EM ACO PARA AMARRACAO DE ELETRODUTOS, TIPO U SIMPLES, COM 3/8"</v>
          </cell>
          <cell r="C87" t="str">
            <v xml:space="preserve">UN    </v>
          </cell>
          <cell r="D87">
            <v>0.38</v>
          </cell>
        </row>
        <row r="88">
          <cell r="A88">
            <v>39144</v>
          </cell>
          <cell r="B88" t="str">
            <v>ABRACADEIRA EM ACO PARA AMARRACAO DE ELETRODUTOS, TIPO U SIMPLES, COM 3"</v>
          </cell>
          <cell r="C88" t="str">
            <v xml:space="preserve">UN    </v>
          </cell>
          <cell r="D88">
            <v>2.48</v>
          </cell>
        </row>
        <row r="89">
          <cell r="A89">
            <v>39145</v>
          </cell>
          <cell r="B89" t="str">
            <v>ABRACADEIRA EM ACO PARA AMARRACAO DE ELETRODUTOS, TIPO U SIMPLES, COM 4"</v>
          </cell>
          <cell r="C89" t="str">
            <v xml:space="preserve">UN    </v>
          </cell>
          <cell r="D89">
            <v>4.0999999999999996</v>
          </cell>
        </row>
        <row r="90">
          <cell r="A90">
            <v>12615</v>
          </cell>
          <cell r="B90" t="str">
            <v>ABRACADEIRA PVC, PARA CALHA PLUVIAL, DIAMETRO ENTRE 80 E 100 MM, PARA DRENAGEM PREDIAL</v>
          </cell>
          <cell r="C90" t="str">
            <v xml:space="preserve">UN    </v>
          </cell>
          <cell r="D90">
            <v>3.32</v>
          </cell>
        </row>
        <row r="91">
          <cell r="A91">
            <v>11927</v>
          </cell>
          <cell r="B91" t="str">
            <v>ABRACADEIRA, GALVANIZADA/ZINCADA, ROSCA SEM FIM, PARAFUSO INOX, LARGURA  FITA *12,6 A *14 MM, D = 2" A 2 1/2"</v>
          </cell>
          <cell r="C91" t="str">
            <v xml:space="preserve">UN    </v>
          </cell>
          <cell r="D91">
            <v>5.37</v>
          </cell>
        </row>
        <row r="92">
          <cell r="A92">
            <v>11928</v>
          </cell>
          <cell r="B92" t="str">
            <v>ABRACADEIRA, GALVANIZADA/ZINCADA, ROSCA SEM FIM, PARAFUSO INOX, LARGURA  FITA *12,6 A *14 MM, D = 3" A 3 3/4"</v>
          </cell>
          <cell r="C92" t="str">
            <v xml:space="preserve">UN    </v>
          </cell>
          <cell r="D92">
            <v>6.15</v>
          </cell>
        </row>
        <row r="93">
          <cell r="A93">
            <v>11929</v>
          </cell>
          <cell r="B93" t="str">
            <v>ABRACADEIRA, GALVANIZADA/ZINCADA, ROSCA SEM FIM, PARAFUSO INOX, LARGURA  FITA *12,6 A *14 MM, D = 4" A 4 3/4"</v>
          </cell>
          <cell r="C93" t="str">
            <v xml:space="preserve">UN    </v>
          </cell>
          <cell r="D93">
            <v>9.52</v>
          </cell>
        </row>
        <row r="94">
          <cell r="A94">
            <v>36801</v>
          </cell>
          <cell r="B94" t="str">
            <v>ACABAMENTO CROMADO PARA REGISTRO PEQUENO, 1/2 " OU 3/4 "</v>
          </cell>
          <cell r="C94" t="str">
            <v xml:space="preserve">UN    </v>
          </cell>
          <cell r="D94">
            <v>21.67</v>
          </cell>
        </row>
        <row r="95">
          <cell r="A95">
            <v>36246</v>
          </cell>
          <cell r="B95" t="str">
            <v>ACABAMENTO SIMPLES/CONVENCIONAL PARA FORRO PVC, TIPO "U" OU "C", COR BRANCA, COMPRIMENTO 6 M</v>
          </cell>
          <cell r="C95" t="str">
            <v xml:space="preserve">M     </v>
          </cell>
          <cell r="D95">
            <v>2.39</v>
          </cell>
        </row>
        <row r="96">
          <cell r="A96">
            <v>37600</v>
          </cell>
          <cell r="B96" t="str">
            <v>ACESSORIO DE LIGACAO NAO ELETRICO PARA CARGAS EXPLOSIVAS, TUBO DE 6 M</v>
          </cell>
          <cell r="C96" t="str">
            <v xml:space="preserve">UN    </v>
          </cell>
          <cell r="D96">
            <v>62.83</v>
          </cell>
        </row>
        <row r="97">
          <cell r="A97">
            <v>37599</v>
          </cell>
          <cell r="B97" t="str">
            <v>ACESSORIO INICIADOR NAO ELETRICO, TUBO DE 6 M, TEMPO DE RETARDO DE *160* MS</v>
          </cell>
          <cell r="C97" t="str">
            <v xml:space="preserve">UN    </v>
          </cell>
          <cell r="D97">
            <v>58.48</v>
          </cell>
        </row>
        <row r="98">
          <cell r="A98">
            <v>1</v>
          </cell>
          <cell r="B98" t="str">
            <v>ACETILENO (RECARGA PARA CILINDRO DE CONJUNTO OXICORTE GRANDE)</v>
          </cell>
          <cell r="C98" t="str">
            <v xml:space="preserve">KG    </v>
          </cell>
          <cell r="D98">
            <v>65.56</v>
          </cell>
        </row>
        <row r="99">
          <cell r="A99">
            <v>3</v>
          </cell>
          <cell r="B99" t="str">
            <v>ACIDO MURIATICO, DILUICAO 10% A 12% PARA USO EM LIMPEZA</v>
          </cell>
          <cell r="C99" t="str">
            <v xml:space="preserve">L     </v>
          </cell>
          <cell r="D99">
            <v>5</v>
          </cell>
        </row>
        <row r="100">
          <cell r="A100">
            <v>43054</v>
          </cell>
          <cell r="B100" t="str">
            <v>ACO CA-25, 10,0 MM, OU 12,5 MM, OU 16,0 MM, OU 20,0 MM, OU 25,0 MM, VERGALHAO</v>
          </cell>
          <cell r="C100" t="str">
            <v xml:space="preserve">KG    </v>
          </cell>
          <cell r="D100">
            <v>5.89</v>
          </cell>
        </row>
        <row r="101">
          <cell r="A101">
            <v>42402</v>
          </cell>
          <cell r="B101" t="str">
            <v>ACO CA-25, 16,0 MM, BARRA DE TRANSFERENCIA</v>
          </cell>
          <cell r="C101" t="str">
            <v xml:space="preserve">KG    </v>
          </cell>
          <cell r="D101">
            <v>5.63</v>
          </cell>
        </row>
        <row r="102">
          <cell r="A102">
            <v>42403</v>
          </cell>
          <cell r="B102" t="str">
            <v>ACO CA-25, 20,0 MM, BARRA DE TRANSFERENCIA</v>
          </cell>
          <cell r="C102" t="str">
            <v xml:space="preserve">KG    </v>
          </cell>
          <cell r="D102">
            <v>7.22</v>
          </cell>
        </row>
        <row r="103">
          <cell r="A103">
            <v>42404</v>
          </cell>
          <cell r="B103" t="str">
            <v>ACO CA-25, 25,0 MM, BARRA DE TRANSFERENCIA</v>
          </cell>
          <cell r="C103" t="str">
            <v xml:space="preserve">KG    </v>
          </cell>
          <cell r="D103">
            <v>7.18</v>
          </cell>
        </row>
        <row r="104">
          <cell r="A104">
            <v>42405</v>
          </cell>
          <cell r="B104" t="str">
            <v>ACO CA-25, 32,0 MM, BARRA DE TRANSFERENCIA</v>
          </cell>
          <cell r="C104" t="str">
            <v xml:space="preserve">KG    </v>
          </cell>
          <cell r="D104">
            <v>7.65</v>
          </cell>
        </row>
        <row r="105">
          <cell r="A105">
            <v>34341</v>
          </cell>
          <cell r="B105" t="str">
            <v>ACO CA-25, 32,0 MM, VERGALHAO</v>
          </cell>
          <cell r="C105" t="str">
            <v xml:space="preserve">KG    </v>
          </cell>
          <cell r="D105">
            <v>6.64</v>
          </cell>
        </row>
        <row r="106">
          <cell r="A106">
            <v>43053</v>
          </cell>
          <cell r="B106" t="str">
            <v>ACO CA-25, 6,3 MM OU 8,0 MM, VERGALHAO</v>
          </cell>
          <cell r="C106" t="str">
            <v xml:space="preserve">KG    </v>
          </cell>
          <cell r="D106">
            <v>5.26</v>
          </cell>
        </row>
        <row r="107">
          <cell r="A107">
            <v>43058</v>
          </cell>
          <cell r="B107" t="str">
            <v>ACO CA-50, 10,0 MM, OU 12,5 MM, OU 16,0 MM, OU 20,0 MM, DOBRADO E CORTADO</v>
          </cell>
          <cell r="C107" t="str">
            <v xml:space="preserve">KG    </v>
          </cell>
          <cell r="D107">
            <v>5.45</v>
          </cell>
        </row>
        <row r="108">
          <cell r="A108">
            <v>34</v>
          </cell>
          <cell r="B108" t="str">
            <v>ACO CA-50, 10,0 MM, VERGALHAO</v>
          </cell>
          <cell r="C108" t="str">
            <v xml:space="preserve">KG    </v>
          </cell>
          <cell r="D108">
            <v>5.48</v>
          </cell>
        </row>
        <row r="109">
          <cell r="A109">
            <v>43055</v>
          </cell>
          <cell r="B109" t="str">
            <v>ACO CA-50, 12,5 MM OU 16,0 MM, VERGALHAO</v>
          </cell>
          <cell r="C109" t="str">
            <v xml:space="preserve">KG    </v>
          </cell>
          <cell r="D109">
            <v>4.75</v>
          </cell>
        </row>
        <row r="110">
          <cell r="A110">
            <v>43056</v>
          </cell>
          <cell r="B110" t="str">
            <v>ACO CA-50, 20,0 MM OU 25,0 MM, VERGALHAO</v>
          </cell>
          <cell r="C110" t="str">
            <v xml:space="preserve">KG    </v>
          </cell>
          <cell r="D110">
            <v>5.47</v>
          </cell>
        </row>
        <row r="111">
          <cell r="A111">
            <v>43057</v>
          </cell>
          <cell r="B111" t="str">
            <v>ACO CA-50, 32,0 MM, VERGALHAO</v>
          </cell>
          <cell r="C111" t="str">
            <v xml:space="preserve">KG    </v>
          </cell>
          <cell r="D111">
            <v>6.02</v>
          </cell>
        </row>
        <row r="112">
          <cell r="A112">
            <v>34449</v>
          </cell>
          <cell r="B112" t="str">
            <v>ACO CA-50, 6,3 MM, DOBRADO E CORTADO</v>
          </cell>
          <cell r="C112" t="str">
            <v xml:space="preserve">KG    </v>
          </cell>
          <cell r="D112">
            <v>6.43</v>
          </cell>
        </row>
        <row r="113">
          <cell r="A113">
            <v>32</v>
          </cell>
          <cell r="B113" t="str">
            <v>ACO CA-50, 6,3 MM, VERGALHAO</v>
          </cell>
          <cell r="C113" t="str">
            <v xml:space="preserve">KG    </v>
          </cell>
          <cell r="D113">
            <v>5.78</v>
          </cell>
        </row>
        <row r="114">
          <cell r="A114">
            <v>33</v>
          </cell>
          <cell r="B114" t="str">
            <v>ACO CA-50, 8,0 MM, VERGALHAO</v>
          </cell>
          <cell r="C114" t="str">
            <v xml:space="preserve">KG    </v>
          </cell>
          <cell r="D114">
            <v>5.82</v>
          </cell>
        </row>
        <row r="115">
          <cell r="A115">
            <v>43061</v>
          </cell>
          <cell r="B115" t="str">
            <v>ACO CA-60, 4,2 MM OU 5,0 MM, DOBRADO E CORTADO</v>
          </cell>
          <cell r="C115" t="str">
            <v xml:space="preserve">KG    </v>
          </cell>
          <cell r="D115">
            <v>5.43</v>
          </cell>
        </row>
        <row r="116">
          <cell r="A116">
            <v>43059</v>
          </cell>
          <cell r="B116" t="str">
            <v>ACO CA-60, 4,2 MM, OU 5,0 MM, OU 6,0 MM, OU 7,0 MM, VERGALHAO</v>
          </cell>
          <cell r="C116" t="str">
            <v xml:space="preserve">KG    </v>
          </cell>
          <cell r="D116">
            <v>5.19</v>
          </cell>
        </row>
        <row r="117">
          <cell r="A117">
            <v>43062</v>
          </cell>
          <cell r="B117" t="str">
            <v>ACO CA-60, 6,0 MM OU 7,0 MM, DOBRADO E CORTADO</v>
          </cell>
          <cell r="C117" t="str">
            <v xml:space="preserve">KG    </v>
          </cell>
          <cell r="D117">
            <v>5.75</v>
          </cell>
        </row>
        <row r="118">
          <cell r="A118">
            <v>43060</v>
          </cell>
          <cell r="B118" t="str">
            <v>ACO CA-60, 8,0 MM OU 9,5 MM, VERGALHAO</v>
          </cell>
          <cell r="C118" t="str">
            <v xml:space="preserve">KG    </v>
          </cell>
          <cell r="D118">
            <v>4.5199999999999996</v>
          </cell>
        </row>
        <row r="119">
          <cell r="A119">
            <v>20063</v>
          </cell>
          <cell r="B119" t="str">
            <v>ACOPLAMENTO DE CONDUTOR PLUVIAL, EM PVC, DIAMETRO ENTRE 80 E 100 MM, PARA DRENAGEM PREDIAL</v>
          </cell>
          <cell r="C119" t="str">
            <v xml:space="preserve">UN    </v>
          </cell>
          <cell r="D119">
            <v>3.3</v>
          </cell>
        </row>
        <row r="120">
          <cell r="A120">
            <v>40410</v>
          </cell>
          <cell r="B120" t="str">
            <v>ACOPLAMENTO RIGIDO EM FERRO FUNDIDO PARA SISTEMA DE TUBULACAO RANHURADA, DN 50 MM (2")</v>
          </cell>
          <cell r="C120" t="str">
            <v xml:space="preserve">UN    </v>
          </cell>
          <cell r="D120">
            <v>20.63</v>
          </cell>
        </row>
        <row r="121">
          <cell r="A121">
            <v>40411</v>
          </cell>
          <cell r="B121" t="str">
            <v>ACOPLAMENTO RIGIDO EM FERRO FUNDIDO PARA SISTEMA DE TUBULACAO RANHURADA, DN 65 MM (2 1/2")</v>
          </cell>
          <cell r="C121" t="str">
            <v xml:space="preserve">UN    </v>
          </cell>
          <cell r="D121">
            <v>22.39</v>
          </cell>
        </row>
        <row r="122">
          <cell r="A122">
            <v>40412</v>
          </cell>
          <cell r="B122" t="str">
            <v>ACOPLAMENTO RIGIDO EM FERRO FUNDIDO PARA SISTEMA DE TUBULACAO RANHURADA, DN 80 MM (3")</v>
          </cell>
          <cell r="C122" t="str">
            <v xml:space="preserve">UN    </v>
          </cell>
          <cell r="D122">
            <v>25.13</v>
          </cell>
        </row>
        <row r="123">
          <cell r="A123">
            <v>38838</v>
          </cell>
          <cell r="B123" t="str">
            <v>ADAPTADOR DE COBRE PARA TUBULACAO PEX, DN 16 X 15 MM</v>
          </cell>
          <cell r="C123" t="str">
            <v xml:space="preserve">UN    </v>
          </cell>
          <cell r="D123">
            <v>7.48</v>
          </cell>
        </row>
        <row r="124">
          <cell r="A124">
            <v>38839</v>
          </cell>
          <cell r="B124" t="str">
            <v>ADAPTADOR DE COBRE PARA TUBULACAO PEX, DN 20 X 22 MM</v>
          </cell>
          <cell r="C124" t="str">
            <v xml:space="preserve">UN    </v>
          </cell>
          <cell r="D124">
            <v>8.8000000000000007</v>
          </cell>
        </row>
        <row r="125">
          <cell r="A125">
            <v>55</v>
          </cell>
          <cell r="B125" t="str">
            <v>ADAPTADOR DE COMPRESSAO EM POLIPROPILENO (PP), PARA TUBO EM PEAD, 20 MM X 1/2", PARA LIGACAO PREDIAL DE AGUA (NTS 179)</v>
          </cell>
          <cell r="C125" t="str">
            <v xml:space="preserve">UN    </v>
          </cell>
          <cell r="D125">
            <v>3.8</v>
          </cell>
        </row>
        <row r="126">
          <cell r="A126">
            <v>61</v>
          </cell>
          <cell r="B126" t="str">
            <v>ADAPTADOR DE COMPRESSAO EM POLIPROPILENO (PP), PARA TUBO EM PEAD, 20 MM X 3/4", PARA LIGACAO PREDIAL DE AGUA (NTS 179)</v>
          </cell>
          <cell r="C126" t="str">
            <v xml:space="preserve">UN    </v>
          </cell>
          <cell r="D126">
            <v>3.59</v>
          </cell>
        </row>
        <row r="127">
          <cell r="A127">
            <v>62</v>
          </cell>
          <cell r="B127" t="str">
            <v>ADAPTADOR DE COMPRESSAO EM POLIPROPILENO (PP), PARA TUBO EM PEAD, 32 MM X 1", PARA LIGACAO PREDIAL DE AGUA (NTS 179)</v>
          </cell>
          <cell r="C127" t="str">
            <v xml:space="preserve">UN    </v>
          </cell>
          <cell r="D127">
            <v>7.45</v>
          </cell>
        </row>
        <row r="128">
          <cell r="A128">
            <v>77</v>
          </cell>
          <cell r="B128" t="str">
            <v>ADAPTADOR PVC PARA SIFAO METALICO, SOLDAVEL, COM ANEL BORRACHA (JE), 40 MM X 1 1/2"</v>
          </cell>
          <cell r="C128" t="str">
            <v xml:space="preserve">UN    </v>
          </cell>
          <cell r="D128">
            <v>0.86</v>
          </cell>
        </row>
        <row r="129">
          <cell r="A129">
            <v>76</v>
          </cell>
          <cell r="B129" t="str">
            <v>ADAPTADOR PVC PARA SIFAO, ROSCAVEL, 40 MM X 1 1/4"</v>
          </cell>
          <cell r="C129" t="str">
            <v xml:space="preserve">UN    </v>
          </cell>
          <cell r="D129">
            <v>0.88</v>
          </cell>
        </row>
        <row r="130">
          <cell r="A130">
            <v>67</v>
          </cell>
          <cell r="B130" t="str">
            <v>ADAPTADOR PVC ROSCAVEL, COM FLANGES E ANEL DE VEDACAO, 1/2", PARA CAIXA D' AGUA</v>
          </cell>
          <cell r="C130" t="str">
            <v xml:space="preserve">UN    </v>
          </cell>
          <cell r="D130">
            <v>8.48</v>
          </cell>
        </row>
        <row r="131">
          <cell r="A131">
            <v>71</v>
          </cell>
          <cell r="B131" t="str">
            <v>ADAPTADOR PVC ROSCAVEL, COM FLANGES E ANEL DE VEDACAO, 1", PARA CAIXA D' AGUA</v>
          </cell>
          <cell r="C131" t="str">
            <v xml:space="preserve">UN    </v>
          </cell>
          <cell r="D131">
            <v>15.59</v>
          </cell>
        </row>
        <row r="132">
          <cell r="A132">
            <v>73</v>
          </cell>
          <cell r="B132" t="str">
            <v>ADAPTADOR PVC ROSCAVEL, COM FLANGES E ANEL DE VEDACAO, 3/4", PARA CAIXA D' AGUA</v>
          </cell>
          <cell r="C132" t="str">
            <v xml:space="preserve">UN    </v>
          </cell>
          <cell r="D132">
            <v>11.64</v>
          </cell>
        </row>
        <row r="133">
          <cell r="A133">
            <v>103</v>
          </cell>
          <cell r="B133" t="str">
            <v>ADAPTADOR PVC SOLDAVEL CURTO COM BOLSA E ROSCA, 110 MM X 4", PARA AGUA FRIA</v>
          </cell>
          <cell r="C133" t="str">
            <v xml:space="preserve">UN    </v>
          </cell>
          <cell r="D133">
            <v>34.619999999999997</v>
          </cell>
        </row>
        <row r="134">
          <cell r="A134">
            <v>107</v>
          </cell>
          <cell r="B134" t="str">
            <v>ADAPTADOR PVC SOLDAVEL CURTO COM BOLSA E ROSCA, 20 MM X 1/2", PARA AGUA FRIA</v>
          </cell>
          <cell r="C134" t="str">
            <v xml:space="preserve">UN    </v>
          </cell>
          <cell r="D134">
            <v>0.54</v>
          </cell>
        </row>
        <row r="135">
          <cell r="A135">
            <v>65</v>
          </cell>
          <cell r="B135" t="str">
            <v>ADAPTADOR PVC SOLDAVEL CURTO COM BOLSA E ROSCA, 25 MM X 3/4", PARA AGUA FRIA</v>
          </cell>
          <cell r="C135" t="str">
            <v xml:space="preserve">UN    </v>
          </cell>
          <cell r="D135">
            <v>0.67</v>
          </cell>
        </row>
        <row r="136">
          <cell r="A136">
            <v>108</v>
          </cell>
          <cell r="B136" t="str">
            <v>ADAPTADOR PVC SOLDAVEL CURTO COM BOLSA E ROSCA, 32 MM X 1", PARA AGUA FRIA</v>
          </cell>
          <cell r="C136" t="str">
            <v xml:space="preserve">UN    </v>
          </cell>
          <cell r="D136">
            <v>1.38</v>
          </cell>
        </row>
        <row r="137">
          <cell r="A137">
            <v>110</v>
          </cell>
          <cell r="B137" t="str">
            <v>ADAPTADOR PVC SOLDAVEL CURTO COM BOLSA E ROSCA, 40 MM X 1 1/2", PARA AGUA FRIA</v>
          </cell>
          <cell r="C137" t="str">
            <v xml:space="preserve">UN    </v>
          </cell>
          <cell r="D137">
            <v>5.34</v>
          </cell>
        </row>
        <row r="138">
          <cell r="A138">
            <v>109</v>
          </cell>
          <cell r="B138" t="str">
            <v>ADAPTADOR PVC SOLDAVEL CURTO COM BOLSA E ROSCA, 40 MM X 1 1/4", PARA AGUA FRIA</v>
          </cell>
          <cell r="C138" t="str">
            <v xml:space="preserve">UN    </v>
          </cell>
          <cell r="D138">
            <v>2.63</v>
          </cell>
        </row>
        <row r="139">
          <cell r="A139">
            <v>111</v>
          </cell>
          <cell r="B139" t="str">
            <v>ADAPTADOR PVC SOLDAVEL CURTO COM BOLSA E ROSCA, 50 MM X 1 1/4", PARA AGUA FRIA</v>
          </cell>
          <cell r="C139" t="str">
            <v xml:space="preserve">UN    </v>
          </cell>
          <cell r="D139">
            <v>6.16</v>
          </cell>
        </row>
        <row r="140">
          <cell r="A140">
            <v>112</v>
          </cell>
          <cell r="B140" t="str">
            <v>ADAPTADOR PVC SOLDAVEL CURTO COM BOLSA E ROSCA, 50 MM X1 1/2", PARA AGUA FRIA</v>
          </cell>
          <cell r="C140" t="str">
            <v xml:space="preserve">UN    </v>
          </cell>
          <cell r="D140">
            <v>3.35</v>
          </cell>
        </row>
        <row r="141">
          <cell r="A141">
            <v>113</v>
          </cell>
          <cell r="B141" t="str">
            <v>ADAPTADOR PVC SOLDAVEL CURTO COM BOLSA E ROSCA, 60 MM X 2", PARA AGUA FRIA</v>
          </cell>
          <cell r="C141" t="str">
            <v xml:space="preserve">UN    </v>
          </cell>
          <cell r="D141">
            <v>9.1</v>
          </cell>
        </row>
        <row r="142">
          <cell r="A142">
            <v>104</v>
          </cell>
          <cell r="B142" t="str">
            <v>ADAPTADOR PVC SOLDAVEL CURTO COM BOLSA E ROSCA, 75 MM X 2 1/2", PARA AGUA FRIA</v>
          </cell>
          <cell r="C142" t="str">
            <v xml:space="preserve">UN    </v>
          </cell>
          <cell r="D142">
            <v>13.24</v>
          </cell>
        </row>
        <row r="143">
          <cell r="A143">
            <v>102</v>
          </cell>
          <cell r="B143" t="str">
            <v>ADAPTADOR PVC SOLDAVEL CURTO COM BOLSA E ROSCA, 85 MM X 3", PARA AGUA FRIA</v>
          </cell>
          <cell r="C143" t="str">
            <v xml:space="preserve">UN    </v>
          </cell>
          <cell r="D143">
            <v>21.74</v>
          </cell>
        </row>
        <row r="144">
          <cell r="A144">
            <v>95</v>
          </cell>
          <cell r="B144" t="str">
            <v>ADAPTADOR PVC SOLDAVEL, COM FLANGE E ANEL DE VEDACAO, 20 MM X 1/2", PARA CAIXA D'AGUA</v>
          </cell>
          <cell r="C144" t="str">
            <v xml:space="preserve">UN    </v>
          </cell>
          <cell r="D144">
            <v>7.36</v>
          </cell>
        </row>
        <row r="145">
          <cell r="A145">
            <v>96</v>
          </cell>
          <cell r="B145" t="str">
            <v>ADAPTADOR PVC SOLDAVEL, COM FLANGE E ANEL DE VEDACAO, 25 MM X 3/4", PARA CAIXA D'AGUA</v>
          </cell>
          <cell r="C145" t="str">
            <v xml:space="preserve">UN    </v>
          </cell>
          <cell r="D145">
            <v>8.4600000000000009</v>
          </cell>
        </row>
        <row r="146">
          <cell r="A146">
            <v>97</v>
          </cell>
          <cell r="B146" t="str">
            <v>ADAPTADOR PVC SOLDAVEL, COM FLANGE E ANEL DE VEDACAO, 32 MM X 1", PARA CAIXA D'AGUA</v>
          </cell>
          <cell r="C146" t="str">
            <v xml:space="preserve">UN    </v>
          </cell>
          <cell r="D146">
            <v>10.99</v>
          </cell>
        </row>
        <row r="147">
          <cell r="A147">
            <v>98</v>
          </cell>
          <cell r="B147" t="str">
            <v>ADAPTADOR PVC SOLDAVEL, COM FLANGE E ANEL DE VEDACAO, 40 MM X 1 1/4", PARA CAIXA D'AGUA</v>
          </cell>
          <cell r="C147" t="str">
            <v xml:space="preserve">UN    </v>
          </cell>
          <cell r="D147">
            <v>14.81</v>
          </cell>
        </row>
        <row r="148">
          <cell r="A148">
            <v>99</v>
          </cell>
          <cell r="B148" t="str">
            <v>ADAPTADOR PVC SOLDAVEL, COM FLANGE E ANEL DE VEDACAO, 50 MM X 1 1/2", PARA CAIXA D'AGUA</v>
          </cell>
          <cell r="C148" t="str">
            <v xml:space="preserve">UN    </v>
          </cell>
          <cell r="D148">
            <v>17.97</v>
          </cell>
        </row>
        <row r="149">
          <cell r="A149">
            <v>100</v>
          </cell>
          <cell r="B149" t="str">
            <v>ADAPTADOR PVC SOLDAVEL, COM FLANGES E ANEL DE VEDACAO, 60 MM X 2", PARA CAIXA D' AGUA</v>
          </cell>
          <cell r="C149" t="str">
            <v xml:space="preserve">UN    </v>
          </cell>
          <cell r="D149">
            <v>25.07</v>
          </cell>
        </row>
        <row r="150">
          <cell r="A150">
            <v>75</v>
          </cell>
          <cell r="B150" t="str">
            <v>ADAPTADOR PVC SOLDAVEL, COM FLANGES LIVRES, 110 MM X 4", PARA CAIXA D' AGUA</v>
          </cell>
          <cell r="C150" t="str">
            <v xml:space="preserve">UN    </v>
          </cell>
          <cell r="D150">
            <v>261.26</v>
          </cell>
        </row>
        <row r="151">
          <cell r="A151">
            <v>114</v>
          </cell>
          <cell r="B151" t="str">
            <v>ADAPTADOR PVC SOLDAVEL, COM FLANGES LIVRES, 25 MM X 3/4", PARA CAIXA D' AGUA</v>
          </cell>
          <cell r="C151" t="str">
            <v xml:space="preserve">UN    </v>
          </cell>
          <cell r="D151">
            <v>9.52</v>
          </cell>
        </row>
        <row r="152">
          <cell r="A152">
            <v>68</v>
          </cell>
          <cell r="B152" t="str">
            <v>ADAPTADOR PVC SOLDAVEL, COM FLANGES LIVRES, 32 MM X 1", PARA CAIXA D' AGUA</v>
          </cell>
          <cell r="C152" t="str">
            <v xml:space="preserve">UN    </v>
          </cell>
          <cell r="D152">
            <v>14.56</v>
          </cell>
        </row>
        <row r="153">
          <cell r="A153">
            <v>86</v>
          </cell>
          <cell r="B153" t="str">
            <v>ADAPTADOR PVC SOLDAVEL, COM FLANGES LIVRES, 40 MM X 1  1/4", PARA CAIXA D' AGUA</v>
          </cell>
          <cell r="C153" t="str">
            <v xml:space="preserve">UN    </v>
          </cell>
          <cell r="D153">
            <v>27.06</v>
          </cell>
        </row>
        <row r="154">
          <cell r="A154">
            <v>66</v>
          </cell>
          <cell r="B154" t="str">
            <v>ADAPTADOR PVC SOLDAVEL, COM FLANGES LIVRES, 50 MM X 1  1/2", PARA CAIXA D' AGUA</v>
          </cell>
          <cell r="C154" t="str">
            <v xml:space="preserve">UN    </v>
          </cell>
          <cell r="D154">
            <v>27.16</v>
          </cell>
        </row>
        <row r="155">
          <cell r="A155">
            <v>69</v>
          </cell>
          <cell r="B155" t="str">
            <v>ADAPTADOR PVC SOLDAVEL, COM FLANGES LIVRES, 60 MM X 2", PARA CAIXA D' AGUA</v>
          </cell>
          <cell r="C155" t="str">
            <v xml:space="preserve">UN    </v>
          </cell>
          <cell r="D155">
            <v>41.51</v>
          </cell>
        </row>
        <row r="156">
          <cell r="A156">
            <v>83</v>
          </cell>
          <cell r="B156" t="str">
            <v>ADAPTADOR PVC SOLDAVEL, COM FLANGES LIVRES, 75 MM X 2  1/2", PARA CAIXA D' AGUA</v>
          </cell>
          <cell r="C156" t="str">
            <v xml:space="preserve">UN    </v>
          </cell>
          <cell r="D156">
            <v>132.59</v>
          </cell>
        </row>
        <row r="157">
          <cell r="A157">
            <v>74</v>
          </cell>
          <cell r="B157" t="str">
            <v>ADAPTADOR PVC SOLDAVEL, COM FLANGES LIVRES, 85 MM X 3", PARA CAIXA D' AGUA</v>
          </cell>
          <cell r="C157" t="str">
            <v xml:space="preserve">UN    </v>
          </cell>
          <cell r="D157">
            <v>185.11</v>
          </cell>
        </row>
        <row r="158">
          <cell r="A158">
            <v>106</v>
          </cell>
          <cell r="B158" t="str">
            <v>ADAPTADOR PVC SOLDAVEL, LONGO, COM FLANGE LIVRE,  110 MM X 4", PARA CAIXA D' AGUA</v>
          </cell>
          <cell r="C158" t="str">
            <v xml:space="preserve">UN    </v>
          </cell>
          <cell r="D158">
            <v>281.20999999999998</v>
          </cell>
        </row>
        <row r="159">
          <cell r="A159">
            <v>87</v>
          </cell>
          <cell r="B159" t="str">
            <v>ADAPTADOR PVC SOLDAVEL, LONGO, COM FLANGE LIVRE,  25 MM X 3/4", PARA CAIXA D' AGUA</v>
          </cell>
          <cell r="C159" t="str">
            <v xml:space="preserve">UN    </v>
          </cell>
          <cell r="D159">
            <v>13.36</v>
          </cell>
        </row>
        <row r="160">
          <cell r="A160">
            <v>88</v>
          </cell>
          <cell r="B160" t="str">
            <v>ADAPTADOR PVC SOLDAVEL, LONGO, COM FLANGE LIVRE,  32 MM X 1", PARA CAIXA D' AGUA</v>
          </cell>
          <cell r="C160" t="str">
            <v xml:space="preserve">UN    </v>
          </cell>
          <cell r="D160">
            <v>14.91</v>
          </cell>
        </row>
        <row r="161">
          <cell r="A161">
            <v>89</v>
          </cell>
          <cell r="B161" t="str">
            <v>ADAPTADOR PVC SOLDAVEL, LONGO, COM FLANGE LIVRE,  40 MM X 1 1/4", PARA CAIXA D' AGUA</v>
          </cell>
          <cell r="C161" t="str">
            <v xml:space="preserve">UN    </v>
          </cell>
          <cell r="D161">
            <v>22.05</v>
          </cell>
        </row>
        <row r="162">
          <cell r="A162">
            <v>90</v>
          </cell>
          <cell r="B162" t="str">
            <v>ADAPTADOR PVC SOLDAVEL, LONGO, COM FLANGE LIVRE,  50 MM X 1 1/2", PARA CAIXA D' AGUA</v>
          </cell>
          <cell r="C162" t="str">
            <v xml:space="preserve">UN    </v>
          </cell>
          <cell r="D162">
            <v>25.27</v>
          </cell>
        </row>
        <row r="163">
          <cell r="A163">
            <v>81</v>
          </cell>
          <cell r="B163" t="str">
            <v>ADAPTADOR PVC SOLDAVEL, LONGO, COM FLANGE LIVRE,  60 MM X 2", PARA CAIXA D' AGUA</v>
          </cell>
          <cell r="C163" t="str">
            <v xml:space="preserve">UN    </v>
          </cell>
          <cell r="D163">
            <v>43.22</v>
          </cell>
        </row>
        <row r="164">
          <cell r="A164">
            <v>82</v>
          </cell>
          <cell r="B164" t="str">
            <v>ADAPTADOR PVC SOLDAVEL, LONGO, COM FLANGE LIVRE,  75 MM X 2 1/2", PARA CAIXA D' AGUA</v>
          </cell>
          <cell r="C164" t="str">
            <v xml:space="preserve">UN    </v>
          </cell>
          <cell r="D164">
            <v>167.79</v>
          </cell>
        </row>
        <row r="165">
          <cell r="A165">
            <v>105</v>
          </cell>
          <cell r="B165" t="str">
            <v>ADAPTADOR PVC SOLDAVEL, LONGO, COM FLANGE LIVRE,  85 MM X 3", PARA CAIXA D' AGUA</v>
          </cell>
          <cell r="C165" t="str">
            <v xml:space="preserve">UN    </v>
          </cell>
          <cell r="D165">
            <v>196.44</v>
          </cell>
        </row>
        <row r="166">
          <cell r="A166">
            <v>60</v>
          </cell>
          <cell r="B166" t="str">
            <v>ADAPTADOR PVC, COM REGISTRO, PARA PEAD, 20 MM X 3/4", PARA LIGACAO PREDIAL DE AGUA</v>
          </cell>
          <cell r="C166" t="str">
            <v xml:space="preserve">UN    </v>
          </cell>
          <cell r="D166">
            <v>4.93</v>
          </cell>
        </row>
        <row r="167">
          <cell r="A167">
            <v>72</v>
          </cell>
          <cell r="B167" t="str">
            <v>ADAPTADOR PVC, ROSCAVEL, COM FLANGES E ANEL DE VEDACAO, 1 1/2", PARA CAIXA D'AGUA</v>
          </cell>
          <cell r="C167" t="str">
            <v xml:space="preserve">UN    </v>
          </cell>
          <cell r="D167">
            <v>26.42</v>
          </cell>
        </row>
        <row r="168">
          <cell r="A168">
            <v>70</v>
          </cell>
          <cell r="B168" t="str">
            <v>ADAPTADOR PVC, ROSCAVEL, COM FLANGES E ANEL DE VEDACAO, 1 1/4", PARA CAIXA D' AGUA</v>
          </cell>
          <cell r="C168" t="str">
            <v xml:space="preserve">UN    </v>
          </cell>
          <cell r="D168">
            <v>22.09</v>
          </cell>
        </row>
        <row r="169">
          <cell r="A169">
            <v>85</v>
          </cell>
          <cell r="B169" t="str">
            <v>ADAPTADOR PVC, ROSCAVEL, COM FLANGES E ANEL DE VEDACAO, 2", PARA CAIXA D' AGUA</v>
          </cell>
          <cell r="C169" t="str">
            <v xml:space="preserve">UN    </v>
          </cell>
          <cell r="D169">
            <v>32.07</v>
          </cell>
        </row>
        <row r="170">
          <cell r="A170">
            <v>84</v>
          </cell>
          <cell r="B170" t="str">
            <v>ADAPTADOR PVC, ROSCAVEL, PARA VALVULA PIA OU LAVATORIO, 40 MM</v>
          </cell>
          <cell r="C170" t="str">
            <v xml:space="preserve">UN    </v>
          </cell>
          <cell r="D170">
            <v>0.37</v>
          </cell>
        </row>
        <row r="171">
          <cell r="A171">
            <v>37997</v>
          </cell>
          <cell r="B171" t="str">
            <v>ADAPTADOR, CPVC, SOLDAVEL, 15 MM, PARA AGUA QUENTE</v>
          </cell>
          <cell r="C171" t="str">
            <v xml:space="preserve">UN    </v>
          </cell>
          <cell r="D171">
            <v>7.17</v>
          </cell>
        </row>
        <row r="172">
          <cell r="A172">
            <v>37998</v>
          </cell>
          <cell r="B172" t="str">
            <v>ADAPTADOR, CPVC, SOLDAVEL, 22 MM, PARA AGUA QUENTE</v>
          </cell>
          <cell r="C172" t="str">
            <v xml:space="preserve">UN    </v>
          </cell>
          <cell r="D172">
            <v>7.43</v>
          </cell>
        </row>
        <row r="173">
          <cell r="A173">
            <v>10899</v>
          </cell>
          <cell r="B173" t="str">
            <v>ADAPTADOR, EM LATAO, ENGATE RAPIDO 2 1/2" X ROSCA INTERNA 5 FIOS 2 1/2",  PARA INSTALACAO PREDIAL DE COMBATE A INCENDIO</v>
          </cell>
          <cell r="C173" t="str">
            <v xml:space="preserve">UN    </v>
          </cell>
          <cell r="D173">
            <v>57.06</v>
          </cell>
        </row>
        <row r="174">
          <cell r="A174">
            <v>10900</v>
          </cell>
          <cell r="B174" t="str">
            <v>ADAPTADOR, EM LATAO, ENGATE RAPIDO1 1/2" X ROSCA INTERNA 5 FIOS 2 1/2",  PARA INSTALACAO PREDIAL DE COMBATE A INCENDIO</v>
          </cell>
          <cell r="C174" t="str">
            <v xml:space="preserve">UN    </v>
          </cell>
          <cell r="D174">
            <v>44.66</v>
          </cell>
        </row>
        <row r="175">
          <cell r="A175">
            <v>46</v>
          </cell>
          <cell r="B175" t="str">
            <v>ADAPTADOR, PVC PBA,  BOLSA/ROSCA, JE, DN 75 / DE  85 MM</v>
          </cell>
          <cell r="C175" t="str">
            <v xml:space="preserve">UN    </v>
          </cell>
          <cell r="D175">
            <v>34.15</v>
          </cell>
        </row>
        <row r="176">
          <cell r="A176">
            <v>51</v>
          </cell>
          <cell r="B176" t="str">
            <v>ADAPTADOR, PVC PBA, A BOLSA DEFOFO, JE, DN 100 / DE 110 MM</v>
          </cell>
          <cell r="C176" t="str">
            <v xml:space="preserve">UN    </v>
          </cell>
          <cell r="D176">
            <v>94.22</v>
          </cell>
        </row>
        <row r="177">
          <cell r="A177">
            <v>12863</v>
          </cell>
          <cell r="B177" t="str">
            <v>ADAPTADOR, PVC PBA, A BOLSA DEFOFO, JE, DN 50 / DE 60 MM</v>
          </cell>
          <cell r="C177" t="str">
            <v xml:space="preserve">UN    </v>
          </cell>
          <cell r="D177">
            <v>21.7</v>
          </cell>
        </row>
        <row r="178">
          <cell r="A178">
            <v>50</v>
          </cell>
          <cell r="B178" t="str">
            <v>ADAPTADOR, PVC PBA, A BOLSA DEFOFO, JE, DN 75 / DE  85 MM</v>
          </cell>
          <cell r="C178" t="str">
            <v xml:space="preserve">UN    </v>
          </cell>
          <cell r="D178">
            <v>49.2</v>
          </cell>
        </row>
        <row r="179">
          <cell r="A179">
            <v>47</v>
          </cell>
          <cell r="B179" t="str">
            <v>ADAPTADOR, PVC PBA, BOLSA/ROSCA, JE, DN 100 / DE 110 MM</v>
          </cell>
          <cell r="C179" t="str">
            <v xml:space="preserve">UN    </v>
          </cell>
          <cell r="D179">
            <v>58.4</v>
          </cell>
        </row>
        <row r="180">
          <cell r="A180">
            <v>48</v>
          </cell>
          <cell r="B180" t="str">
            <v>ADAPTADOR, PVC PBA, BOLSA/ROSCA, JE, DN 50 / DE 60 MM</v>
          </cell>
          <cell r="C180" t="str">
            <v xml:space="preserve">UN    </v>
          </cell>
          <cell r="D180">
            <v>15.23</v>
          </cell>
        </row>
        <row r="181">
          <cell r="A181">
            <v>52</v>
          </cell>
          <cell r="B181" t="str">
            <v>ADAPTADOR, PVC PBA, PONTA/ROSCA, JE, DN 50 / DE  60 MM</v>
          </cell>
          <cell r="C181" t="str">
            <v xml:space="preserve">UN    </v>
          </cell>
          <cell r="D181">
            <v>11.57</v>
          </cell>
        </row>
        <row r="182">
          <cell r="A182">
            <v>43</v>
          </cell>
          <cell r="B182" t="str">
            <v>ADAPTADOR, PVC PBA, PONTA/ROSCA, JE, DN 75 / DE  85 MM</v>
          </cell>
          <cell r="C182" t="str">
            <v xml:space="preserve">UN    </v>
          </cell>
          <cell r="D182">
            <v>39.049999999999997</v>
          </cell>
        </row>
        <row r="183">
          <cell r="A183">
            <v>4791</v>
          </cell>
          <cell r="B183" t="str">
            <v>ADESIVO ACRILICO/COLA DE CONTATO</v>
          </cell>
          <cell r="C183" t="str">
            <v xml:space="preserve">KG    </v>
          </cell>
          <cell r="D183">
            <v>12.52</v>
          </cell>
        </row>
        <row r="184">
          <cell r="A184">
            <v>157</v>
          </cell>
          <cell r="B184" t="str">
            <v>ADESIVO ESTRUTURAL A BASE DE RESINA EPOXI PARA INJECAO EM TRINCAS, BICOMPONENTE, BAIXA VISCOSIDADE</v>
          </cell>
          <cell r="C184" t="str">
            <v xml:space="preserve">KG    </v>
          </cell>
          <cell r="D184">
            <v>104.91</v>
          </cell>
        </row>
        <row r="185">
          <cell r="A185">
            <v>156</v>
          </cell>
          <cell r="B185" t="str">
            <v>ADESIVO ESTRUTURAL A BASE DE RESINA EPOXI, BICOMPONENTE, FLUIDO</v>
          </cell>
          <cell r="C185" t="str">
            <v xml:space="preserve">KG    </v>
          </cell>
          <cell r="D185">
            <v>37.35</v>
          </cell>
        </row>
        <row r="186">
          <cell r="A186">
            <v>131</v>
          </cell>
          <cell r="B186" t="str">
            <v>ADESIVO ESTRUTURAL A BASE DE RESINA EPOXI, BICOMPONENTE, PASTOSO (TIXOTROPICO)</v>
          </cell>
          <cell r="C186" t="str">
            <v xml:space="preserve">KG    </v>
          </cell>
          <cell r="D186">
            <v>31.94</v>
          </cell>
        </row>
        <row r="187">
          <cell r="A187">
            <v>39719</v>
          </cell>
          <cell r="B187" t="str">
            <v>ADESIVO LIQUIDO A BASE DE RESINAS PARA COLAGEM DE ESPUMA DE ISOLAMENTO TERMICO FLEXIVEL</v>
          </cell>
          <cell r="C187" t="str">
            <v xml:space="preserve">L     </v>
          </cell>
          <cell r="D187">
            <v>108.01</v>
          </cell>
        </row>
        <row r="188">
          <cell r="A188">
            <v>21114</v>
          </cell>
          <cell r="B188" t="str">
            <v>ADESIVO PARA TUBOS CPVC, *75* G</v>
          </cell>
          <cell r="C188" t="str">
            <v xml:space="preserve">UN    </v>
          </cell>
          <cell r="D188">
            <v>23.14</v>
          </cell>
        </row>
        <row r="189">
          <cell r="A189">
            <v>119</v>
          </cell>
          <cell r="B189" t="str">
            <v>ADESIVO PLASTICO PARA PVC, BISNAGA COM 75 GR</v>
          </cell>
          <cell r="C189" t="str">
            <v xml:space="preserve">UN    </v>
          </cell>
          <cell r="D189">
            <v>9.1300000000000008</v>
          </cell>
        </row>
        <row r="190">
          <cell r="A190">
            <v>20080</v>
          </cell>
          <cell r="B190" t="str">
            <v>ADESIVO PLASTICO PARA PVC, FRASCO COM 175 GR</v>
          </cell>
          <cell r="C190" t="str">
            <v xml:space="preserve">UN    </v>
          </cell>
          <cell r="D190">
            <v>26.17</v>
          </cell>
        </row>
        <row r="191">
          <cell r="A191">
            <v>122</v>
          </cell>
          <cell r="B191" t="str">
            <v>ADESIVO PLASTICO PARA PVC, FRASCO COM 850 GR</v>
          </cell>
          <cell r="C191" t="str">
            <v xml:space="preserve">UN    </v>
          </cell>
          <cell r="D191">
            <v>82.47</v>
          </cell>
        </row>
        <row r="192">
          <cell r="A192">
            <v>3410</v>
          </cell>
          <cell r="B192" t="str">
            <v>ADESIVO/COLA PARA EPS (ISOPOR) E OUTROS MATERIAIS</v>
          </cell>
          <cell r="C192" t="str">
            <v xml:space="preserve">KG    </v>
          </cell>
          <cell r="D192">
            <v>19.72</v>
          </cell>
        </row>
        <row r="193">
          <cell r="A193">
            <v>124</v>
          </cell>
          <cell r="B193" t="str">
            <v>ADITIVO ACELERADOR DE PEGA E ENDURECIMENTO PARA ARGAMASSAS E CONCRETOS, LIQUIDO E ISENTO DE CLORETOS</v>
          </cell>
          <cell r="C193" t="str">
            <v xml:space="preserve">L     </v>
          </cell>
          <cell r="D193">
            <v>12.32</v>
          </cell>
        </row>
        <row r="194">
          <cell r="A194">
            <v>7334</v>
          </cell>
          <cell r="B194" t="str">
            <v>ADITIVO ADESIVO LIQUIDO PARA ARGAMASSAS DE REVESTIMENTOS CIMENTICIOS</v>
          </cell>
          <cell r="C194" t="str">
            <v xml:space="preserve">L     </v>
          </cell>
          <cell r="D194">
            <v>9</v>
          </cell>
        </row>
        <row r="195">
          <cell r="A195">
            <v>123</v>
          </cell>
          <cell r="B195" t="str">
            <v>ADITIVO IMPERMEABILIZANTE DE PEGA NORMAL PARA ARGAMASSAS E CONCRETOS SEM ARMACAO, LIQUIDO E ISENTO DE CLORETOS</v>
          </cell>
          <cell r="C195" t="str">
            <v xml:space="preserve">L     </v>
          </cell>
          <cell r="D195">
            <v>5.04</v>
          </cell>
        </row>
        <row r="196">
          <cell r="A196">
            <v>127</v>
          </cell>
          <cell r="B196" t="str">
            <v>ADITIVO IMPERMEABILIZANTE DE PEGA ULTRARRAPIDA, LIQUIDO E ISENTO DE CLORETOS</v>
          </cell>
          <cell r="C196" t="str">
            <v xml:space="preserve">L     </v>
          </cell>
          <cell r="D196">
            <v>12.03</v>
          </cell>
        </row>
        <row r="197">
          <cell r="A197">
            <v>41373</v>
          </cell>
          <cell r="B197" t="str">
            <v>ADITIVO LIQUIDO IMPERMEABILIZANTE CRISTALIZANTE</v>
          </cell>
          <cell r="C197" t="str">
            <v xml:space="preserve">L     </v>
          </cell>
          <cell r="D197">
            <v>16.760000000000002</v>
          </cell>
        </row>
        <row r="198">
          <cell r="A198">
            <v>133</v>
          </cell>
          <cell r="B198" t="str">
            <v>ADITIVO LIQUIDO INCORPORADOR DE AR PARA CONCRETO E ARGAMASSA, LIQUIDO E ISENTO DE CLORETOS</v>
          </cell>
          <cell r="C198" t="str">
            <v xml:space="preserve">L     </v>
          </cell>
          <cell r="D198">
            <v>4.99</v>
          </cell>
        </row>
        <row r="199">
          <cell r="A199">
            <v>43617</v>
          </cell>
          <cell r="B199" t="str">
            <v>ADITIVO PLASTIFICANTE E ESTABILIZADOR PARA ARGAMASSAS DE ASSENTAMENTO E REBOCO, LIQUIDO E ISENTO DE CLORETOS</v>
          </cell>
          <cell r="C199" t="str">
            <v xml:space="preserve">L     </v>
          </cell>
          <cell r="D199">
            <v>5.58</v>
          </cell>
        </row>
        <row r="200">
          <cell r="A200">
            <v>132</v>
          </cell>
          <cell r="B200" t="str">
            <v>ADITIVO PLASTIFICANTE RETARDADOR DE PEGA E REDUTOR DE AGUA PARA CONCRETO, LIQUIDO E ISENTO DE CLORETOS</v>
          </cell>
          <cell r="C200" t="str">
            <v xml:space="preserve">L     </v>
          </cell>
          <cell r="D200">
            <v>5.18</v>
          </cell>
        </row>
        <row r="201">
          <cell r="A201">
            <v>43618</v>
          </cell>
          <cell r="B201" t="str">
            <v>ADITIVO SUPERPLASTIFICANTE DE PEGA NORMAL PARA CONCRETO, LIQUIDO E ISENTO DE CLORETOS</v>
          </cell>
          <cell r="C201" t="str">
            <v xml:space="preserve">KG    </v>
          </cell>
          <cell r="D201">
            <v>13.04</v>
          </cell>
        </row>
        <row r="202">
          <cell r="A202">
            <v>37476</v>
          </cell>
          <cell r="B202" t="str">
            <v>ADUELA/ GALERIA PRÃ-MOLDADA DE CONCRETO ARMADO, SEÃÃO RETANGULAR INTERNA DE 1,50 X 1,50 M (L X A), MÃSULA DE 20X20CM, C = 1.00 M, EMÃN = 15 CM, TB-45 E FCK DO CONCRETO = 30 MPA.</v>
          </cell>
          <cell r="C202" t="str">
            <v xml:space="preserve">UN    </v>
          </cell>
          <cell r="D202">
            <v>2036.57</v>
          </cell>
        </row>
        <row r="203">
          <cell r="A203">
            <v>37478</v>
          </cell>
          <cell r="B203" t="str">
            <v>ADUELA/ GALERIA PRÃ-MOLDADA DE CONCRETO ARMADO, SEÃÃO RETANGULAR INTERNA DE 2,00 X 2,00 M (L X A), MÃSULA DE 20X20CM, C = 1.00 M, EMÃN = 15 CM, TB-45 E FCK DO CONCRETO = 30 MPA.</v>
          </cell>
          <cell r="C203" t="str">
            <v xml:space="preserve">UN    </v>
          </cell>
          <cell r="D203">
            <v>2550.85</v>
          </cell>
        </row>
        <row r="204">
          <cell r="A204">
            <v>37477</v>
          </cell>
          <cell r="B204" t="str">
            <v>ADUELA/ GALERIA PRÃ-MOLDADA DE CONCRETO ARMADO, SEÃÃO RETANGULAR INTERNA DE 2,50 X 2,50 M (L X A), MÃSULA DE 20X20CM, C = 1.00 M, EMÃN = 15 CM, TB-45 E FCK DO CONCRETO = 30 MPA.</v>
          </cell>
          <cell r="C204" t="str">
            <v xml:space="preserve">UN    </v>
          </cell>
          <cell r="D204">
            <v>3455.99</v>
          </cell>
        </row>
        <row r="205">
          <cell r="A205">
            <v>37479</v>
          </cell>
          <cell r="B205" t="str">
            <v>ADUELA/ GALERIA PRÃ-MOLDADA DE CONCRETO ARMADO, SEÃÃO RETANGULAR INTERNA DE 3,00 X 3,00 M (L X A), MÃSULA DE 20X20CM, C = 1.00 M, EMÃN = 20 CM, TB-45 E FCK DO CONCRETO = 30 MPA.</v>
          </cell>
          <cell r="C205" t="str">
            <v xml:space="preserve">UN    </v>
          </cell>
          <cell r="D205">
            <v>4098.8500000000004</v>
          </cell>
        </row>
        <row r="206">
          <cell r="A206">
            <v>41632</v>
          </cell>
          <cell r="B206" t="str">
            <v>ADUELA/GALERIA DE CONCRETO ARMADO, SECAO RETANGULAR 2.00 X 1.00 M (L X A), C = 1.00 M, E = 20 CM</v>
          </cell>
          <cell r="C206" t="str">
            <v xml:space="preserve">UN    </v>
          </cell>
          <cell r="D206">
            <v>2226.85</v>
          </cell>
        </row>
        <row r="207">
          <cell r="A207">
            <v>41634</v>
          </cell>
          <cell r="B207" t="str">
            <v>ADUELA/GALERIA DE CONCRETO ARMADO, SECAO RETANGULAR 2.00 X 1.50 M (L X A), C = 1.00 M, E = 20 CM</v>
          </cell>
          <cell r="C207" t="str">
            <v xml:space="preserve">UN    </v>
          </cell>
          <cell r="D207">
            <v>2437.14</v>
          </cell>
        </row>
        <row r="208">
          <cell r="A208">
            <v>41633</v>
          </cell>
          <cell r="B208" t="str">
            <v>ADUELA/GALERIA DE CONCRETO ARMADO, SECAO RETANGULAR 2.50 X 1.00 M (L X A), C = 1.00 M, E = 20 CM</v>
          </cell>
          <cell r="C208" t="str">
            <v xml:space="preserve">UN    </v>
          </cell>
          <cell r="D208">
            <v>2615.14</v>
          </cell>
        </row>
        <row r="209">
          <cell r="A209">
            <v>41635</v>
          </cell>
          <cell r="B209" t="str">
            <v>ADUELA/GALERIA DE CONCRETO ARMADO, SECAO RETANGULAR 2.50 X 1.50 M (L X A), C = 1.00 M, E = 20 CM</v>
          </cell>
          <cell r="C209" t="str">
            <v xml:space="preserve">UN    </v>
          </cell>
          <cell r="D209">
            <v>2933.99</v>
          </cell>
        </row>
        <row r="210">
          <cell r="A210">
            <v>4319</v>
          </cell>
          <cell r="B210" t="str">
            <v>AFASTADOR PARA TELHA DE FIBROCIMENTO CANALETE 90 OU KALHETAO</v>
          </cell>
          <cell r="C210" t="str">
            <v xml:space="preserve">UN    </v>
          </cell>
          <cell r="D210">
            <v>1.02</v>
          </cell>
        </row>
        <row r="211">
          <cell r="A211">
            <v>42409</v>
          </cell>
          <cell r="B211" t="str">
            <v>AGENTE DE CURA, PROTETOR DA EVAPORACAO DA AGUA DE HIDRATACAO DO CONCRETO</v>
          </cell>
          <cell r="C211" t="str">
            <v xml:space="preserve">KG    </v>
          </cell>
          <cell r="D211">
            <v>8.2100000000000009</v>
          </cell>
        </row>
        <row r="212">
          <cell r="A212">
            <v>40553</v>
          </cell>
          <cell r="B212" t="str">
            <v>AGREGADO RECICLADO, TIPO RACHAO RECICLADO CINZA, CLASSE A</v>
          </cell>
          <cell r="C212" t="str">
            <v xml:space="preserve">M3    </v>
          </cell>
          <cell r="D212">
            <v>35.75</v>
          </cell>
        </row>
        <row r="213">
          <cell r="A213">
            <v>13003</v>
          </cell>
          <cell r="B213" t="str">
            <v>AGUA SANITARIA</v>
          </cell>
          <cell r="C213" t="str">
            <v xml:space="preserve">L     </v>
          </cell>
          <cell r="D213">
            <v>2.46</v>
          </cell>
        </row>
        <row r="214">
          <cell r="A214">
            <v>6114</v>
          </cell>
          <cell r="B214" t="str">
            <v>AJUDANTE DE ARMADOR</v>
          </cell>
          <cell r="C214" t="str">
            <v xml:space="preserve">H     </v>
          </cell>
          <cell r="D214">
            <v>10.31</v>
          </cell>
        </row>
        <row r="215">
          <cell r="A215">
            <v>40912</v>
          </cell>
          <cell r="B215" t="str">
            <v>AJUDANTE DE ARMADOR (MENSALISTA)</v>
          </cell>
          <cell r="C215" t="str">
            <v xml:space="preserve">MES   </v>
          </cell>
          <cell r="D215">
            <v>1832.18</v>
          </cell>
        </row>
        <row r="216">
          <cell r="A216">
            <v>247</v>
          </cell>
          <cell r="B216" t="str">
            <v>AJUDANTE DE ELETRICISTA</v>
          </cell>
          <cell r="C216" t="str">
            <v xml:space="preserve">H     </v>
          </cell>
          <cell r="D216">
            <v>10.76</v>
          </cell>
        </row>
        <row r="217">
          <cell r="A217">
            <v>40919</v>
          </cell>
          <cell r="B217" t="str">
            <v>AJUDANTE DE ELETRICISTA (MENSALISTA)</v>
          </cell>
          <cell r="C217" t="str">
            <v xml:space="preserve">MES   </v>
          </cell>
          <cell r="D217">
            <v>1911.41</v>
          </cell>
        </row>
        <row r="218">
          <cell r="A218">
            <v>25958</v>
          </cell>
          <cell r="B218" t="str">
            <v>AJUDANTE DE ESTRUTURAS METALICAS</v>
          </cell>
          <cell r="C218" t="str">
            <v xml:space="preserve">H     </v>
          </cell>
          <cell r="D218">
            <v>7.65</v>
          </cell>
        </row>
        <row r="219">
          <cell r="A219">
            <v>40984</v>
          </cell>
          <cell r="B219" t="str">
            <v>AJUDANTE DE ESTRUTURAS METALICAS (MENSALISTA)</v>
          </cell>
          <cell r="C219" t="str">
            <v xml:space="preserve">MES   </v>
          </cell>
          <cell r="D219">
            <v>1357.33</v>
          </cell>
        </row>
        <row r="220">
          <cell r="A220">
            <v>248</v>
          </cell>
          <cell r="B220" t="str">
            <v>AJUDANTE DE OPERACAO EM GERAL</v>
          </cell>
          <cell r="C220" t="str">
            <v xml:space="preserve">H     </v>
          </cell>
          <cell r="D220">
            <v>10.68</v>
          </cell>
        </row>
        <row r="221">
          <cell r="A221">
            <v>41086</v>
          </cell>
          <cell r="B221" t="str">
            <v>AJUDANTE DE OPERACAO EM GERAL (MENSALISTA)</v>
          </cell>
          <cell r="C221" t="str">
            <v xml:space="preserve">MES   </v>
          </cell>
          <cell r="D221">
            <v>1895.88</v>
          </cell>
        </row>
        <row r="222">
          <cell r="A222">
            <v>34466</v>
          </cell>
          <cell r="B222" t="str">
            <v>AJUDANTE DE PINTOR</v>
          </cell>
          <cell r="C222" t="str">
            <v xml:space="preserve">H     </v>
          </cell>
          <cell r="D222">
            <v>10.68</v>
          </cell>
        </row>
        <row r="223">
          <cell r="A223">
            <v>41083</v>
          </cell>
          <cell r="B223" t="str">
            <v>AJUDANTE DE PINTOR (MENSALISTA)</v>
          </cell>
          <cell r="C223" t="str">
            <v xml:space="preserve">MES   </v>
          </cell>
          <cell r="D223">
            <v>1895.88</v>
          </cell>
        </row>
        <row r="224">
          <cell r="A224">
            <v>252</v>
          </cell>
          <cell r="B224" t="str">
            <v>AJUDANTE DE SERRALHEIRO</v>
          </cell>
          <cell r="C224" t="str">
            <v xml:space="preserve">H     </v>
          </cell>
          <cell r="D224">
            <v>11.08</v>
          </cell>
        </row>
        <row r="225">
          <cell r="A225">
            <v>40909</v>
          </cell>
          <cell r="B225" t="str">
            <v>AJUDANTE DE SERRALHEIRO (MENSALISTA)</v>
          </cell>
          <cell r="C225" t="str">
            <v xml:space="preserve">MES   </v>
          </cell>
          <cell r="D225">
            <v>1965.19</v>
          </cell>
        </row>
        <row r="226">
          <cell r="A226">
            <v>242</v>
          </cell>
          <cell r="B226" t="str">
            <v>AJUDANTE ESPECIALIZADO</v>
          </cell>
          <cell r="C226" t="str">
            <v xml:space="preserve">H     </v>
          </cell>
          <cell r="D226">
            <v>14.28</v>
          </cell>
        </row>
        <row r="227">
          <cell r="A227">
            <v>41085</v>
          </cell>
          <cell r="B227" t="str">
            <v>AJUDANTE ESPECIALIZADO (MENSALISTA)</v>
          </cell>
          <cell r="C227" t="str">
            <v xml:space="preserve">MES   </v>
          </cell>
          <cell r="D227">
            <v>2535.79</v>
          </cell>
        </row>
        <row r="228">
          <cell r="A228">
            <v>427</v>
          </cell>
          <cell r="B228" t="str">
            <v>ALCA PREFORMADA DE CONTRA POSTE, EM ACO GALVANIZADO, PARA CABO 3/16", COMPRIMENTO *860* MM</v>
          </cell>
          <cell r="C228" t="str">
            <v xml:space="preserve">UN    </v>
          </cell>
          <cell r="D228">
            <v>4.8899999999999997</v>
          </cell>
        </row>
        <row r="229">
          <cell r="A229">
            <v>417</v>
          </cell>
          <cell r="B229" t="str">
            <v>ALCA PREFORMADA DE DISTRIBUICAO, EM ACO GALVANIZADO, PARA CABO DE ALUMINIO DIAMETRO 16 A 25 MM</v>
          </cell>
          <cell r="C229" t="str">
            <v xml:space="preserve">UN    </v>
          </cell>
          <cell r="D229">
            <v>2.2999999999999998</v>
          </cell>
        </row>
        <row r="230">
          <cell r="A230">
            <v>11273</v>
          </cell>
          <cell r="B230" t="str">
            <v>ALCA PREFORMADA DE DISTRIBUICAO, EM ACO GALVANIZADO, PARA CONDUTORES DE ALUMINIO AWG 1/0 (CAA 6/1 OU CA 7 FIOS)</v>
          </cell>
          <cell r="C230" t="str">
            <v xml:space="preserve">UN    </v>
          </cell>
          <cell r="D230">
            <v>7.15</v>
          </cell>
        </row>
        <row r="231">
          <cell r="A231">
            <v>11272</v>
          </cell>
          <cell r="B231" t="str">
            <v>ALCA PREFORMADA DE DISTRIBUICAO, EM ACO GALVANIZADO, PARA CONDUTORES DE ALUMINIO AWG 2 (CAA 6/1 OU CA 7 FIOS)</v>
          </cell>
          <cell r="C231" t="str">
            <v xml:space="preserve">UN    </v>
          </cell>
          <cell r="D231">
            <v>4.3099999999999996</v>
          </cell>
        </row>
        <row r="232">
          <cell r="A232">
            <v>11275</v>
          </cell>
          <cell r="B232" t="str">
            <v>ALCA PREFORMADA DE SERVICO, EM ACO GALVANIZADO, PARA CONDUTORES DE ALUMINIO AWG 4 (CAA 6/1)</v>
          </cell>
          <cell r="C232" t="str">
            <v xml:space="preserve">UN    </v>
          </cell>
          <cell r="D232">
            <v>1.73</v>
          </cell>
        </row>
        <row r="233">
          <cell r="A233">
            <v>11274</v>
          </cell>
          <cell r="B233" t="str">
            <v>ALCA PREFORMADA DE SERVICO, EM ACO GALVANIZADO, PARA CONDUTORES DE ALUMINIO AWG 6 (CAA 6/1)</v>
          </cell>
          <cell r="C233" t="str">
            <v xml:space="preserve">UN    </v>
          </cell>
          <cell r="D233">
            <v>1.32</v>
          </cell>
        </row>
        <row r="234">
          <cell r="A234">
            <v>38470</v>
          </cell>
          <cell r="B234" t="str">
            <v>ALICATE DE CORTE DIAGONAL 6 " COM ISOLAMENTO</v>
          </cell>
          <cell r="C234" t="str">
            <v xml:space="preserve">UN    </v>
          </cell>
          <cell r="D234">
            <v>39.5</v>
          </cell>
        </row>
        <row r="235">
          <cell r="A235">
            <v>38547</v>
          </cell>
          <cell r="B235" t="str">
            <v>ALICATE DE CRIMPAR RJ11, RJ12 E RJ45</v>
          </cell>
          <cell r="C235" t="str">
            <v xml:space="preserve">UN    </v>
          </cell>
          <cell r="D235">
            <v>107.79</v>
          </cell>
        </row>
        <row r="236">
          <cell r="A236">
            <v>38469</v>
          </cell>
          <cell r="B236" t="str">
            <v>ALICATE DE PRESSAO PARA SOLDA DE CHAPA 18 "</v>
          </cell>
          <cell r="C236" t="str">
            <v xml:space="preserve">UN    </v>
          </cell>
          <cell r="D236">
            <v>115.9</v>
          </cell>
        </row>
        <row r="237">
          <cell r="A237">
            <v>38467</v>
          </cell>
          <cell r="B237" t="str">
            <v>ALICATE DE PRESSAO 11 " PARA SOLDA, TIPO C</v>
          </cell>
          <cell r="C237" t="str">
            <v xml:space="preserve">UN    </v>
          </cell>
          <cell r="D237">
            <v>65.209999999999994</v>
          </cell>
        </row>
        <row r="238">
          <cell r="A238">
            <v>38468</v>
          </cell>
          <cell r="B238" t="str">
            <v>ALICATE DE PRESSAO 11 " PARA SOLDA, TIPO U</v>
          </cell>
          <cell r="C238" t="str">
            <v xml:space="preserve">UN    </v>
          </cell>
          <cell r="D238">
            <v>71.760000000000005</v>
          </cell>
        </row>
        <row r="239">
          <cell r="A239">
            <v>38471</v>
          </cell>
          <cell r="B239" t="str">
            <v>ALICATE PARA ANEIS DE PISTAO, CAPACIDADE 50 A 100 MM</v>
          </cell>
          <cell r="C239" t="str">
            <v xml:space="preserve">UN    </v>
          </cell>
          <cell r="D239">
            <v>93.19</v>
          </cell>
        </row>
        <row r="240">
          <cell r="A240">
            <v>37370</v>
          </cell>
          <cell r="B240" t="str">
            <v>ALIMENTACAO - HORISTA (COLETADO CAIXA)</v>
          </cell>
          <cell r="C240" t="str">
            <v xml:space="preserve">H     </v>
          </cell>
          <cell r="D240">
            <v>2.2000000000000002</v>
          </cell>
        </row>
        <row r="241">
          <cell r="A241">
            <v>40862</v>
          </cell>
          <cell r="B241" t="str">
            <v>ALIMENTACAO - MENSALISTA (COLETADO CAIXA)</v>
          </cell>
          <cell r="C241" t="str">
            <v xml:space="preserve">MES   </v>
          </cell>
          <cell r="D241">
            <v>415.08</v>
          </cell>
        </row>
        <row r="242">
          <cell r="A242">
            <v>10658</v>
          </cell>
          <cell r="B242" t="str">
            <v>ALISADORA DE CONCRETO COM MOTOR A GASOLINA DE 5,5 HP, PESO COM MOTOR DE 78 KG, 4 PAS</v>
          </cell>
          <cell r="C242" t="str">
            <v xml:space="preserve">UN    </v>
          </cell>
          <cell r="D242">
            <v>6945</v>
          </cell>
        </row>
        <row r="243">
          <cell r="A243">
            <v>253</v>
          </cell>
          <cell r="B243" t="str">
            <v>ALMOXARIFE</v>
          </cell>
          <cell r="C243" t="str">
            <v xml:space="preserve">H     </v>
          </cell>
          <cell r="D243">
            <v>14.81</v>
          </cell>
        </row>
        <row r="244">
          <cell r="A244">
            <v>40809</v>
          </cell>
          <cell r="B244" t="str">
            <v>ALMOXARIFE (MENSALISTA)</v>
          </cell>
          <cell r="C244" t="str">
            <v xml:space="preserve">MES   </v>
          </cell>
          <cell r="D244">
            <v>2626.51</v>
          </cell>
        </row>
        <row r="245">
          <cell r="A245">
            <v>42428</v>
          </cell>
          <cell r="B245" t="str">
            <v>ALONGADOR COM TRES ALTURAS, EM TUBO DE ACO CARBONO, PINTURA NO PROCESSO ELETROSTATICO - EQUIPAMENTO DE GINASTICA PARA ACADEMIA AO AR LIVRE / ACADEMIA DA TERCEIRA IDADE - ATI</v>
          </cell>
          <cell r="C245" t="str">
            <v xml:space="preserve">UN    </v>
          </cell>
          <cell r="D245">
            <v>1264</v>
          </cell>
        </row>
        <row r="246">
          <cell r="A246">
            <v>583</v>
          </cell>
          <cell r="B246" t="str">
            <v>ALUMINIO ANODIZADO</v>
          </cell>
          <cell r="C246" t="str">
            <v xml:space="preserve">KG    </v>
          </cell>
          <cell r="D246">
            <v>29.21</v>
          </cell>
        </row>
        <row r="247">
          <cell r="A247">
            <v>299</v>
          </cell>
          <cell r="B247" t="str">
            <v>ANEL BORRACHA DN 100 MM, PARA TUBO SERIE REFORCADA ESGOTO PREDIAL</v>
          </cell>
          <cell r="C247" t="str">
            <v xml:space="preserve">UN    </v>
          </cell>
          <cell r="D247">
            <v>2.99</v>
          </cell>
        </row>
        <row r="248">
          <cell r="A248">
            <v>298</v>
          </cell>
          <cell r="B248" t="str">
            <v>ANEL BORRACHA DN 75 MM, PARA TUBO SERIE REFORCADA ESGOTO PREDIAL</v>
          </cell>
          <cell r="C248" t="str">
            <v xml:space="preserve">UN    </v>
          </cell>
          <cell r="D248">
            <v>3.01</v>
          </cell>
        </row>
        <row r="249">
          <cell r="A249">
            <v>295</v>
          </cell>
          <cell r="B249" t="str">
            <v>ANEL BORRACHA PARA TUBO ESGOTO PREDIAL DN 40 MM (NBR 5688)</v>
          </cell>
          <cell r="C249" t="str">
            <v xml:space="preserve">UN    </v>
          </cell>
          <cell r="D249">
            <v>1.79</v>
          </cell>
        </row>
        <row r="250">
          <cell r="A250">
            <v>296</v>
          </cell>
          <cell r="B250" t="str">
            <v>ANEL BORRACHA PARA TUBO ESGOTO PREDIAL DN 50 MM (NBR 5688)</v>
          </cell>
          <cell r="C250" t="str">
            <v xml:space="preserve">UN    </v>
          </cell>
          <cell r="D250">
            <v>1.86</v>
          </cell>
        </row>
        <row r="251">
          <cell r="A251">
            <v>297</v>
          </cell>
          <cell r="B251" t="str">
            <v>ANEL BORRACHA PARA TUBO ESGOTO PREDIAL DN 75 MM (NBR 5688)</v>
          </cell>
          <cell r="C251" t="str">
            <v xml:space="preserve">UN    </v>
          </cell>
          <cell r="D251">
            <v>2.63</v>
          </cell>
        </row>
        <row r="252">
          <cell r="A252">
            <v>301</v>
          </cell>
          <cell r="B252" t="str">
            <v>ANEL BORRACHA PARA TUBO ESGOTO PREDIAL, DN 100 MM (NBR 5688)</v>
          </cell>
          <cell r="C252" t="str">
            <v xml:space="preserve">UN    </v>
          </cell>
          <cell r="D252">
            <v>3.3</v>
          </cell>
        </row>
        <row r="253">
          <cell r="A253">
            <v>300</v>
          </cell>
          <cell r="B253" t="str">
            <v>ANEL BORRACHA, DN 150 MM, PARA TUBO SERIE REFORCADA ESGOTO PREDIAL</v>
          </cell>
          <cell r="C253" t="str">
            <v xml:space="preserve">UN    </v>
          </cell>
          <cell r="D253">
            <v>13.86</v>
          </cell>
        </row>
        <row r="254">
          <cell r="A254">
            <v>20084</v>
          </cell>
          <cell r="B254" t="str">
            <v>ANEL BORRACHA, DN 40 MM, PARA TUBO SERIE REFORCADA ESGOTO PREDIAL</v>
          </cell>
          <cell r="C254" t="str">
            <v xml:space="preserve">UN    </v>
          </cell>
          <cell r="D254">
            <v>1.79</v>
          </cell>
        </row>
        <row r="255">
          <cell r="A255">
            <v>20085</v>
          </cell>
          <cell r="B255" t="str">
            <v>ANEL BORRACHA, DN 50 MM, PARA TUBO SERIE REFORCADA ESGOTO PREDIAL</v>
          </cell>
          <cell r="C255" t="str">
            <v xml:space="preserve">UN    </v>
          </cell>
          <cell r="D255">
            <v>1.66</v>
          </cell>
        </row>
        <row r="256">
          <cell r="A256">
            <v>311</v>
          </cell>
          <cell r="B256" t="str">
            <v>ANEL BORRACHA, PARA TUBO PVC DEFOFO, DN 100 MM (NBR 7665)</v>
          </cell>
          <cell r="C256" t="str">
            <v xml:space="preserve">UN    </v>
          </cell>
          <cell r="D256">
            <v>10.73</v>
          </cell>
        </row>
        <row r="257">
          <cell r="A257">
            <v>318</v>
          </cell>
          <cell r="B257" t="str">
            <v>ANEL BORRACHA, PARA TUBO PVC DEFOFO, DN 150 MM (NBR 7665)</v>
          </cell>
          <cell r="C257" t="str">
            <v xml:space="preserve">UN    </v>
          </cell>
          <cell r="D257">
            <v>18.79</v>
          </cell>
        </row>
        <row r="258">
          <cell r="A258">
            <v>319</v>
          </cell>
          <cell r="B258" t="str">
            <v>ANEL BORRACHA, PARA TUBO PVC DEFOFO, DN 200 MM (NBR 7665)</v>
          </cell>
          <cell r="C258" t="str">
            <v xml:space="preserve">UN    </v>
          </cell>
          <cell r="D258">
            <v>35.49</v>
          </cell>
        </row>
        <row r="259">
          <cell r="A259">
            <v>320</v>
          </cell>
          <cell r="B259" t="str">
            <v>ANEL BORRACHA, PARA TUBO PVC DEFOFO, DN 250 MM (NBR 7665)</v>
          </cell>
          <cell r="C259" t="str">
            <v xml:space="preserve">UN    </v>
          </cell>
          <cell r="D259">
            <v>112.84</v>
          </cell>
        </row>
        <row r="260">
          <cell r="A260">
            <v>314</v>
          </cell>
          <cell r="B260" t="str">
            <v>ANEL BORRACHA, PARA TUBO PVC DEFOFO, DN 300 MM (NBR 7665)</v>
          </cell>
          <cell r="C260" t="str">
            <v xml:space="preserve">UN    </v>
          </cell>
          <cell r="D260">
            <v>173.33</v>
          </cell>
        </row>
        <row r="261">
          <cell r="A261">
            <v>303</v>
          </cell>
          <cell r="B261" t="str">
            <v>ANEL BORRACHA, PARA TUBO PVC, REDE COLETOR ESGOTO, DN 100 MM (NBR 7362)</v>
          </cell>
          <cell r="C261" t="str">
            <v xml:space="preserve">UN    </v>
          </cell>
          <cell r="D261">
            <v>4.49</v>
          </cell>
        </row>
        <row r="262">
          <cell r="A262">
            <v>304</v>
          </cell>
          <cell r="B262" t="str">
            <v>ANEL BORRACHA, PARA TUBO PVC, REDE COLETOR ESGOTO, DN 125 MM (NBR 7362)</v>
          </cell>
          <cell r="C262" t="str">
            <v xml:space="preserve">UN    </v>
          </cell>
          <cell r="D262">
            <v>6.86</v>
          </cell>
        </row>
        <row r="263">
          <cell r="A263">
            <v>305</v>
          </cell>
          <cell r="B263" t="str">
            <v>ANEL BORRACHA, PARA TUBO PVC, REDE COLETOR ESGOTO, DN 150 MM (NBR 7362)</v>
          </cell>
          <cell r="C263" t="str">
            <v xml:space="preserve">UN    </v>
          </cell>
          <cell r="D263">
            <v>11.73</v>
          </cell>
        </row>
        <row r="264">
          <cell r="A264">
            <v>306</v>
          </cell>
          <cell r="B264" t="str">
            <v>ANEL BORRACHA, PARA TUBO PVC, REDE COLETOR ESGOTO, DN 200 MM (NBR 7362)</v>
          </cell>
          <cell r="C264" t="str">
            <v xml:space="preserve">UN    </v>
          </cell>
          <cell r="D264">
            <v>14.09</v>
          </cell>
        </row>
        <row r="265">
          <cell r="A265">
            <v>307</v>
          </cell>
          <cell r="B265" t="str">
            <v>ANEL BORRACHA, PARA TUBO PVC, REDE COLETOR ESGOTO, DN 250 MM (NBR 7362)</v>
          </cell>
          <cell r="C265" t="str">
            <v xml:space="preserve">UN    </v>
          </cell>
          <cell r="D265">
            <v>27.83</v>
          </cell>
        </row>
        <row r="266">
          <cell r="A266">
            <v>309</v>
          </cell>
          <cell r="B266" t="str">
            <v>ANEL BORRACHA, PARA TUBO PVC, REDE COLETOR ESGOTO, DN 350 MM (NBR 7362)</v>
          </cell>
          <cell r="C266" t="str">
            <v xml:space="preserve">UN    </v>
          </cell>
          <cell r="D266">
            <v>57.03</v>
          </cell>
        </row>
        <row r="267">
          <cell r="A267">
            <v>310</v>
          </cell>
          <cell r="B267" t="str">
            <v>ANEL BORRACHA, PARA TUBO PVC, REDE COLETOR ESGOTO, DN 400 MM (NBR 7362)</v>
          </cell>
          <cell r="C267" t="str">
            <v xml:space="preserve">UN    </v>
          </cell>
          <cell r="D267">
            <v>72.33</v>
          </cell>
        </row>
        <row r="268">
          <cell r="A268">
            <v>328</v>
          </cell>
          <cell r="B268" t="str">
            <v>ANEL BORRACHA, PARA TUBO/CONEXAO PVC PBA, DN 100 MM, PARA REDE AGUA</v>
          </cell>
          <cell r="C268" t="str">
            <v xml:space="preserve">UN    </v>
          </cell>
          <cell r="D268">
            <v>8.6300000000000008</v>
          </cell>
        </row>
        <row r="269">
          <cell r="A269">
            <v>325</v>
          </cell>
          <cell r="B269" t="str">
            <v>ANEL BORRACHA, PARA TUBO/CONEXAO PVC PBA, DN 50 MM, PARA REDE AGUA</v>
          </cell>
          <cell r="C269" t="str">
            <v xml:space="preserve">UN    </v>
          </cell>
          <cell r="D269">
            <v>3.34</v>
          </cell>
        </row>
        <row r="270">
          <cell r="A270">
            <v>20326</v>
          </cell>
          <cell r="B270" t="str">
            <v>ANEL BORRACHA, PARA TUBO/CONEXAO PVC PBA, DN 60 MM, PARA REDE AGUA</v>
          </cell>
          <cell r="C270" t="str">
            <v xml:space="preserve">UN    </v>
          </cell>
          <cell r="D270">
            <v>8.9600000000000009</v>
          </cell>
        </row>
        <row r="271">
          <cell r="A271">
            <v>329</v>
          </cell>
          <cell r="B271" t="str">
            <v>ANEL BORRACHA, PARA TUBO/CONEXAO PVC PBA, DN 75 MM, PARA REDE AGUA</v>
          </cell>
          <cell r="C271" t="str">
            <v xml:space="preserve">UN    </v>
          </cell>
          <cell r="D271">
            <v>11.03</v>
          </cell>
        </row>
        <row r="272">
          <cell r="A272">
            <v>308</v>
          </cell>
          <cell r="B272" t="str">
            <v>ANEL BORRACHA, PARA TUBO, PVC REDE COLETOR ESGOTO, DN 300 MM (NBR 7362)</v>
          </cell>
          <cell r="C272" t="str">
            <v xml:space="preserve">UN    </v>
          </cell>
          <cell r="D272">
            <v>37.159999999999997</v>
          </cell>
        </row>
        <row r="273">
          <cell r="A273">
            <v>39642</v>
          </cell>
          <cell r="B273" t="str">
            <v>ANEL DE BORRACHA PARA VEDACAO DE DUTO PEAD CORRUGADO PARA ELETRICA, DN 1 1/2"</v>
          </cell>
          <cell r="C273" t="str">
            <v xml:space="preserve">UN    </v>
          </cell>
          <cell r="D273">
            <v>2.25</v>
          </cell>
        </row>
        <row r="274">
          <cell r="A274">
            <v>39641</v>
          </cell>
          <cell r="B274" t="str">
            <v>ANEL DE BORRACHA PARA VEDACAO DE DUTO PEAD CORRUGADO PARA ELETRICA, DN 1 1/4"</v>
          </cell>
          <cell r="C274" t="str">
            <v xml:space="preserve">UN    </v>
          </cell>
          <cell r="D274">
            <v>1.57</v>
          </cell>
        </row>
        <row r="275">
          <cell r="A275">
            <v>39643</v>
          </cell>
          <cell r="B275" t="str">
            <v>ANEL DE BORRACHA PARA VEDACAO DE DUTO PEAD CORRUGADO PARA ELETRICA, DN 2"</v>
          </cell>
          <cell r="C275" t="str">
            <v xml:space="preserve">UN    </v>
          </cell>
          <cell r="D275">
            <v>6.27</v>
          </cell>
        </row>
        <row r="276">
          <cell r="A276">
            <v>39644</v>
          </cell>
          <cell r="B276" t="str">
            <v>ANEL DE BORRACHA PARA VEDACAO DE DUTO PEAD CORRUGADO PARA ELETRICA, DN 3"</v>
          </cell>
          <cell r="C276" t="str">
            <v xml:space="preserve">UN    </v>
          </cell>
          <cell r="D276">
            <v>8.09</v>
          </cell>
        </row>
        <row r="277">
          <cell r="A277">
            <v>39645</v>
          </cell>
          <cell r="B277" t="str">
            <v>ANEL DE BORRACHA PARA VEDACAO DE DUTO PEAD CORRUGADO PARA ELETRICA, DN 4"</v>
          </cell>
          <cell r="C277" t="str">
            <v xml:space="preserve">UN    </v>
          </cell>
          <cell r="D277">
            <v>10.45</v>
          </cell>
        </row>
        <row r="278">
          <cell r="A278">
            <v>41610</v>
          </cell>
          <cell r="B278" t="str">
            <v>ANEL DE CONCRETO ARMADO COM FUNDO, PARA FOSSA E POCO 1,50 X *0,50* M</v>
          </cell>
          <cell r="C278" t="str">
            <v xml:space="preserve">UN    </v>
          </cell>
          <cell r="D278">
            <v>377.83</v>
          </cell>
        </row>
        <row r="279">
          <cell r="A279">
            <v>41611</v>
          </cell>
          <cell r="B279" t="str">
            <v>ANEL DE CONCRETO ARMADO COM FUNDO, PARA FOSSA E POCO 2,00 X *0,50* M</v>
          </cell>
          <cell r="C279" t="str">
            <v xml:space="preserve">UN    </v>
          </cell>
          <cell r="D279">
            <v>595.54</v>
          </cell>
        </row>
        <row r="280">
          <cell r="A280">
            <v>41612</v>
          </cell>
          <cell r="B280" t="str">
            <v>ANEL DE CONCRETO ARMADO COM FUNDO, PARA FOSSA E POCO 2,50 X *0,50* M</v>
          </cell>
          <cell r="C280" t="str">
            <v xml:space="preserve">UN    </v>
          </cell>
          <cell r="D280">
            <v>836.22</v>
          </cell>
        </row>
        <row r="281">
          <cell r="A281">
            <v>41637</v>
          </cell>
          <cell r="B281" t="str">
            <v>ANEL DE CONCRETO ARMADO, COM FUROS/DRENO PARA SUMIDOURO, D = 0,80 M, H = 0,50 M</v>
          </cell>
          <cell r="C281" t="str">
            <v xml:space="preserve">UN    </v>
          </cell>
          <cell r="D281">
            <v>78.17</v>
          </cell>
        </row>
        <row r="282">
          <cell r="A282">
            <v>41638</v>
          </cell>
          <cell r="B282" t="str">
            <v>ANEL DE CONCRETO ARMADO, COM FUROS/DRENO PARA SUMIDOURO, D = 1,00 M, H = 0,50M</v>
          </cell>
          <cell r="C282" t="str">
            <v xml:space="preserve">UN    </v>
          </cell>
          <cell r="D282">
            <v>101.82</v>
          </cell>
        </row>
        <row r="283">
          <cell r="A283">
            <v>41639</v>
          </cell>
          <cell r="B283" t="str">
            <v>ANEL DE CONCRETO ARMADO, COM FUROS/DRENO PARA SUMIDOURO, D = 1,50 M, H = 0,50 M</v>
          </cell>
          <cell r="C283" t="str">
            <v xml:space="preserve">UN    </v>
          </cell>
          <cell r="D283">
            <v>246.34</v>
          </cell>
        </row>
        <row r="284">
          <cell r="A284">
            <v>11789</v>
          </cell>
          <cell r="B284" t="str">
            <v>ANEL DE DISTRIBUICAO EM ACO GALVANIZADO PARA FIO FE-160</v>
          </cell>
          <cell r="C284" t="str">
            <v xml:space="preserve">UN    </v>
          </cell>
          <cell r="D284">
            <v>0.65</v>
          </cell>
        </row>
        <row r="285">
          <cell r="A285">
            <v>20975</v>
          </cell>
          <cell r="B285" t="str">
            <v>ANEL DE EXPANSAO EM COBRE, ENGATE RAPIDO 1 1/2", PARA EMPATACAO MANGUEIRA DE COMBATE A INCENDIO PREDIAL</v>
          </cell>
          <cell r="C285" t="str">
            <v xml:space="preserve">UN    </v>
          </cell>
          <cell r="D285">
            <v>8.9499999999999993</v>
          </cell>
        </row>
        <row r="286">
          <cell r="A286">
            <v>20976</v>
          </cell>
          <cell r="B286" t="str">
            <v>ANEL DE EXPANSAO EM COBRE, ENGATE RAPIDO 2 1/2", PARA EMPATACAO MANGUEIRA DE COMBATE A INCENDIO PREDIAL</v>
          </cell>
          <cell r="C286" t="str">
            <v xml:space="preserve">UN    </v>
          </cell>
          <cell r="D286">
            <v>13.52</v>
          </cell>
        </row>
        <row r="287">
          <cell r="A287">
            <v>40340</v>
          </cell>
          <cell r="B287" t="str">
            <v>ANEL DE VEDACAO/JUNTA ELASTICA, H = *16* MM, PARA TUBO DE CONCRETO DN 300 MM</v>
          </cell>
          <cell r="C287" t="str">
            <v xml:space="preserve">UN    </v>
          </cell>
          <cell r="D287">
            <v>87.39</v>
          </cell>
        </row>
        <row r="288">
          <cell r="A288">
            <v>40341</v>
          </cell>
          <cell r="B288" t="str">
            <v>ANEL DE VEDACAO/JUNTA ELASTICA, H = *16* MM, PARA TUBO DE CONCRETO DN 400 MM</v>
          </cell>
          <cell r="C288" t="str">
            <v xml:space="preserve">UN    </v>
          </cell>
          <cell r="D288">
            <v>103.48</v>
          </cell>
        </row>
        <row r="289">
          <cell r="A289">
            <v>40342</v>
          </cell>
          <cell r="B289" t="str">
            <v>ANEL DE VEDACAO/JUNTA ELASTICA, H = *16* MM, PARA TUBO DE CONCRETO DN 500 MM</v>
          </cell>
          <cell r="C289" t="str">
            <v xml:space="preserve">UN    </v>
          </cell>
          <cell r="D289">
            <v>131.18</v>
          </cell>
        </row>
        <row r="290">
          <cell r="A290">
            <v>40343</v>
          </cell>
          <cell r="B290" t="str">
            <v>ANEL DE VEDACAO/JUNTA ELASTICA, H = *16* MM, PARA TUBO DE CONCRETO DN 600 MM</v>
          </cell>
          <cell r="C290" t="str">
            <v xml:space="preserve">UN    </v>
          </cell>
          <cell r="D290">
            <v>160.94</v>
          </cell>
        </row>
        <row r="291">
          <cell r="A291">
            <v>40344</v>
          </cell>
          <cell r="B291" t="str">
            <v>ANEL DE VEDACAO/JUNTA ELASTICA, H = *18* MM, PARA TUBO DE CONCRETO DN 700 MM</v>
          </cell>
          <cell r="C291" t="str">
            <v xml:space="preserve">UN    </v>
          </cell>
          <cell r="D291">
            <v>170.17</v>
          </cell>
        </row>
        <row r="292">
          <cell r="A292">
            <v>40345</v>
          </cell>
          <cell r="B292" t="str">
            <v>ANEL DE VEDACAO/JUNTA ELASTICA, H = *19* MM, PARA TUBO DE CONCRETO DN 800 MM</v>
          </cell>
          <cell r="C292" t="str">
            <v xml:space="preserve">UN    </v>
          </cell>
          <cell r="D292">
            <v>212.46</v>
          </cell>
        </row>
        <row r="293">
          <cell r="A293">
            <v>40346</v>
          </cell>
          <cell r="B293" t="str">
            <v>ANEL DE VEDACAO/JUNTA ELASTICA, H = *19* MM, PARA TUBO DE CONCRETO DN 900 MM</v>
          </cell>
          <cell r="C293" t="str">
            <v xml:space="preserve">UN    </v>
          </cell>
          <cell r="D293">
            <v>199.87</v>
          </cell>
        </row>
        <row r="294">
          <cell r="A294">
            <v>40347</v>
          </cell>
          <cell r="B294" t="str">
            <v>ANEL DE VEDACAO/JUNTA ELASTICA, H = *21* MM, PARA TUBO DE CONCRETO DN 1000 MM</v>
          </cell>
          <cell r="C294" t="str">
            <v xml:space="preserve">UN    </v>
          </cell>
          <cell r="D294">
            <v>247.12</v>
          </cell>
        </row>
        <row r="295">
          <cell r="A295">
            <v>38840</v>
          </cell>
          <cell r="B295" t="str">
            <v>ANEL DESLIZANTE / TRADICIONAL, METALICO, PARA TUBO PEX, DN 16 MM</v>
          </cell>
          <cell r="C295" t="str">
            <v xml:space="preserve">UN    </v>
          </cell>
          <cell r="D295">
            <v>2.09</v>
          </cell>
        </row>
        <row r="296">
          <cell r="A296">
            <v>38841</v>
          </cell>
          <cell r="B296" t="str">
            <v>ANEL DESLIZANTE / TRADICIONAL, METALICO, PARA TUBO PEX, DN 20 MM</v>
          </cell>
          <cell r="C296" t="str">
            <v xml:space="preserve">UN    </v>
          </cell>
          <cell r="D296">
            <v>2.3199999999999998</v>
          </cell>
        </row>
        <row r="297">
          <cell r="A297">
            <v>38842</v>
          </cell>
          <cell r="B297" t="str">
            <v>ANEL DESLIZANTE / TRADICIONAL, METALICO, PARA TUBO PEX, DN 25 MM</v>
          </cell>
          <cell r="C297" t="str">
            <v xml:space="preserve">UN    </v>
          </cell>
          <cell r="D297">
            <v>4.59</v>
          </cell>
        </row>
        <row r="298">
          <cell r="A298">
            <v>38843</v>
          </cell>
          <cell r="B298" t="str">
            <v>ANEL DESLIZANTE / TRADICIONAL, METALICO, PARA TUBO PEX, DN 32 MM</v>
          </cell>
          <cell r="C298" t="str">
            <v xml:space="preserve">UN    </v>
          </cell>
          <cell r="D298">
            <v>7.17</v>
          </cell>
        </row>
        <row r="299">
          <cell r="A299">
            <v>43424</v>
          </cell>
          <cell r="B299" t="str">
            <v>ANEL EM CONCRETO ARMADO, LISO,  PARA FOSSAS SEPTICAS E SUMIDOUROS, COM FUNDO, DIAMETRO INTERNO DE 1,20 M E ALTURA DE 0,50 M</v>
          </cell>
          <cell r="C299" t="str">
            <v xml:space="preserve">UN    </v>
          </cell>
          <cell r="D299">
            <v>316.56</v>
          </cell>
        </row>
        <row r="300">
          <cell r="A300">
            <v>43426</v>
          </cell>
          <cell r="B300" t="str">
            <v>ANEL EM CONCRETO ARMADO, LISO, PARA FOSSAS SEPTICAS E SUMIDOUROS, COM FUNDO, DIAMETRO INTERNO DE 3,00 M E ALTURA DE 0,50 M</v>
          </cell>
          <cell r="C300" t="str">
            <v xml:space="preserve">UN    </v>
          </cell>
          <cell r="D300">
            <v>1091.82</v>
          </cell>
        </row>
        <row r="301">
          <cell r="A301">
            <v>12565</v>
          </cell>
          <cell r="B301" t="str">
            <v>ANEL EM CONCRETO ARMADO, LISO, PARA FOSSAS SEPTICAS E SUMIDOUROS, SEM FUNDO, DIAMETRO INTERNO DE 2,00 M E ALTURA DE 0,50 M</v>
          </cell>
          <cell r="C301" t="str">
            <v xml:space="preserve">UN    </v>
          </cell>
          <cell r="D301">
            <v>382.89</v>
          </cell>
        </row>
        <row r="302">
          <cell r="A302">
            <v>12567</v>
          </cell>
          <cell r="B302" t="str">
            <v>ANEL EM CONCRETO ARMADO, LISO, PARA FOSSAS SEPTICAS E SUMIDOUROS, SEM FUNDO, DIAMETRO INTERNO DE 2,50 M E ALTURA DE 0,50 M</v>
          </cell>
          <cell r="C302" t="str">
            <v xml:space="preserve">UN    </v>
          </cell>
          <cell r="D302">
            <v>514.28</v>
          </cell>
        </row>
        <row r="303">
          <cell r="A303">
            <v>12568</v>
          </cell>
          <cell r="B303" t="str">
            <v>ANEL EM CONCRETO ARMADO, LISO, PARA FOSSAS SEPTICAS E SUMIDOUROS, SEM FUNDO, DIAMETRO INTERNO DE 3,00 M E ALTURA DE 0,50 M</v>
          </cell>
          <cell r="C303" t="str">
            <v xml:space="preserve">UN    </v>
          </cell>
          <cell r="D303">
            <v>719.99</v>
          </cell>
        </row>
        <row r="304">
          <cell r="A304">
            <v>43441</v>
          </cell>
          <cell r="B304" t="str">
            <v>ANEL EM CONCRETO ARMADO, LISO, PARA POCOS DE INSPECAO, COM FUNDO, DIAMETRO INTERNO DE 0,60 M E ALTURA DE 0,50 M</v>
          </cell>
          <cell r="C304" t="str">
            <v xml:space="preserve">UN    </v>
          </cell>
          <cell r="D304">
            <v>92.57</v>
          </cell>
        </row>
        <row r="305">
          <cell r="A305">
            <v>43423</v>
          </cell>
          <cell r="B305" t="str">
            <v>ANEL EM CONCRETO ARMADO, LISO, PARA POCOS DE INSPECAO, SEM FUNDO, DIAMETRO INTERNO DE 0,60 M E ALTURA DE 0,20 M</v>
          </cell>
          <cell r="C305" t="str">
            <v xml:space="preserve">UN    </v>
          </cell>
          <cell r="D305">
            <v>43.2</v>
          </cell>
        </row>
        <row r="306">
          <cell r="A306">
            <v>12532</v>
          </cell>
          <cell r="B306" t="str">
            <v>ANEL EM CONCRETO ARMADO, LISO, PARA POCOS DE INSPECAO, SEM FUNDO, DIAMETRO INTERNO DE 0,60 M E ALTURA DE 0,50 M</v>
          </cell>
          <cell r="C306" t="str">
            <v xml:space="preserve">UN    </v>
          </cell>
          <cell r="D306">
            <v>66.62</v>
          </cell>
        </row>
        <row r="307">
          <cell r="A307">
            <v>43444</v>
          </cell>
          <cell r="B307" t="str">
            <v>ANEL EM CONCRETO ARMADO, LISO, PARA POCOS DE VISITA, POCOS DE INSPECAO, FOSSAS SEPTICAS E SUMIDOUROS, COM FUNDO, DIAMETRO INTERNO DE 1,20 M E ALTURA DE 0,75 M</v>
          </cell>
          <cell r="C307" t="str">
            <v xml:space="preserve">UN    </v>
          </cell>
          <cell r="D307">
            <v>223.71</v>
          </cell>
        </row>
        <row r="308">
          <cell r="A308">
            <v>12551</v>
          </cell>
          <cell r="B308" t="str">
            <v>ANEL EM CONCRETO ARMADO, LISO, PARA POCOS DE VISITA, POCOS DE INSPECAO, FOSSAS SEPTICAS E SUMIDOUROS, SEM FUNDO, DIAMETRO INTERNO DE 1,20 M E ALTURA DE 0,50 M</v>
          </cell>
          <cell r="C308" t="str">
            <v xml:space="preserve">UN    </v>
          </cell>
          <cell r="D308">
            <v>159.61000000000001</v>
          </cell>
        </row>
        <row r="309">
          <cell r="A309">
            <v>43442</v>
          </cell>
          <cell r="B309" t="str">
            <v>ANEL EM CONCRETO ARMADO, LISO, PARA POCOS DE VISITAS, POCOS DE INSPECAO, FOSSAS SEPTICAS E SUMIDOUROS, COM FUNDO, DIAMETRO INTERNO DE 0,80 M E ALTURA DE 0,50 M</v>
          </cell>
          <cell r="C309" t="str">
            <v xml:space="preserve">UN    </v>
          </cell>
          <cell r="D309">
            <v>123.42</v>
          </cell>
        </row>
        <row r="310">
          <cell r="A310">
            <v>43443</v>
          </cell>
          <cell r="B310" t="str">
            <v>ANEL EM CONCRETO ARMADO, LISO, PARA POCOS DE VISITAS, POCOS DE INSPECAO, FOSSAS SEPTICAS E SUMIDOUROS, COM FUNDO, DIAMETRO INTERNO DE 1,00 M E ALTURA DE 0,50 M</v>
          </cell>
          <cell r="C310" t="str">
            <v xml:space="preserve">UN    </v>
          </cell>
          <cell r="D310">
            <v>161.99</v>
          </cell>
        </row>
        <row r="311">
          <cell r="A311">
            <v>12544</v>
          </cell>
          <cell r="B311" t="str">
            <v>ANEL EM CONCRETO ARMADO, LISO, PARA POCOS DE VISITAS, POCOS DE INSPECAO, FOSSAS SEPTICAS E SUMIDOUROS, SEM FUNDO, DIAMETRO INTERNO DE 0,80 M E ALTURA DE 0,50 M</v>
          </cell>
          <cell r="C311" t="str">
            <v xml:space="preserve">UN    </v>
          </cell>
          <cell r="D311">
            <v>87.42</v>
          </cell>
        </row>
        <row r="312">
          <cell r="A312">
            <v>12547</v>
          </cell>
          <cell r="B312" t="str">
            <v>ANEL EM CONCRETO ARMADO, LISO, PARA POCOS DE VISITAS, POCOS DE INSPECAO, FOSSAS SEPTICAS E SUMIDOUROS, SEM FUNDO, DIAMETRO INTERNO DE 1,00 M E ALTURA DE 0,50 M</v>
          </cell>
          <cell r="C312" t="str">
            <v xml:space="preserve">UN    </v>
          </cell>
          <cell r="D312">
            <v>117.58</v>
          </cell>
        </row>
        <row r="313">
          <cell r="A313">
            <v>43445</v>
          </cell>
          <cell r="B313" t="str">
            <v>ANEL EM CONCRETO ARMADO, LISO, PARA, POCOS DE VISITA, POCOS DE INSPECAO, FOSSAS SEPTICAS E SUMIDOUROS, COM FUNDO, DIAMETRO INTERNO DE 1,50 M E ALTURA DE 1,00 M</v>
          </cell>
          <cell r="C313" t="str">
            <v xml:space="preserve">UN    </v>
          </cell>
          <cell r="D313">
            <v>308.57</v>
          </cell>
        </row>
        <row r="314">
          <cell r="A314">
            <v>12563</v>
          </cell>
          <cell r="B314" t="str">
            <v>ANEL EM CONCRETO ARMADO, LISO, PARA, POCOS DE VISITA, POCOS DE INSPECAO, FOSSAS SEPTICAS E SUMIDOUROS, SEM FUNDO, DIAMETRO INTERNO DE 1,50 M E ALTURA DE 0,50 M</v>
          </cell>
          <cell r="C314" t="str">
            <v xml:space="preserve">UN    </v>
          </cell>
          <cell r="D314">
            <v>220.77</v>
          </cell>
        </row>
        <row r="315">
          <cell r="A315">
            <v>43425</v>
          </cell>
          <cell r="B315" t="str">
            <v>ANEL EM CONCRETO ARMADO, PERFURADO,  PARA FOSSAS SEPTICAS E SUMIDOUROS, SEM FUNDO, DIAMETRO INTERNO DE 1,20 M E ALTURA DE 0,50 M</v>
          </cell>
          <cell r="C315" t="str">
            <v xml:space="preserve">UN    </v>
          </cell>
          <cell r="D315">
            <v>138.85</v>
          </cell>
        </row>
        <row r="316">
          <cell r="A316">
            <v>43446</v>
          </cell>
          <cell r="B316" t="str">
            <v>ANEL EM CONCRETO ARMADO, PERFURADO, PARA FOSSAS SEPTICAS E SUMIDOUROS, SEM FUNDO, DIAMETRO INTERNO DE 2,00 M E ALTURA DE 0,50 M</v>
          </cell>
          <cell r="C316" t="str">
            <v xml:space="preserve">UN    </v>
          </cell>
          <cell r="D316">
            <v>293.14</v>
          </cell>
        </row>
        <row r="317">
          <cell r="A317">
            <v>43447</v>
          </cell>
          <cell r="B317" t="str">
            <v>ANEL EM CONCRETO ARMADO, PERFURADO, PARA FOSSAS SEPTICAS E SUMIDOUROS, SEM FUNDO, DIAMETRO INTERNO DE 2,50 M E ALTURA DE 0,50 M</v>
          </cell>
          <cell r="C317" t="str">
            <v xml:space="preserve">UN    </v>
          </cell>
          <cell r="D317">
            <v>360</v>
          </cell>
        </row>
        <row r="318">
          <cell r="A318">
            <v>43448</v>
          </cell>
          <cell r="B318" t="str">
            <v>ANEL EM CONCRETO ARMADO, PERFURADO, PARA FOSSAS SEPTICAS E SUMIDOUROS, SEM FUNDO, DIAMETRO INTERNO DE 3,00 M E ALTURA DE 0,50 M</v>
          </cell>
          <cell r="C318" t="str">
            <v xml:space="preserve">UN    </v>
          </cell>
          <cell r="D318">
            <v>504</v>
          </cell>
        </row>
        <row r="319">
          <cell r="A319">
            <v>13761</v>
          </cell>
          <cell r="B319" t="str">
            <v>APARELHO CORTE OXI-ACETILENO PARA SOLDA E CORTE CONTENDO MACARICO SOLDA, BICO DE CORTE, CILINDROS, REGULADORES, MANGUEIRAS E CARRINHO</v>
          </cell>
          <cell r="C319" t="str">
            <v xml:space="preserve">UN    </v>
          </cell>
          <cell r="D319">
            <v>4598.3999999999996</v>
          </cell>
        </row>
        <row r="320">
          <cell r="A320">
            <v>12888</v>
          </cell>
          <cell r="B320" t="str">
            <v>APARELHO DE APOIO DE NEOPRENE FRETADO, 60 X 45 X 7,6 CM, COM FRETAGEM DE ACO DE 4 MM INTERCALADAS COM ELASTOMERO DE 11 MM E REVESTIMENTO FINAL COM ELASTOMERO DE 6 MM</v>
          </cell>
          <cell r="C320" t="str">
            <v xml:space="preserve">DM3   </v>
          </cell>
          <cell r="D320">
            <v>96.72</v>
          </cell>
        </row>
        <row r="321">
          <cell r="A321">
            <v>12889</v>
          </cell>
          <cell r="B321" t="str">
            <v>APARELHO DE APOIO DE NEOPRENE SIMPLES/ NAO FRETADO, 100 X 100 CM, ESPESSURA 6,3 MM</v>
          </cell>
          <cell r="C321" t="str">
            <v xml:space="preserve">DM3   </v>
          </cell>
          <cell r="D321">
            <v>63.16</v>
          </cell>
        </row>
        <row r="322">
          <cell r="A322">
            <v>4814</v>
          </cell>
          <cell r="B322" t="str">
            <v>APARELHO SINALIZADOR LUMINOSO COM LED, PARA SAIDA GARAGEM, COM 2 LENTES EM POLICARBONATO, BIVOLT (INCLUI SUPORTE DE FIXACAO)</v>
          </cell>
          <cell r="C322" t="str">
            <v xml:space="preserve">UN    </v>
          </cell>
          <cell r="D322">
            <v>77.27</v>
          </cell>
        </row>
        <row r="323">
          <cell r="A323">
            <v>25967</v>
          </cell>
          <cell r="B323" t="str">
            <v>APOIO DO PORTA DENTE PARA FRESADORA DE ASFALTO</v>
          </cell>
          <cell r="C323" t="str">
            <v xml:space="preserve">UN    </v>
          </cell>
          <cell r="D323">
            <v>1816.26</v>
          </cell>
        </row>
        <row r="324">
          <cell r="A324">
            <v>6122</v>
          </cell>
          <cell r="B324" t="str">
            <v>APONTADOR OU APROPRIADOR DE MAO DE OBRA</v>
          </cell>
          <cell r="C324" t="str">
            <v xml:space="preserve">H     </v>
          </cell>
          <cell r="D324">
            <v>14.24</v>
          </cell>
        </row>
        <row r="325">
          <cell r="A325">
            <v>40810</v>
          </cell>
          <cell r="B325" t="str">
            <v>APONTADOR OU APROPRIADOR DE MAO DE OBRA (MENSALISTA)</v>
          </cell>
          <cell r="C325" t="str">
            <v xml:space="preserve">MES   </v>
          </cell>
          <cell r="D325">
            <v>2527.14</v>
          </cell>
        </row>
        <row r="326">
          <cell r="A326">
            <v>21100</v>
          </cell>
          <cell r="B326" t="str">
            <v>AQUECEDOR DE AGUA A GAS GLP/GN COM CAPACIDADE DE ARMAZENAMENTO DE 50 A 80 L</v>
          </cell>
          <cell r="C326" t="str">
            <v xml:space="preserve">UN    </v>
          </cell>
          <cell r="D326">
            <v>2506.8200000000002</v>
          </cell>
        </row>
        <row r="327">
          <cell r="A327">
            <v>11816</v>
          </cell>
          <cell r="B327" t="str">
            <v>AQUECEDOR DE AGUA ELETRICO  RESERVATORIO DE 100 L CILINDRICO EM COBRE, REFORCADO COM ACO CARBONO, MONOFASICO, TENSAO NOMINAL 220 V</v>
          </cell>
          <cell r="C327" t="str">
            <v xml:space="preserve">UN    </v>
          </cell>
          <cell r="D327">
            <v>2673</v>
          </cell>
        </row>
        <row r="328">
          <cell r="A328">
            <v>11814</v>
          </cell>
          <cell r="B328" t="str">
            <v>AQUECEDOR DE AGUA ELETRICO  RESERVATORIO DE 500 L CILINDRICO EM COBRE, REFORCADO COM ACO CARBONO, MONOFASICO, TENSAO NOMINAL 220 V</v>
          </cell>
          <cell r="C328" t="str">
            <v xml:space="preserve">UN    </v>
          </cell>
          <cell r="D328">
            <v>5818.45</v>
          </cell>
        </row>
        <row r="329">
          <cell r="A329">
            <v>14186</v>
          </cell>
          <cell r="B329" t="str">
            <v>AQUECEDOR DE AGUA ELETRICO  RESERVATORIO DE 500 L CILINDRICO EM COBRE, REFORCADO COM ACO CARBONO, TRIFASICO, TENSAO NOMINAL 220/380/400 V, POTENCIA 24 KW</v>
          </cell>
          <cell r="C329" t="str">
            <v xml:space="preserve">UN    </v>
          </cell>
          <cell r="D329">
            <v>7305.85</v>
          </cell>
        </row>
        <row r="330">
          <cell r="A330">
            <v>14185</v>
          </cell>
          <cell r="B330" t="str">
            <v>AQUECEDOR DE AGUA ELETRICO  RESERVATORIO DE 700 L CILINDRICO EM COBRE, REFORCADO COM ACO CARBONO, MONOFASICO, TENSAO NOMINAL 220 V</v>
          </cell>
          <cell r="C330" t="str">
            <v xml:space="preserve">UN    </v>
          </cell>
          <cell r="D330">
            <v>9463.92</v>
          </cell>
        </row>
        <row r="331">
          <cell r="A331">
            <v>11811</v>
          </cell>
          <cell r="B331" t="str">
            <v>AQUECEDOR DE AGUA ELETRICO HORIZONTAL, RESERVATORIO DE 200 L CILINDRICO EM COBRE, REFORCADO COM ACO CARBONO, MONOFASICO, TENSAO NOMINAL 220 V</v>
          </cell>
          <cell r="C331" t="str">
            <v xml:space="preserve">UN    </v>
          </cell>
          <cell r="D331">
            <v>3618.64</v>
          </cell>
        </row>
        <row r="332">
          <cell r="A332">
            <v>26038</v>
          </cell>
          <cell r="B332" t="str">
            <v>AQUECEDOR DE OLEO BPF (FLUIDO) TERMICO, CAPACIDADE DE 300.000 KCAL/H</v>
          </cell>
          <cell r="C332" t="str">
            <v xml:space="preserve">UN    </v>
          </cell>
          <cell r="D332">
            <v>202992.51</v>
          </cell>
        </row>
        <row r="333">
          <cell r="A333">
            <v>34482</v>
          </cell>
          <cell r="B333" t="str">
            <v>AQUECEDOR SOLAR  CAPACIDADE DO RESERVATORIO 800 L, INCLUI 8 PLACAS COLETORAS DE 1,42 M2</v>
          </cell>
          <cell r="C333" t="str">
            <v xml:space="preserve">UN    </v>
          </cell>
          <cell r="D333">
            <v>5042.8100000000004</v>
          </cell>
        </row>
        <row r="334">
          <cell r="A334">
            <v>34469</v>
          </cell>
          <cell r="B334" t="str">
            <v>AQUECEDOR SOLAR CAPACIDADE DO RESERVATORIO 1000 L, INCLUI 10 PLACAS COLETORAS DE 1,42 M2</v>
          </cell>
          <cell r="C334" t="str">
            <v xml:space="preserve">UN    </v>
          </cell>
          <cell r="D334">
            <v>7800.6</v>
          </cell>
        </row>
        <row r="335">
          <cell r="A335">
            <v>34472</v>
          </cell>
          <cell r="B335" t="str">
            <v>AQUECEDOR SOLAR CAPACIDADE DO RESERVATORIO 200 L, INCLUI 2 PLACAS COLETORAS DE 1,42 M2</v>
          </cell>
          <cell r="C335" t="str">
            <v xml:space="preserve">UN    </v>
          </cell>
          <cell r="D335">
            <v>2400</v>
          </cell>
        </row>
        <row r="336">
          <cell r="A336">
            <v>34476</v>
          </cell>
          <cell r="B336" t="str">
            <v>AQUECEDOR SOLAR CAPACIDADE DO RESERVATORIO 400L, INCLUI 4 PLACAS COLETORAS DE 1,42 M2</v>
          </cell>
          <cell r="C336" t="str">
            <v xml:space="preserve">UN    </v>
          </cell>
          <cell r="D336">
            <v>4068.34</v>
          </cell>
        </row>
        <row r="337">
          <cell r="A337">
            <v>34477</v>
          </cell>
          <cell r="B337" t="str">
            <v>AQUECEDOR SOLAR CAPACIDADE DO RESERVATORIO 600 L, INCLUI 6 PLACAS COLETORAS DE 1,42 M2</v>
          </cell>
          <cell r="C337" t="str">
            <v xml:space="preserve">UN    </v>
          </cell>
          <cell r="D337">
            <v>5399.47</v>
          </cell>
        </row>
        <row r="338">
          <cell r="A338">
            <v>42425</v>
          </cell>
          <cell r="B338" t="str">
            <v>AR CONDICIONADO SPLIT INVERTER, HI-WALL (PAREDE), 12000 BTU/H, CICLO FRIO, 60HZ, CLASSIFICACAO A (SELO PROCEL), GAS HFC, CONTROLE S/FIO</v>
          </cell>
          <cell r="C338" t="str">
            <v xml:space="preserve">UN    </v>
          </cell>
          <cell r="D338">
            <v>1960.21</v>
          </cell>
        </row>
        <row r="339">
          <cell r="A339">
            <v>42422</v>
          </cell>
          <cell r="B339" t="str">
            <v>AR CONDICIONADO SPLIT INVERTER, HI-WALL (PAREDE), 18000 BTU/H, CICLO FRIO, 60HZ, CLASSIFICACAO A (SELO PROCEL), GAS HFC, CONTROLE S/FIO</v>
          </cell>
          <cell r="C339" t="str">
            <v xml:space="preserve">UN    </v>
          </cell>
          <cell r="D339">
            <v>2910</v>
          </cell>
        </row>
        <row r="340">
          <cell r="A340">
            <v>43184</v>
          </cell>
          <cell r="B340" t="str">
            <v>AR CONDICIONADO SPLIT INVERTER, HI-WALL (PAREDE), 24000 BTU/H, CICLO FRIO, 60HZ, CLASSIFICACAO A - SELO PROCEL, GAS HFC, CONTROLE S/FIO</v>
          </cell>
          <cell r="C340" t="str">
            <v xml:space="preserve">UN    </v>
          </cell>
          <cell r="D340">
            <v>4021.9</v>
          </cell>
        </row>
        <row r="341">
          <cell r="A341">
            <v>42424</v>
          </cell>
          <cell r="B341" t="str">
            <v>AR CONDICIONADO SPLIT INVERTER, HI-WALL (PAREDE), 9000 BTU/H, CICLO FRIO, 60HZ, CLASSIFICACAO A (SELO PROCEL), GAS HFC, CONTROLE S/FIO</v>
          </cell>
          <cell r="C341" t="str">
            <v xml:space="preserve">UN    </v>
          </cell>
          <cell r="D341">
            <v>1750.64</v>
          </cell>
        </row>
        <row r="342">
          <cell r="A342">
            <v>42421</v>
          </cell>
          <cell r="B342" t="str">
            <v>AR CONDICIONADO SPLIT INVERTER, PISO TETO, APRESENTANDO ENTRE 54000 E 58000 BTU/H, CICLO FRIO, 60HZ, CLASSIFICACAO ENERGETICA A OU B (SELO PROCEL), GAS HFC, CONTROLE S/FIO</v>
          </cell>
          <cell r="C342" t="str">
            <v xml:space="preserve">UN    </v>
          </cell>
          <cell r="D342">
            <v>15939.38</v>
          </cell>
        </row>
        <row r="343">
          <cell r="A343">
            <v>42416</v>
          </cell>
          <cell r="B343" t="str">
            <v>AR CONDICIONADO SPLIT INVERTER, PISO TETO, 18000 BTU/H, CICLO FRIO, 60HZ, CLASSIFICACAO ENERGETICA A OU B (SELO PROCEL), GAS HFC, CONTROLE S/FIO</v>
          </cell>
          <cell r="C343" t="str">
            <v xml:space="preserve">UN    </v>
          </cell>
          <cell r="D343">
            <v>7546.81</v>
          </cell>
        </row>
        <row r="344">
          <cell r="A344">
            <v>42417</v>
          </cell>
          <cell r="B344" t="str">
            <v>AR CONDICIONADO SPLIT INVERTER, PISO TETO, 24000 BTU/H, CICLO FRIO, 60HZ, CLASSIFICACAO ENERGETICA A OU B (SELO PROCEL), GAS HFC, CONTROLE S/FIO</v>
          </cell>
          <cell r="C344" t="str">
            <v xml:space="preserve">UN    </v>
          </cell>
          <cell r="D344">
            <v>8460.59</v>
          </cell>
        </row>
        <row r="345">
          <cell r="A345">
            <v>42419</v>
          </cell>
          <cell r="B345" t="str">
            <v>AR CONDICIONADO SPLIT INVERTER, PISO TETO, 36000 BTU/H, CICLO FRIO, 60HZ, CLASSIFICACAO ENERGETICA A OU B (SELO PROCEL), GAS HFC, CONTROLE S/FIO</v>
          </cell>
          <cell r="C345" t="str">
            <v xml:space="preserve">UN    </v>
          </cell>
          <cell r="D345">
            <v>9558.67</v>
          </cell>
        </row>
        <row r="346">
          <cell r="A346">
            <v>42420</v>
          </cell>
          <cell r="B346" t="str">
            <v>AR CONDICIONADO SPLIT INVERTER, PISO TETO, 48000 BTU/H, CICLO FRIO, 60HZ, CLASSIFICACAO ENERGETICA A OU B (SELO PROCEL), GAS HFC, CONTROLE S/FIO</v>
          </cell>
          <cell r="C346" t="str">
            <v xml:space="preserve">UN    </v>
          </cell>
          <cell r="D346">
            <v>13137.68</v>
          </cell>
        </row>
        <row r="347">
          <cell r="A347">
            <v>43195</v>
          </cell>
          <cell r="B347" t="str">
            <v>AR CONDICIONADO SPLIT ON/OFF, CASSETE (TETO), FRIO 4 VIAS 18000 BTUS/H, CLASSIFICACAO ENERGETICA C - SELO PROCEL, GAS HFC, CONTROLE S/ FIO</v>
          </cell>
          <cell r="C347" t="str">
            <v xml:space="preserve">UN    </v>
          </cell>
          <cell r="D347">
            <v>4625.96</v>
          </cell>
        </row>
        <row r="348">
          <cell r="A348">
            <v>43196</v>
          </cell>
          <cell r="B348" t="str">
            <v>AR CONDICIONADO SPLIT ON/OFF, CASSETE (TETO), FRIO 4 VIAS 24000 BTUS/H, CLASSIFICACAO ENERGETICA C - SELO PROCEL, GAS HFC, CONTROLE S/ FIO</v>
          </cell>
          <cell r="C348" t="str">
            <v xml:space="preserve">UN    </v>
          </cell>
          <cell r="D348">
            <v>5733.22</v>
          </cell>
        </row>
        <row r="349">
          <cell r="A349">
            <v>43198</v>
          </cell>
          <cell r="B349" t="str">
            <v>AR CONDICIONADO SPLIT ON/OFF, CASSETE (TETO), FRIO 4 VIAS 36000 BTUS/H, CLASSIFICACAO ENERGETICA C - SELO PROCEL, GAS HFC, CONTROLE S/ FIO</v>
          </cell>
          <cell r="C349" t="str">
            <v xml:space="preserve">UN    </v>
          </cell>
          <cell r="D349">
            <v>8519.42</v>
          </cell>
        </row>
        <row r="350">
          <cell r="A350">
            <v>43199</v>
          </cell>
          <cell r="B350" t="str">
            <v>AR CONDICIONADO SPLIT ON/OFF, CASSETE (TETO), FRIO 4 VIAS 48000 BTUS/H, CLASSIFICACAO ENERGETICA C - SELO PROCEL, GAS HFC, CONTROLE S/ FIO</v>
          </cell>
          <cell r="C350" t="str">
            <v xml:space="preserve">UN    </v>
          </cell>
          <cell r="D350">
            <v>8831.61</v>
          </cell>
        </row>
        <row r="351">
          <cell r="A351">
            <v>43200</v>
          </cell>
          <cell r="B351" t="str">
            <v>AR CONDICIONADO SPLIT ON/OFF, CASSETE (TETO), FRIO 4 VIAS 60000 BTUS/H, CLASSIFICACAO ENERGETICA C - SELO PROCEL, GAS HFC, CONTROLE S/ FIO</v>
          </cell>
          <cell r="C351" t="str">
            <v xml:space="preserve">UN    </v>
          </cell>
          <cell r="D351">
            <v>10134.91</v>
          </cell>
        </row>
        <row r="352">
          <cell r="A352">
            <v>39556</v>
          </cell>
          <cell r="B352" t="str">
            <v>AR CONDICIONADO SPLIT ON/OFF, CASSETE (TETO), 18000 BTUS/H, CICLO QUENTE/FRIO, 60 HZ, CLASSIFICACAO ENERGETICA C - SELO PROCEL, GAS HFC, CONTROLE S/ FIO</v>
          </cell>
          <cell r="C352" t="str">
            <v xml:space="preserve">UN    </v>
          </cell>
          <cell r="D352">
            <v>5535.39</v>
          </cell>
        </row>
        <row r="353">
          <cell r="A353">
            <v>39557</v>
          </cell>
          <cell r="B353" t="str">
            <v>AR CONDICIONADO SPLIT ON/OFF, CASSETE (TETO), 24000 BTUS/H, CICLO QUENTE/FRIO, 60 HZ, CLASSIFICACAO ENERGETICA C - SELO PROCEL, GAS HFC, CONTROLE S/ FIO</v>
          </cell>
          <cell r="C353" t="str">
            <v xml:space="preserve">UN    </v>
          </cell>
          <cell r="D353">
            <v>5960.41</v>
          </cell>
        </row>
        <row r="354">
          <cell r="A354">
            <v>39559</v>
          </cell>
          <cell r="B354" t="str">
            <v>AR CONDICIONADO SPLIT ON/OFF, CASSETE (TETO), 36000 BTUS/H, CICLO QUENTE/FRIO, 60 HZ, CLASSIFICACAO ENERGETICA A - SELO PROCEL, GAS HFC, CONTROLE S/ FIO</v>
          </cell>
          <cell r="C354" t="str">
            <v xml:space="preserve">UN    </v>
          </cell>
          <cell r="D354">
            <v>8808.33</v>
          </cell>
        </row>
        <row r="355">
          <cell r="A355">
            <v>39560</v>
          </cell>
          <cell r="B355" t="str">
            <v>AR CONDICIONADO SPLIT ON/OFF, CASSETE (TETO), 48000 BTUS/H, CICLO QUENTE/FRIO, 60 HZ, CLASSIFICACAO ENERGETICA A - SELO PROCEL, GAS HFC, CONTROLE S/ FIO</v>
          </cell>
          <cell r="C355" t="str">
            <v xml:space="preserve">UN    </v>
          </cell>
          <cell r="D355">
            <v>10190.379999999999</v>
          </cell>
        </row>
        <row r="356">
          <cell r="A356">
            <v>39561</v>
          </cell>
          <cell r="B356" t="str">
            <v>AR CONDICIONADO SPLIT ON/OFF, CASSETE (TETO), 60000 BTUS/H, CICLO QUENTE/FRIO, 60 HZ, CLASSIFICACAO ENERGETICA A - SELO PROCEL, GAS HFC, CONTROLE S/ FIO</v>
          </cell>
          <cell r="C356" t="str">
            <v xml:space="preserve">UN    </v>
          </cell>
          <cell r="D356">
            <v>10660.44</v>
          </cell>
        </row>
        <row r="357">
          <cell r="A357">
            <v>43190</v>
          </cell>
          <cell r="B357" t="str">
            <v>AR CONDICIONADO SPLIT ON/OFF, HI-WALL (PAREDE), 12000 BTUS/H, CICLO FRIO, 60 HZ, CLASSIFICACAO ENERGETICA A - SELO PROCEL, GAS HFC, CONTROLE S/ FIO</v>
          </cell>
          <cell r="C357" t="str">
            <v xml:space="preserve">UN    </v>
          </cell>
          <cell r="D357">
            <v>1573.2</v>
          </cell>
        </row>
        <row r="358">
          <cell r="A358">
            <v>39555</v>
          </cell>
          <cell r="B358" t="str">
            <v>AR CONDICIONADO SPLIT ON/OFF, HI-WALL (PAREDE), 12000 BTUS/H, CICLO QUENTE/FRIO, 60 HZ, CLASSIFICACAO ENERGETICA A - SELO PROCEL, GAS HFC, CONTROLE S/ FIO</v>
          </cell>
          <cell r="C358" t="str">
            <v xml:space="preserve">UN    </v>
          </cell>
          <cell r="D358">
            <v>1701.79</v>
          </cell>
        </row>
        <row r="359">
          <cell r="A359">
            <v>43191</v>
          </cell>
          <cell r="B359" t="str">
            <v>AR CONDICIONADO SPLIT ON/OFF, HI-WALL (PAREDE), 18000 BTUS/H, CICLO FRIO, 60 HZ, CLASSIFICACAO ENERGETICA A - SELO PROCEL, GAS HFC, CONTROLE S/ FIO</v>
          </cell>
          <cell r="C359" t="str">
            <v xml:space="preserve">UN    </v>
          </cell>
          <cell r="D359">
            <v>2263.62</v>
          </cell>
        </row>
        <row r="360">
          <cell r="A360">
            <v>39548</v>
          </cell>
          <cell r="B360" t="str">
            <v>AR CONDICIONADO SPLIT ON/OFF, HI-WALL (PAREDE), 18000 BTUS/H, CICLO QUENTE/FRIO, 60 HZ, CLASSIFICACAO ENERGETICA A - SELO PROCEL, GAS HFC, CONTROLE S/ FIO</v>
          </cell>
          <cell r="C360" t="str">
            <v xml:space="preserve">UN    </v>
          </cell>
          <cell r="D360">
            <v>2524.29</v>
          </cell>
        </row>
        <row r="361">
          <cell r="A361">
            <v>43192</v>
          </cell>
          <cell r="B361" t="str">
            <v>AR CONDICIONADO SPLIT ON/OFF, HI-WALL (PAREDE), 24000 BTUS/H, CICLO FRIO, 60 HZ, CLASSIFICACAO ENERGETICA A - SELO PROCEL, GAS HFC, CONTROLE S/ FIO</v>
          </cell>
          <cell r="C361" t="str">
            <v xml:space="preserve">UN    </v>
          </cell>
          <cell r="D361">
            <v>2965.14</v>
          </cell>
        </row>
        <row r="362">
          <cell r="A362">
            <v>39554</v>
          </cell>
          <cell r="B362" t="str">
            <v>AR CONDICIONADO SPLIT ON/OFF, HI-WALL (PAREDE), 24000 BTUS/H, CICLO QUENTE/FRIO, 60 HZ, CLASSIFICACAO ENERGETICA A - SELO PROCEL, GAS HFC, CONTROLE S/ FIO</v>
          </cell>
          <cell r="C362" t="str">
            <v xml:space="preserve">UN    </v>
          </cell>
          <cell r="D362">
            <v>3337.99</v>
          </cell>
        </row>
        <row r="363">
          <cell r="A363">
            <v>43194</v>
          </cell>
          <cell r="B363" t="str">
            <v>AR CONDICIONADO SPLIT ON/OFF, HI-WALL (PAREDE), 9000 BTUS/H, CICLO FRIO, 60 HZ, CLASSIFICACAO ENERGETICA A - SELO PROCEL, GAS HFC, CONTROLE S/ FIO</v>
          </cell>
          <cell r="C363" t="str">
            <v xml:space="preserve">UN    </v>
          </cell>
          <cell r="D363">
            <v>1347.71</v>
          </cell>
        </row>
        <row r="364">
          <cell r="A364">
            <v>39551</v>
          </cell>
          <cell r="B364" t="str">
            <v>AR CONDICIONADO SPLIT ON/OFF, HI-WALL (PAREDE), 9000 BTUS/H, CICLO QUENTE/FRIO, 60 HZ, CLASSIFICACAO ENERGETICA A - SELO PROCEL, GAS HFC, CONTROLE S/ FIO</v>
          </cell>
          <cell r="C364" t="str">
            <v xml:space="preserve">UN    </v>
          </cell>
          <cell r="D364">
            <v>1483.97</v>
          </cell>
        </row>
        <row r="365">
          <cell r="A365">
            <v>43185</v>
          </cell>
          <cell r="B365" t="str">
            <v>AR CONDICIONADO SPLIT ON/OFF, PISO TETO, 18.000 BTU/H, CICLO FRIO, 60HZ, CLASSIFICACAO ENERGETICA C - SELO PROCEL, GAS HFC, CONTROLE S/FIO</v>
          </cell>
          <cell r="C365" t="str">
            <v xml:space="preserve">UN    </v>
          </cell>
          <cell r="D365">
            <v>4217.1899999999996</v>
          </cell>
        </row>
        <row r="366">
          <cell r="A366">
            <v>43186</v>
          </cell>
          <cell r="B366" t="str">
            <v>AR CONDICIONADO SPLIT ON/OFF, PISO TETO, 24.000 BTU/H, CICLO FRIO, 60HZ, CLASSIFICACAO ENERGETICA C - SELO PROCEL, GAS HFC, CONTROLE S/FIO</v>
          </cell>
          <cell r="C366" t="str">
            <v xml:space="preserve">UN    </v>
          </cell>
          <cell r="D366">
            <v>4448.29</v>
          </cell>
        </row>
        <row r="367">
          <cell r="A367">
            <v>43187</v>
          </cell>
          <cell r="B367" t="str">
            <v>AR CONDICIONADO SPLIT ON/OFF, PISO TETO, 36.000 BTU/H, CICLO FRIO, 60HZ, CLASSIFICACAO ENERGETICA C - SELO PROCEL, GAS HFC, CONTROLE S/FIO</v>
          </cell>
          <cell r="C367" t="str">
            <v xml:space="preserve">UN    </v>
          </cell>
          <cell r="D367">
            <v>5902.92</v>
          </cell>
        </row>
        <row r="368">
          <cell r="A368">
            <v>43188</v>
          </cell>
          <cell r="B368" t="str">
            <v>AR CONDICIONADO SPLIT ON/OFF, PISO TETO, 48.000 BTU/H, CICLO FRIO, 60HZ, CLASSIFICACAO ENERGETICA C - SELO PROCEL, GAS HFC, CONTROLE S/FIO</v>
          </cell>
          <cell r="C368" t="str">
            <v xml:space="preserve">UN    </v>
          </cell>
          <cell r="D368">
            <v>7152.17</v>
          </cell>
        </row>
        <row r="369">
          <cell r="A369">
            <v>43189</v>
          </cell>
          <cell r="B369" t="str">
            <v>AR CONDICIONADO SPLIT ON/OFF, PISO TETO, 60.000 BTU/H, CICLO FRIO, 60HZ, CLASSIFICACAO ENERGETICA C - SELO PROCEL, GAS HFC, CONTROLE S/FIO</v>
          </cell>
          <cell r="C369" t="str">
            <v xml:space="preserve">UN    </v>
          </cell>
          <cell r="D369">
            <v>8045</v>
          </cell>
        </row>
        <row r="370">
          <cell r="A370">
            <v>39580</v>
          </cell>
          <cell r="B370" t="str">
            <v>AR-CONDICIONADO FRIO SPLITAO INVERTER 30 TR</v>
          </cell>
          <cell r="C370" t="str">
            <v xml:space="preserve">UN    </v>
          </cell>
          <cell r="D370">
            <v>63397.9</v>
          </cell>
        </row>
        <row r="371">
          <cell r="A371">
            <v>39577</v>
          </cell>
          <cell r="B371" t="str">
            <v>AR-CONDICIONADO FRIO SPLITAO MODULAR 10 TR</v>
          </cell>
          <cell r="C371" t="str">
            <v xml:space="preserve">UN    </v>
          </cell>
          <cell r="D371">
            <v>19843.41</v>
          </cell>
        </row>
        <row r="372">
          <cell r="A372">
            <v>39578</v>
          </cell>
          <cell r="B372" t="str">
            <v>AR-CONDICIONADO FRIO SPLITAO MODULAR 15 TR</v>
          </cell>
          <cell r="C372" t="str">
            <v xml:space="preserve">UN    </v>
          </cell>
          <cell r="D372">
            <v>25608.31</v>
          </cell>
        </row>
        <row r="373">
          <cell r="A373">
            <v>39579</v>
          </cell>
          <cell r="B373" t="str">
            <v>AR-CONDICIONADO FRIO SPLITAO MODULAR 20 TR</v>
          </cell>
          <cell r="C373" t="str">
            <v xml:space="preserve">UN    </v>
          </cell>
          <cell r="D373">
            <v>37258.080000000002</v>
          </cell>
        </row>
        <row r="374">
          <cell r="A374">
            <v>39826</v>
          </cell>
          <cell r="B374" t="str">
            <v>AR-CONDICIONADO SPLIT INVERTER, PISO TETO, 24000 BTU/H, QUENTE/FRIO, 60HZ, CLASSIFICACAO ENERGETICA A - SELO PROCEL, GAS HFC, CONTROLE S/FIO</v>
          </cell>
          <cell r="C374" t="str">
            <v xml:space="preserve">UN    </v>
          </cell>
          <cell r="D374">
            <v>4575.97</v>
          </cell>
        </row>
        <row r="375">
          <cell r="A375">
            <v>10700</v>
          </cell>
          <cell r="B375" t="str">
            <v>ARADO REVERSIVEL COM 3 DISCOS DE 26" X 6MM REBOCAVEL</v>
          </cell>
          <cell r="C375" t="str">
            <v xml:space="preserve">UN    </v>
          </cell>
          <cell r="D375">
            <v>12304.58</v>
          </cell>
        </row>
        <row r="376">
          <cell r="A376">
            <v>346</v>
          </cell>
          <cell r="B376" t="str">
            <v>ARAME DE ACO OVALADO 15 X 17 ( 45,7 KG, 700 KGF), ROLO 1000 M</v>
          </cell>
          <cell r="C376" t="str">
            <v xml:space="preserve">KG    </v>
          </cell>
          <cell r="D376">
            <v>16.11</v>
          </cell>
        </row>
        <row r="377">
          <cell r="A377">
            <v>3312</v>
          </cell>
          <cell r="B377" t="str">
            <v>ARAME DE AMARRACAO PARA GABIAO GALVANIZADO, DIAMETRO 2,2 MM</v>
          </cell>
          <cell r="C377" t="str">
            <v xml:space="preserve">KG    </v>
          </cell>
          <cell r="D377">
            <v>21.12</v>
          </cell>
        </row>
        <row r="378">
          <cell r="A378">
            <v>339</v>
          </cell>
          <cell r="B378" t="str">
            <v>ARAME FARPADO GALVANIZADO, 14 BWG (2,11 MM), CLASSE 250</v>
          </cell>
          <cell r="C378" t="str">
            <v xml:space="preserve">M     </v>
          </cell>
          <cell r="D378">
            <v>0.83</v>
          </cell>
        </row>
        <row r="379">
          <cell r="A379">
            <v>340</v>
          </cell>
          <cell r="B379" t="str">
            <v>ARAME FARPADO GALVANIZADO, 16 BWG (1,65 MM), CLASSE 250</v>
          </cell>
          <cell r="C379" t="str">
            <v xml:space="preserve">M     </v>
          </cell>
          <cell r="D379">
            <v>0.75</v>
          </cell>
        </row>
        <row r="380">
          <cell r="A380">
            <v>43130</v>
          </cell>
          <cell r="B380" t="str">
            <v>ARAME GALVANIZADO 12 BWG, D = 2,76 MM (0,048 KG/M) OU 14 BWG, D = 2,11 MM (0,026 KG/M)</v>
          </cell>
          <cell r="C380" t="str">
            <v xml:space="preserve">KG    </v>
          </cell>
          <cell r="D380">
            <v>13.6</v>
          </cell>
        </row>
        <row r="381">
          <cell r="A381">
            <v>344</v>
          </cell>
          <cell r="B381" t="str">
            <v>ARAME GALVANIZADO 16 BWG, D = 1,65MM (0,0166 KG/M)</v>
          </cell>
          <cell r="C381" t="str">
            <v xml:space="preserve">KG    </v>
          </cell>
          <cell r="D381">
            <v>17.88</v>
          </cell>
        </row>
        <row r="382">
          <cell r="A382">
            <v>345</v>
          </cell>
          <cell r="B382" t="str">
            <v>ARAME GALVANIZADO 18 BWG, D = 1,24MM (0,009 KG/M)</v>
          </cell>
          <cell r="C382" t="str">
            <v xml:space="preserve">KG    </v>
          </cell>
          <cell r="D382">
            <v>19.399999999999999</v>
          </cell>
        </row>
        <row r="383">
          <cell r="A383">
            <v>43131</v>
          </cell>
          <cell r="B383" t="str">
            <v>ARAME GALVANIZADO 6 BWG, D = 5,16 MM (0,157 KG/M), OU 8 BWG, D = 4,19 MM (0,101 KG/M), OU 10 BWG, D = 3,40 MM (0,0713 KG/M)</v>
          </cell>
          <cell r="C383" t="str">
            <v xml:space="preserve">KG    </v>
          </cell>
          <cell r="D383">
            <v>15.79</v>
          </cell>
        </row>
        <row r="384">
          <cell r="A384">
            <v>3313</v>
          </cell>
          <cell r="B384" t="str">
            <v>ARAME PROTEGIDO COM POLIMERO PARA GABIAO, DIAMETRO 2,2 MM</v>
          </cell>
          <cell r="C384" t="str">
            <v xml:space="preserve">KG    </v>
          </cell>
          <cell r="D384">
            <v>27.18</v>
          </cell>
        </row>
        <row r="385">
          <cell r="A385">
            <v>43132</v>
          </cell>
          <cell r="B385" t="str">
            <v>ARAME RECOZIDO 16 BWG, D = 1,65 MM (0,016 KG/M) OU 18 BWG, D = 1,25 MM (0,01 KG/M)</v>
          </cell>
          <cell r="C385" t="str">
            <v xml:space="preserve">KG    </v>
          </cell>
          <cell r="D385">
            <v>13.6</v>
          </cell>
        </row>
        <row r="386">
          <cell r="A386">
            <v>369</v>
          </cell>
          <cell r="B386" t="str">
            <v>AREIA AMARELA, AREIA BARRADA OU ARENOSO (RETIRADA NO AREAL, SEM TRANSPORTE)</v>
          </cell>
          <cell r="C386" t="str">
            <v xml:space="preserve">M3    </v>
          </cell>
          <cell r="D386">
            <v>66.88</v>
          </cell>
        </row>
        <row r="387">
          <cell r="A387">
            <v>366</v>
          </cell>
          <cell r="B387" t="str">
            <v>AREIA FINA - POSTO JAZIDA/FORNECEDOR (RETIRADO NA JAZIDA, SEM TRANSPORTE)</v>
          </cell>
          <cell r="C387" t="str">
            <v xml:space="preserve">M3    </v>
          </cell>
          <cell r="D387">
            <v>70</v>
          </cell>
        </row>
        <row r="388">
          <cell r="A388">
            <v>367</v>
          </cell>
          <cell r="B388" t="str">
            <v>AREIA GROSSA - POSTO JAZIDA/FORNECEDOR (RETIRADO NA JAZIDA, SEM TRANSPORTE)</v>
          </cell>
          <cell r="C388" t="str">
            <v xml:space="preserve">M3    </v>
          </cell>
          <cell r="D388">
            <v>66.5</v>
          </cell>
        </row>
        <row r="389">
          <cell r="A389">
            <v>370</v>
          </cell>
          <cell r="B389" t="str">
            <v>AREIA MEDIA - POSTO JAZIDA/FORNECEDOR (RETIRADO NA JAZIDA, SEM TRANSPORTE)</v>
          </cell>
          <cell r="C389" t="str">
            <v xml:space="preserve">M3    </v>
          </cell>
          <cell r="D389">
            <v>62.5</v>
          </cell>
        </row>
        <row r="390">
          <cell r="A390">
            <v>368</v>
          </cell>
          <cell r="B390" t="str">
            <v>AREIA PARA ATERRO - POSTO JAZIDA/FORNECEDOR (RETIRADO NA JAZIDA, SEM TRANSPORTE)</v>
          </cell>
          <cell r="C390" t="str">
            <v xml:space="preserve">M3    </v>
          </cell>
          <cell r="D390">
            <v>49.87</v>
          </cell>
        </row>
        <row r="391">
          <cell r="A391">
            <v>11075</v>
          </cell>
          <cell r="B391" t="str">
            <v>AREIA PARA LEITO FILTRANTE (0,42 A 1,68 MM) - POSTO JAZIDA/FORNECEDOR (RETIRADO NA JAZIDA, SEM TRANSPORTE)</v>
          </cell>
          <cell r="C391" t="str">
            <v xml:space="preserve">M3    </v>
          </cell>
          <cell r="D391">
            <v>1088.93</v>
          </cell>
        </row>
        <row r="392">
          <cell r="A392">
            <v>11076</v>
          </cell>
          <cell r="B392" t="str">
            <v>AREIA PRETA PARA EMBOCO - POSTO JAZIDA/FORNECEDOR (RETIRADO NA JAZIDA, SEM TRANSPORTE)</v>
          </cell>
          <cell r="C392" t="str">
            <v xml:space="preserve">M3    </v>
          </cell>
          <cell r="D392">
            <v>83.12</v>
          </cell>
        </row>
        <row r="393">
          <cell r="A393">
            <v>1381</v>
          </cell>
          <cell r="B393" t="str">
            <v>ARGAMASSA COLANTE AC I PARA CERAMICAS</v>
          </cell>
          <cell r="C393" t="str">
            <v xml:space="preserve">KG    </v>
          </cell>
          <cell r="D393">
            <v>0.65</v>
          </cell>
        </row>
        <row r="394">
          <cell r="A394">
            <v>34353</v>
          </cell>
          <cell r="B394" t="str">
            <v>ARGAMASSA COLANTE AC II</v>
          </cell>
          <cell r="C394" t="str">
            <v xml:space="preserve">KG    </v>
          </cell>
          <cell r="D394">
            <v>1.21</v>
          </cell>
        </row>
        <row r="395">
          <cell r="A395">
            <v>37595</v>
          </cell>
          <cell r="B395" t="str">
            <v>ARGAMASSA COLANTE TIPO AC III</v>
          </cell>
          <cell r="C395" t="str">
            <v xml:space="preserve">KG    </v>
          </cell>
          <cell r="D395">
            <v>1.99</v>
          </cell>
        </row>
        <row r="396">
          <cell r="A396">
            <v>37596</v>
          </cell>
          <cell r="B396" t="str">
            <v>ARGAMASSA COLANTE TIPO AC III E</v>
          </cell>
          <cell r="C396" t="str">
            <v xml:space="preserve">KG    </v>
          </cell>
          <cell r="D396">
            <v>2.29</v>
          </cell>
        </row>
        <row r="397">
          <cell r="A397">
            <v>371</v>
          </cell>
          <cell r="B397" t="str">
            <v>ARGAMASSA INDUSTRIALIZADA MULTIUSO, PARA REVESTIMENTO INTERNO E EXTERNO E ASSENTAMENTO DE BLOCOS DIVERSOS</v>
          </cell>
          <cell r="C397" t="str">
            <v xml:space="preserve">KG    </v>
          </cell>
          <cell r="D397">
            <v>0.71</v>
          </cell>
        </row>
        <row r="398">
          <cell r="A398">
            <v>37553</v>
          </cell>
          <cell r="B398" t="str">
            <v>ARGAMASSA INDUSTRIALIZADA PARA CHAPISCO COLANTE</v>
          </cell>
          <cell r="C398" t="str">
            <v xml:space="preserve">KG    </v>
          </cell>
          <cell r="D398">
            <v>1.32</v>
          </cell>
        </row>
        <row r="399">
          <cell r="A399">
            <v>37552</v>
          </cell>
          <cell r="B399" t="str">
            <v>ARGAMASSA INDUSTRIALIZADA PARA CHAPISCO ROLADO</v>
          </cell>
          <cell r="C399" t="str">
            <v xml:space="preserve">KG    </v>
          </cell>
          <cell r="D399">
            <v>2.13</v>
          </cell>
        </row>
        <row r="400">
          <cell r="A400">
            <v>36880</v>
          </cell>
          <cell r="B400" t="str">
            <v>ARGAMASSA PARA REVESTIMENTO DECORATIVO MONOCAMADA</v>
          </cell>
          <cell r="C400" t="str">
            <v xml:space="preserve">KG    </v>
          </cell>
          <cell r="D400">
            <v>2.17</v>
          </cell>
        </row>
        <row r="401">
          <cell r="A401">
            <v>34355</v>
          </cell>
          <cell r="B401" t="str">
            <v>ARGAMASSA PISO SOBRE PISO</v>
          </cell>
          <cell r="C401" t="str">
            <v xml:space="preserve">KG    </v>
          </cell>
          <cell r="D401">
            <v>1.86</v>
          </cell>
        </row>
        <row r="402">
          <cell r="A402">
            <v>130</v>
          </cell>
          <cell r="B402" t="str">
            <v>ARGAMASSA POLIMERICA DE REPARO ESTRUTURAL, BICOMPONENTE</v>
          </cell>
          <cell r="C402" t="str">
            <v xml:space="preserve">KG    </v>
          </cell>
          <cell r="D402">
            <v>2.87</v>
          </cell>
        </row>
        <row r="403">
          <cell r="A403">
            <v>135</v>
          </cell>
          <cell r="B403" t="str">
            <v>ARGAMASSA POLIMERICA IMPERMEABILIZANTE SEMIFLEXIVEL, BICOMPONENTE (MEMBRANA IMPERMEABILIZANTE ACRILICA)</v>
          </cell>
          <cell r="C403" t="str">
            <v xml:space="preserve">KG    </v>
          </cell>
          <cell r="D403">
            <v>2.31</v>
          </cell>
        </row>
        <row r="404">
          <cell r="A404">
            <v>36886</v>
          </cell>
          <cell r="B404" t="str">
            <v>ARGAMASSA PRONTA PARA CONTRAPISO</v>
          </cell>
          <cell r="C404" t="str">
            <v xml:space="preserve">KG    </v>
          </cell>
          <cell r="D404">
            <v>0.67</v>
          </cell>
        </row>
        <row r="405">
          <cell r="A405">
            <v>38546</v>
          </cell>
          <cell r="B405" t="str">
            <v>ARGAMASSA USINADA AUTOADENSAVEL E AUTONIVELANTE PARA CONTRAPISO, INCLUI BOMBEAMENTO</v>
          </cell>
          <cell r="C405" t="str">
            <v xml:space="preserve">M3    </v>
          </cell>
          <cell r="D405">
            <v>406.8</v>
          </cell>
        </row>
        <row r="406">
          <cell r="A406">
            <v>34549</v>
          </cell>
          <cell r="B406" t="str">
            <v>ARGILA EXPANDIDA, GRANULOMETRIA 2215</v>
          </cell>
          <cell r="C406" t="str">
            <v xml:space="preserve">M3    </v>
          </cell>
          <cell r="D406">
            <v>200.66</v>
          </cell>
        </row>
        <row r="407">
          <cell r="A407">
            <v>6081</v>
          </cell>
          <cell r="B407" t="str">
            <v>ARGILA OU BARRO PARA ATERRO/REATERRO (COM TRANSPORTE ATE 10 KM)</v>
          </cell>
          <cell r="C407" t="str">
            <v xml:space="preserve">M3    </v>
          </cell>
          <cell r="D407">
            <v>28.42</v>
          </cell>
        </row>
        <row r="408">
          <cell r="A408">
            <v>6077</v>
          </cell>
          <cell r="B408" t="str">
            <v>ARGILA OU BARRO PARA ATERRO/REATERRO (RETIRADO NA JAZIDA, SEM TRANSPORTE)</v>
          </cell>
          <cell r="C408" t="str">
            <v xml:space="preserve">M3    </v>
          </cell>
          <cell r="D408">
            <v>16.38</v>
          </cell>
        </row>
        <row r="409">
          <cell r="A409">
            <v>6079</v>
          </cell>
          <cell r="B409" t="str">
            <v>ARGILA, ARGILA VERMELHA OU ARGILA ARENOSA (RETIRADA NA JAZIDA, SEM TRANSPORTE)</v>
          </cell>
          <cell r="C409" t="str">
            <v xml:space="preserve">M3    </v>
          </cell>
          <cell r="D409">
            <v>9.36</v>
          </cell>
        </row>
        <row r="410">
          <cell r="A410">
            <v>1091</v>
          </cell>
          <cell r="B410" t="str">
            <v>ARMACAO VERTICAL COM HASTE E CONTRA-PINO, EM CHAPA DE ACO GALVANIZADO 3/16", COM 1 ESTRIBO E 1 ISOLADOR</v>
          </cell>
          <cell r="C410" t="str">
            <v xml:space="preserve">UN    </v>
          </cell>
          <cell r="D410">
            <v>19.47</v>
          </cell>
        </row>
        <row r="411">
          <cell r="A411">
            <v>1094</v>
          </cell>
          <cell r="B411" t="str">
            <v>ARMACAO VERTICAL COM HASTE E CONTRA-PINO, EM CHAPA DE ACO GALVANIZADO 3/16", COM 1 ESTRIBO, SEM ISOLADOR</v>
          </cell>
          <cell r="C411" t="str">
            <v xml:space="preserve">UN    </v>
          </cell>
          <cell r="D411">
            <v>13.62</v>
          </cell>
        </row>
        <row r="412">
          <cell r="A412">
            <v>1095</v>
          </cell>
          <cell r="B412" t="str">
            <v>ARMACAO VERTICAL COM HASTE E CONTRA-PINO, EM CHAPA DE ACO GALVANIZADO 3/16", COM 2 ESTRIBOS, E 2 ISOLADORES</v>
          </cell>
          <cell r="C412" t="str">
            <v xml:space="preserve">UN    </v>
          </cell>
          <cell r="D412">
            <v>28.95</v>
          </cell>
        </row>
        <row r="413">
          <cell r="A413">
            <v>1092</v>
          </cell>
          <cell r="B413" t="str">
            <v>ARMACAO VERTICAL COM HASTE E CONTRA-PINO, EM CHAPA DE ACO GALVANIZADO 3/16", COM 2 ESTRIBOS, SEM ISOLADOR</v>
          </cell>
          <cell r="C413" t="str">
            <v xml:space="preserve">UN    </v>
          </cell>
          <cell r="D413">
            <v>22.4</v>
          </cell>
        </row>
        <row r="414">
          <cell r="A414">
            <v>1093</v>
          </cell>
          <cell r="B414" t="str">
            <v>ARMACAO VERTICAL COM HASTE E CONTRA-PINO, EM CHAPA DE ACO GALVANIZADO 3/16", COM 3 ESTRIBOS E 3 ISOLADORES</v>
          </cell>
          <cell r="C414" t="str">
            <v xml:space="preserve">UN    </v>
          </cell>
          <cell r="D414">
            <v>52.31</v>
          </cell>
        </row>
        <row r="415">
          <cell r="A415">
            <v>1090</v>
          </cell>
          <cell r="B415" t="str">
            <v>ARMACAO VERTICAL COM HASTE E CONTRA-PINO, EM CHAPA DE ACO GALVANIZADO 3/16", COM 3 ESTRIBOS, SEM ISOLADOR</v>
          </cell>
          <cell r="C415" t="str">
            <v xml:space="preserve">UN    </v>
          </cell>
          <cell r="D415">
            <v>37.450000000000003</v>
          </cell>
        </row>
        <row r="416">
          <cell r="A416">
            <v>1096</v>
          </cell>
          <cell r="B416" t="str">
            <v>ARMACAO VERTICAL COM HASTE E CONTRA-PINO, EM CHAPA DE ACO GALVANIZADO 3/16", COM 4 ESTRIBOS E 4 ISOLADORES</v>
          </cell>
          <cell r="C416" t="str">
            <v xml:space="preserve">UN    </v>
          </cell>
          <cell r="D416">
            <v>67.400000000000006</v>
          </cell>
        </row>
        <row r="417">
          <cell r="A417">
            <v>1097</v>
          </cell>
          <cell r="B417" t="str">
            <v>ARMACAO VERTICAL COM HASTE E CONTRA-PINO, EM CHAPA DE ACO GALVANIZADO 3/16", COM 4 ESTRIBOS, SEM ISOLADOR</v>
          </cell>
          <cell r="C417" t="str">
            <v xml:space="preserve">UN    </v>
          </cell>
          <cell r="D417">
            <v>57.21</v>
          </cell>
        </row>
        <row r="418">
          <cell r="A418">
            <v>378</v>
          </cell>
          <cell r="B418" t="str">
            <v>ARMADOR</v>
          </cell>
          <cell r="C418" t="str">
            <v xml:space="preserve">H     </v>
          </cell>
          <cell r="D418">
            <v>14.81</v>
          </cell>
        </row>
        <row r="419">
          <cell r="A419">
            <v>40911</v>
          </cell>
          <cell r="B419" t="str">
            <v>ARMADOR (MENSALISTA)</v>
          </cell>
          <cell r="C419" t="str">
            <v xml:space="preserve">MES   </v>
          </cell>
          <cell r="D419">
            <v>2626.51</v>
          </cell>
        </row>
        <row r="420">
          <cell r="A420">
            <v>33939</v>
          </cell>
          <cell r="B420" t="str">
            <v>ARQUITETO JUNIOR</v>
          </cell>
          <cell r="C420" t="str">
            <v xml:space="preserve">H     </v>
          </cell>
          <cell r="D420">
            <v>66.06</v>
          </cell>
        </row>
        <row r="421">
          <cell r="A421">
            <v>40815</v>
          </cell>
          <cell r="B421" t="str">
            <v>ARQUITETO JUNIOR (MENSALISTA)</v>
          </cell>
          <cell r="C421" t="str">
            <v xml:space="preserve">MES   </v>
          </cell>
          <cell r="D421">
            <v>11713.52</v>
          </cell>
        </row>
        <row r="422">
          <cell r="A422">
            <v>34760</v>
          </cell>
          <cell r="B422" t="str">
            <v>ARQUITETO PAISAGISTA</v>
          </cell>
          <cell r="C422" t="str">
            <v xml:space="preserve">H     </v>
          </cell>
          <cell r="D422">
            <v>62.37</v>
          </cell>
        </row>
        <row r="423">
          <cell r="A423">
            <v>40935</v>
          </cell>
          <cell r="B423" t="str">
            <v>ARQUITETO PAISAGISTA (MENSALISTA)</v>
          </cell>
          <cell r="C423" t="str">
            <v xml:space="preserve">MES   </v>
          </cell>
          <cell r="D423">
            <v>11060.41</v>
          </cell>
        </row>
        <row r="424">
          <cell r="A424">
            <v>33952</v>
          </cell>
          <cell r="B424" t="str">
            <v>ARQUITETO PLENO</v>
          </cell>
          <cell r="C424" t="str">
            <v xml:space="preserve">H     </v>
          </cell>
          <cell r="D424">
            <v>93.84</v>
          </cell>
        </row>
        <row r="425">
          <cell r="A425">
            <v>40816</v>
          </cell>
          <cell r="B425" t="str">
            <v>ARQUITETO PLENO (MENSALISTA)</v>
          </cell>
          <cell r="C425" t="str">
            <v xml:space="preserve">MES   </v>
          </cell>
          <cell r="D425">
            <v>16638.09</v>
          </cell>
        </row>
        <row r="426">
          <cell r="A426">
            <v>33953</v>
          </cell>
          <cell r="B426" t="str">
            <v>ARQUITETO SENIOR</v>
          </cell>
          <cell r="C426" t="str">
            <v xml:space="preserve">H     </v>
          </cell>
          <cell r="D426">
            <v>124.07</v>
          </cell>
        </row>
        <row r="427">
          <cell r="A427">
            <v>40817</v>
          </cell>
          <cell r="B427" t="str">
            <v>ARQUITETO SENIOR (MENSALISTA)</v>
          </cell>
          <cell r="C427" t="str">
            <v xml:space="preserve">MES   </v>
          </cell>
          <cell r="D427">
            <v>21997.040000000001</v>
          </cell>
        </row>
        <row r="428">
          <cell r="A428">
            <v>13348</v>
          </cell>
          <cell r="B428" t="str">
            <v>ARRUELA  EM ACO GALVANIZADO, DIAMETRO EXTERNO = 35MM, ESPESSURA = 3MM, DIAMETRO DO FURO= 18MM</v>
          </cell>
          <cell r="C428" t="str">
            <v xml:space="preserve">UN    </v>
          </cell>
          <cell r="D428">
            <v>0.7</v>
          </cell>
        </row>
        <row r="429">
          <cell r="A429">
            <v>39211</v>
          </cell>
          <cell r="B429" t="str">
            <v>ARRUELA EM ALUMINIO, COM ROSCA, DE  1 1/4", PARA ELETRODUTO</v>
          </cell>
          <cell r="C429" t="str">
            <v xml:space="preserve">UN    </v>
          </cell>
          <cell r="D429">
            <v>1.07</v>
          </cell>
        </row>
        <row r="430">
          <cell r="A430">
            <v>39212</v>
          </cell>
          <cell r="B430" t="str">
            <v>ARRUELA EM ALUMINIO, COM ROSCA, DE 1 1/2", PARA ELETRODUTO</v>
          </cell>
          <cell r="C430" t="str">
            <v xml:space="preserve">UN    </v>
          </cell>
          <cell r="D430">
            <v>1.2</v>
          </cell>
        </row>
        <row r="431">
          <cell r="A431">
            <v>39208</v>
          </cell>
          <cell r="B431" t="str">
            <v>ARRUELA EM ALUMINIO, COM ROSCA, DE 1/2", PARA ELETRODUTO</v>
          </cell>
          <cell r="C431" t="str">
            <v xml:space="preserve">UN    </v>
          </cell>
          <cell r="D431">
            <v>0.32</v>
          </cell>
        </row>
        <row r="432">
          <cell r="A432">
            <v>39210</v>
          </cell>
          <cell r="B432" t="str">
            <v>ARRUELA EM ALUMINIO, COM ROSCA, DE 1", PARA ELETRODUTO</v>
          </cell>
          <cell r="C432" t="str">
            <v xml:space="preserve">UN    </v>
          </cell>
          <cell r="D432">
            <v>0.6</v>
          </cell>
        </row>
        <row r="433">
          <cell r="A433">
            <v>39214</v>
          </cell>
          <cell r="B433" t="str">
            <v>ARRUELA EM ALUMINIO, COM ROSCA, DE 2 1/2", PARA ELETRODUTO</v>
          </cell>
          <cell r="C433" t="str">
            <v xml:space="preserve">UN    </v>
          </cell>
          <cell r="D433">
            <v>2.2200000000000002</v>
          </cell>
        </row>
        <row r="434">
          <cell r="A434">
            <v>39213</v>
          </cell>
          <cell r="B434" t="str">
            <v>ARRUELA EM ALUMINIO, COM ROSCA, DE 2", PARA ELETRODUTO</v>
          </cell>
          <cell r="C434" t="str">
            <v xml:space="preserve">UN    </v>
          </cell>
          <cell r="D434">
            <v>1.57</v>
          </cell>
        </row>
        <row r="435">
          <cell r="A435">
            <v>39209</v>
          </cell>
          <cell r="B435" t="str">
            <v>ARRUELA EM ALUMINIO, COM ROSCA, DE 3/4", PARA ELETRODUTO</v>
          </cell>
          <cell r="C435" t="str">
            <v xml:space="preserve">UN    </v>
          </cell>
          <cell r="D435">
            <v>0.39</v>
          </cell>
        </row>
        <row r="436">
          <cell r="A436">
            <v>39207</v>
          </cell>
          <cell r="B436" t="str">
            <v>ARRUELA EM ALUMINIO, COM ROSCA, DE 3/8", PARA ELETRODUTO</v>
          </cell>
          <cell r="C436" t="str">
            <v xml:space="preserve">UN    </v>
          </cell>
          <cell r="D436">
            <v>0.6</v>
          </cell>
        </row>
        <row r="437">
          <cell r="A437">
            <v>39215</v>
          </cell>
          <cell r="B437" t="str">
            <v>ARRUELA EM ALUMINIO, COM ROSCA, DE 3", PARA ELETRODUTO</v>
          </cell>
          <cell r="C437" t="str">
            <v xml:space="preserve">UN    </v>
          </cell>
          <cell r="D437">
            <v>4.04</v>
          </cell>
        </row>
        <row r="438">
          <cell r="A438">
            <v>39216</v>
          </cell>
          <cell r="B438" t="str">
            <v>ARRUELA EM ALUMINIO, COM ROSCA, DE 4", PARA ELETRODUTO</v>
          </cell>
          <cell r="C438" t="str">
            <v xml:space="preserve">UN    </v>
          </cell>
          <cell r="D438">
            <v>5.64</v>
          </cell>
        </row>
        <row r="439">
          <cell r="A439">
            <v>379</v>
          </cell>
          <cell r="B439" t="str">
            <v>ARRUELA QUADRADA EM ACO GALVANIZADO, DIMENSAO = 38 MM, ESPESSURA = 3MM, DIAMETRO DO FURO= 18 MM</v>
          </cell>
          <cell r="C439" t="str">
            <v xml:space="preserve">UN    </v>
          </cell>
          <cell r="D439">
            <v>0.61</v>
          </cell>
        </row>
        <row r="440">
          <cell r="A440">
            <v>11267</v>
          </cell>
          <cell r="B440" t="str">
            <v>ARRUELA REDONDA DE LATAO, DIAMETRO EXTERNO = 34 MM, ESPESSURA = 2,5 MM, DIAMETRO DO FURO = 17 MM</v>
          </cell>
          <cell r="C440" t="str">
            <v xml:space="preserve">UN    </v>
          </cell>
          <cell r="D440">
            <v>6.12</v>
          </cell>
        </row>
        <row r="441">
          <cell r="A441">
            <v>41901</v>
          </cell>
          <cell r="B441" t="str">
            <v>ASFALTO DILUIDO DE PETROLEO CM-30 (COLETADO CAIXA NA ANP ACRESCIDO DE ICMS)</v>
          </cell>
          <cell r="C441" t="str">
            <v xml:space="preserve">KG    </v>
          </cell>
          <cell r="D441">
            <v>4.8099999999999996</v>
          </cell>
        </row>
        <row r="442">
          <cell r="A442">
            <v>510</v>
          </cell>
          <cell r="B442" t="str">
            <v>ASFALTO MODIFICADO TIPO I - NBR 9910 (ASFALTO OXIDADO PARA IMPERMEABILIZACAO, COEFICIENTE DE PENETRACAO 25-40)</v>
          </cell>
          <cell r="C442" t="str">
            <v xml:space="preserve">KG    </v>
          </cell>
          <cell r="D442">
            <v>8.48</v>
          </cell>
        </row>
        <row r="443">
          <cell r="A443">
            <v>516</v>
          </cell>
          <cell r="B443" t="str">
            <v>ASFALTO MODIFICADO TIPO II - NBR 9910 (ASFALTO OXIDADO PARA IMPERMEABILIZACAO, COEFICIENTE DE PENETRACAO 20-35)</v>
          </cell>
          <cell r="C443" t="str">
            <v xml:space="preserve">KG    </v>
          </cell>
          <cell r="D443">
            <v>9.0399999999999991</v>
          </cell>
        </row>
        <row r="444">
          <cell r="A444">
            <v>509</v>
          </cell>
          <cell r="B444" t="str">
            <v>ASFALTO MODIFICADO TIPO III - NBR 9910 (ASFALTO OXIDADO PARA IMPERMEABILIZACAO, COEFICIENTE DE PENETRACAO 15-25)</v>
          </cell>
          <cell r="C444" t="str">
            <v xml:space="preserve">KG    </v>
          </cell>
          <cell r="D444">
            <v>9.23</v>
          </cell>
        </row>
        <row r="445">
          <cell r="A445">
            <v>40331</v>
          </cell>
          <cell r="B445" t="str">
            <v>ASSENTADOR DE MANILHAS</v>
          </cell>
          <cell r="C445" t="str">
            <v xml:space="preserve">H     </v>
          </cell>
          <cell r="D445">
            <v>12.42</v>
          </cell>
        </row>
        <row r="446">
          <cell r="A446">
            <v>40930</v>
          </cell>
          <cell r="B446" t="str">
            <v>ASSENTADOR DE MANILHAS (MENSALISTA)</v>
          </cell>
          <cell r="C446" t="str">
            <v xml:space="preserve">MES   </v>
          </cell>
          <cell r="D446">
            <v>2205.67</v>
          </cell>
        </row>
        <row r="447">
          <cell r="A447">
            <v>11761</v>
          </cell>
          <cell r="B447" t="str">
            <v>ASSENTO  VASO SANITARIO INFANTIL EM PLASTICO BRANCO</v>
          </cell>
          <cell r="C447" t="str">
            <v xml:space="preserve">UN    </v>
          </cell>
          <cell r="D447">
            <v>58.8</v>
          </cell>
        </row>
        <row r="448">
          <cell r="A448">
            <v>377</v>
          </cell>
          <cell r="B448" t="str">
            <v>ASSENTO SANITARIO DE PLASTICO, TIPO CONVENCIONAL</v>
          </cell>
          <cell r="C448" t="str">
            <v xml:space="preserve">UN    </v>
          </cell>
          <cell r="D448">
            <v>27.63</v>
          </cell>
        </row>
        <row r="449">
          <cell r="A449">
            <v>7588</v>
          </cell>
          <cell r="B449" t="str">
            <v>AUTOMATICO DE BOIA SUPERIOR / INFERIOR, *15* A / 250 V</v>
          </cell>
          <cell r="C449" t="str">
            <v xml:space="preserve">UN    </v>
          </cell>
          <cell r="D449">
            <v>33.200000000000003</v>
          </cell>
        </row>
        <row r="450">
          <cell r="A450">
            <v>34392</v>
          </cell>
          <cell r="B450" t="str">
            <v>AUXILIAR  DE ALMOXARIFE</v>
          </cell>
          <cell r="C450" t="str">
            <v xml:space="preserve">H     </v>
          </cell>
          <cell r="D450">
            <v>11.34</v>
          </cell>
        </row>
        <row r="451">
          <cell r="A451">
            <v>40908</v>
          </cell>
          <cell r="B451" t="str">
            <v>AUXILIAR DE ALMOXARIFE (MENSALISTA)</v>
          </cell>
          <cell r="C451" t="str">
            <v xml:space="preserve">MES   </v>
          </cell>
          <cell r="D451">
            <v>2012.55</v>
          </cell>
        </row>
        <row r="452">
          <cell r="A452">
            <v>34551</v>
          </cell>
          <cell r="B452" t="str">
            <v>AUXILIAR DE AZULEJISTA</v>
          </cell>
          <cell r="C452" t="str">
            <v xml:space="preserve">H     </v>
          </cell>
          <cell r="D452">
            <v>10.78</v>
          </cell>
        </row>
        <row r="453">
          <cell r="A453">
            <v>41078</v>
          </cell>
          <cell r="B453" t="str">
            <v>AUXILIAR DE AZULEJISTA (MENSALISTA)</v>
          </cell>
          <cell r="C453" t="str">
            <v xml:space="preserve">MES   </v>
          </cell>
          <cell r="D453">
            <v>1914.6</v>
          </cell>
        </row>
        <row r="454">
          <cell r="A454">
            <v>246</v>
          </cell>
          <cell r="B454" t="str">
            <v>AUXILIAR DE ENCANADOR OU BOMBEIRO HIDRAULICO</v>
          </cell>
          <cell r="C454" t="str">
            <v xml:space="preserve">H     </v>
          </cell>
          <cell r="D454">
            <v>10.85</v>
          </cell>
        </row>
        <row r="455">
          <cell r="A455">
            <v>40927</v>
          </cell>
          <cell r="B455" t="str">
            <v>AUXILIAR DE ENCANADOR OU BOMBEIRO HIDRAULICO (MENSALISTA)</v>
          </cell>
          <cell r="C455" t="str">
            <v xml:space="preserve">MES   </v>
          </cell>
          <cell r="D455">
            <v>1926.46</v>
          </cell>
        </row>
        <row r="456">
          <cell r="A456">
            <v>2350</v>
          </cell>
          <cell r="B456" t="str">
            <v>AUXILIAR DE ESCRITORIO</v>
          </cell>
          <cell r="C456" t="str">
            <v xml:space="preserve">H     </v>
          </cell>
          <cell r="D456">
            <v>11.93</v>
          </cell>
        </row>
        <row r="457">
          <cell r="A457">
            <v>40812</v>
          </cell>
          <cell r="B457" t="str">
            <v>AUXILIAR DE ESCRITORIO (MENSALISTA)</v>
          </cell>
          <cell r="C457" t="str">
            <v xml:space="preserve">MES   </v>
          </cell>
          <cell r="D457">
            <v>2117.66</v>
          </cell>
        </row>
        <row r="458">
          <cell r="A458">
            <v>245</v>
          </cell>
          <cell r="B458" t="str">
            <v>AUXILIAR DE LABORATORISTA DE SOLOS E DE CONCRETO</v>
          </cell>
          <cell r="C458" t="str">
            <v xml:space="preserve">H     </v>
          </cell>
          <cell r="D458">
            <v>20.309999999999999</v>
          </cell>
        </row>
        <row r="459">
          <cell r="A459">
            <v>41090</v>
          </cell>
          <cell r="B459" t="str">
            <v>AUXILIAR DE LABORATORISTA DE SOLOS E DE CONCRETO (MENSALISTA)</v>
          </cell>
          <cell r="C459" t="str">
            <v xml:space="preserve">MES   </v>
          </cell>
          <cell r="D459">
            <v>3603.78</v>
          </cell>
        </row>
        <row r="460">
          <cell r="A460">
            <v>251</v>
          </cell>
          <cell r="B460" t="str">
            <v>AUXILIAR DE MECANICO</v>
          </cell>
          <cell r="C460" t="str">
            <v xml:space="preserve">H     </v>
          </cell>
          <cell r="D460">
            <v>9.27</v>
          </cell>
        </row>
        <row r="461">
          <cell r="A461">
            <v>40975</v>
          </cell>
          <cell r="B461" t="str">
            <v>AUXILIAR DE MECANICO (MENSALISTA)</v>
          </cell>
          <cell r="C461" t="str">
            <v xml:space="preserve">MES   </v>
          </cell>
          <cell r="D461">
            <v>1646.51</v>
          </cell>
        </row>
        <row r="462">
          <cell r="A462">
            <v>6127</v>
          </cell>
          <cell r="B462" t="str">
            <v>AUXILIAR DE PEDREIRO</v>
          </cell>
          <cell r="C462" t="str">
            <v xml:space="preserve">H     </v>
          </cell>
          <cell r="D462">
            <v>11</v>
          </cell>
        </row>
        <row r="463">
          <cell r="A463">
            <v>41072</v>
          </cell>
          <cell r="B463" t="str">
            <v>AUXILIAR DE PEDREIRO (MENSALISTA)</v>
          </cell>
          <cell r="C463" t="str">
            <v xml:space="preserve">MES   </v>
          </cell>
          <cell r="D463">
            <v>1951.57</v>
          </cell>
        </row>
        <row r="464">
          <cell r="A464">
            <v>6121</v>
          </cell>
          <cell r="B464" t="str">
            <v>AUXILIAR DE SERVICOS GERAIS</v>
          </cell>
          <cell r="C464" t="str">
            <v xml:space="preserve">H     </v>
          </cell>
          <cell r="D464">
            <v>11.85</v>
          </cell>
        </row>
        <row r="465">
          <cell r="A465">
            <v>41071</v>
          </cell>
          <cell r="B465" t="str">
            <v>AUXILIAR DE SERVICOS GERAIS (MENSALISTA)</v>
          </cell>
          <cell r="C465" t="str">
            <v xml:space="preserve">MES   </v>
          </cell>
          <cell r="D465">
            <v>2103.46</v>
          </cell>
        </row>
        <row r="466">
          <cell r="A466">
            <v>244</v>
          </cell>
          <cell r="B466" t="str">
            <v>AUXILIAR DE TOPOGRAFO</v>
          </cell>
          <cell r="C466" t="str">
            <v xml:space="preserve">H     </v>
          </cell>
          <cell r="D466">
            <v>5.84</v>
          </cell>
        </row>
        <row r="467">
          <cell r="A467">
            <v>41093</v>
          </cell>
          <cell r="B467" t="str">
            <v>AUXILIAR DE TOPOGRAFO (MENSALISTA)</v>
          </cell>
          <cell r="C467" t="str">
            <v xml:space="preserve">MES   </v>
          </cell>
          <cell r="D467">
            <v>1037.3699999999999</v>
          </cell>
        </row>
        <row r="468">
          <cell r="A468">
            <v>532</v>
          </cell>
          <cell r="B468" t="str">
            <v>AUXILIAR TECNICO / ASSISTENTE DE ENGENHARIA</v>
          </cell>
          <cell r="C468" t="str">
            <v xml:space="preserve">H     </v>
          </cell>
          <cell r="D468">
            <v>23.15</v>
          </cell>
        </row>
        <row r="469">
          <cell r="A469">
            <v>40931</v>
          </cell>
          <cell r="B469" t="str">
            <v>AUXILIAR TECNICO / ASSISTENTE DE ENGENHARIA (MENSALISTA)</v>
          </cell>
          <cell r="C469" t="str">
            <v xml:space="preserve">MES   </v>
          </cell>
          <cell r="D469">
            <v>4105.5200000000004</v>
          </cell>
        </row>
        <row r="470">
          <cell r="A470">
            <v>36150</v>
          </cell>
          <cell r="B470" t="str">
            <v>AVENTAL DE SEGURANCA DE RASPA DE COURO 1,00 X 0,60 M</v>
          </cell>
          <cell r="C470" t="str">
            <v xml:space="preserve">UN    </v>
          </cell>
          <cell r="D470">
            <v>35.78</v>
          </cell>
        </row>
        <row r="471">
          <cell r="A471">
            <v>4760</v>
          </cell>
          <cell r="B471" t="str">
            <v>AZULEJISTA OU LADRILHEIRO</v>
          </cell>
          <cell r="C471" t="str">
            <v xml:space="preserve">H     </v>
          </cell>
          <cell r="D471">
            <v>14.81</v>
          </cell>
        </row>
        <row r="472">
          <cell r="A472">
            <v>41069</v>
          </cell>
          <cell r="B472" t="str">
            <v>AZULEJISTA OU LADRILHEIRO (MENSALISTA)</v>
          </cell>
          <cell r="C472" t="str">
            <v xml:space="preserve">MES   </v>
          </cell>
          <cell r="D472">
            <v>2626.51</v>
          </cell>
        </row>
        <row r="473">
          <cell r="A473">
            <v>10422</v>
          </cell>
          <cell r="B473" t="str">
            <v>BACIA SANITARIA (VASO) COM CAIXA ACOPLADA, DE LOUCA BRANCA</v>
          </cell>
          <cell r="C473" t="str">
            <v xml:space="preserve">UN    </v>
          </cell>
          <cell r="D473">
            <v>293.02999999999997</v>
          </cell>
        </row>
        <row r="474">
          <cell r="A474">
            <v>10420</v>
          </cell>
          <cell r="B474" t="str">
            <v>BACIA SANITARIA (VASO) CONVENCIONAL DE LOUCA BRANCA</v>
          </cell>
          <cell r="C474" t="str">
            <v xml:space="preserve">UN    </v>
          </cell>
          <cell r="D474">
            <v>109.9</v>
          </cell>
        </row>
        <row r="475">
          <cell r="A475">
            <v>10421</v>
          </cell>
          <cell r="B475" t="str">
            <v>BACIA SANITARIA (VASO) CONVENCIONAL DE LOUCA COR</v>
          </cell>
          <cell r="C475" t="str">
            <v xml:space="preserve">UN    </v>
          </cell>
          <cell r="D475">
            <v>147.08000000000001</v>
          </cell>
        </row>
        <row r="476">
          <cell r="A476">
            <v>36520</v>
          </cell>
          <cell r="B476" t="str">
            <v>BACIA SANITARIA (VASO) CONVENCIONAL PARA PCD SEM FURO FRONTAL, DE LOUCA BRANCA, SEM ASSENTO</v>
          </cell>
          <cell r="C476" t="str">
            <v xml:space="preserve">UN    </v>
          </cell>
          <cell r="D476">
            <v>547.53</v>
          </cell>
        </row>
        <row r="477">
          <cell r="A477">
            <v>11784</v>
          </cell>
          <cell r="B477" t="str">
            <v>BACIA SANITARIA TURCA DE LOUCA BRANCA</v>
          </cell>
          <cell r="C477" t="str">
            <v xml:space="preserve">UN    </v>
          </cell>
          <cell r="D477">
            <v>411.23</v>
          </cell>
        </row>
        <row r="478">
          <cell r="A478">
            <v>10</v>
          </cell>
          <cell r="B478" t="str">
            <v>BALDE PLASTICO CAPACIDADE *10* L</v>
          </cell>
          <cell r="C478" t="str">
            <v xml:space="preserve">UN    </v>
          </cell>
          <cell r="D478">
            <v>11.24</v>
          </cell>
        </row>
        <row r="479">
          <cell r="A479">
            <v>4815</v>
          </cell>
          <cell r="B479" t="str">
            <v>BALDE VERMELHO PARA SINALIZACAO DE VIAS</v>
          </cell>
          <cell r="C479" t="str">
            <v xml:space="preserve">UN    </v>
          </cell>
          <cell r="D479">
            <v>5.0599999999999996</v>
          </cell>
        </row>
        <row r="480">
          <cell r="A480">
            <v>541</v>
          </cell>
          <cell r="B480" t="str">
            <v>BANCADA DE MARMORE SINTETICO COM UMA CUBA, 120 X *60* CM</v>
          </cell>
          <cell r="C480" t="str">
            <v xml:space="preserve">UN    </v>
          </cell>
          <cell r="D480">
            <v>124.63</v>
          </cell>
        </row>
        <row r="481">
          <cell r="A481">
            <v>542</v>
          </cell>
          <cell r="B481" t="str">
            <v>BANCADA DE MARMORE SINTETICO COM UMA CUBA, 150 X *60* CM</v>
          </cell>
          <cell r="C481" t="str">
            <v xml:space="preserve">UN    </v>
          </cell>
          <cell r="D481">
            <v>156.22</v>
          </cell>
        </row>
        <row r="482">
          <cell r="A482">
            <v>540</v>
          </cell>
          <cell r="B482" t="str">
            <v>BANCADA DE MARMORE SINTETICO COM UMA CUBA, 200 X *60* CM</v>
          </cell>
          <cell r="C482" t="str">
            <v xml:space="preserve">UN    </v>
          </cell>
          <cell r="D482">
            <v>352.05</v>
          </cell>
        </row>
        <row r="483">
          <cell r="A483">
            <v>38364</v>
          </cell>
          <cell r="B483" t="str">
            <v>BANCADA/ BANCA EM GRANITO, POLIDO, TIPO ANDORINHA/ QUARTZ/ CASTELO/ CORUMBA OU OUTROS EQUIVALENTES DA REGIAO, COM CUBA INOX, FORMATO *120 X 60* CM, E=  *2* CM</v>
          </cell>
          <cell r="C483" t="str">
            <v xml:space="preserve">UN    </v>
          </cell>
          <cell r="D483">
            <v>754.71</v>
          </cell>
        </row>
        <row r="484">
          <cell r="A484">
            <v>11692</v>
          </cell>
          <cell r="B484" t="str">
            <v>BANCADA/ BANCA EM MARMORE, POLIDO, BRANCO COMUM, E=  *3* CM</v>
          </cell>
          <cell r="C484" t="str">
            <v xml:space="preserve">M2    </v>
          </cell>
          <cell r="D484">
            <v>389.72</v>
          </cell>
        </row>
        <row r="485">
          <cell r="A485">
            <v>1746</v>
          </cell>
          <cell r="B485" t="str">
            <v>BANCADA/BANCA/PIA DE ACO INOXIDAVEL (AISI 430) COM 1 CUBA CENTRAL, COM VALVULA, ESCORREDOR DUPLO, DE *0,55 X 1,20* M</v>
          </cell>
          <cell r="C485" t="str">
            <v xml:space="preserve">UN    </v>
          </cell>
          <cell r="D485">
            <v>183</v>
          </cell>
        </row>
        <row r="486">
          <cell r="A486">
            <v>1748</v>
          </cell>
          <cell r="B486" t="str">
            <v>BANCADA/BANCA/PIA DE ACO INOXIDAVEL (AISI 430) COM 1 CUBA CENTRAL, COM VALVULA, ESCORREDOR DUPLO, DE *0,55 X 1,40* M</v>
          </cell>
          <cell r="C486" t="str">
            <v xml:space="preserve">UN    </v>
          </cell>
          <cell r="D486">
            <v>243.34</v>
          </cell>
        </row>
        <row r="487">
          <cell r="A487">
            <v>1749</v>
          </cell>
          <cell r="B487" t="str">
            <v>BANCADA/BANCA/PIA DE ACO INOXIDAVEL (AISI 430) COM 1 CUBA CENTRAL, COM VALVULA, ESCORREDOR DUPLO, DE *0,55 X 1,80* M</v>
          </cell>
          <cell r="C487" t="str">
            <v xml:space="preserve">UN    </v>
          </cell>
          <cell r="D487">
            <v>352.56</v>
          </cell>
        </row>
        <row r="488">
          <cell r="A488">
            <v>37412</v>
          </cell>
          <cell r="B488" t="str">
            <v>BANCADA/BANCA/PIA DE ACO INOXIDAVEL (AISI 430) COM 1 CUBA CENTRAL, COM VALVULA, LISA (SEM ESCORREDOR), DE *0,55 X 1,20* M</v>
          </cell>
          <cell r="C488" t="str">
            <v xml:space="preserve">UN    </v>
          </cell>
          <cell r="D488">
            <v>178.88</v>
          </cell>
        </row>
        <row r="489">
          <cell r="A489">
            <v>1745</v>
          </cell>
          <cell r="B489" t="str">
            <v>BANCADA/BANCA/PIA DE ACO INOXIDAVEL (AISI 430) COM 1 CUBA CENTRAL, SEM VALVULA, ESCORREDOR DUPLO, DE *0,55 X 1,60* M</v>
          </cell>
          <cell r="C489" t="str">
            <v xml:space="preserve">UN    </v>
          </cell>
          <cell r="D489">
            <v>212.71</v>
          </cell>
        </row>
        <row r="490">
          <cell r="A490">
            <v>1750</v>
          </cell>
          <cell r="B490" t="str">
            <v>BANCADA/BANCA/PIA DE ACO INOXIDAVEL (AISI 430) COM 2 CUBAS, COM VALVULAS, ESCORREDOR DUPLO, DE *0,55 X 2,00* M</v>
          </cell>
          <cell r="C490" t="str">
            <v xml:space="preserve">UN    </v>
          </cell>
          <cell r="D490">
            <v>497.08</v>
          </cell>
        </row>
        <row r="491">
          <cell r="A491">
            <v>11687</v>
          </cell>
          <cell r="B491" t="str">
            <v>BANCADA/TAMPO ACO INOX (AISI 304), LARGURA 60 CM, COM RODABANCA (NAO INCLUI PES DE APOIO)</v>
          </cell>
          <cell r="C491" t="str">
            <v xml:space="preserve">M     </v>
          </cell>
          <cell r="D491">
            <v>792</v>
          </cell>
        </row>
        <row r="492">
          <cell r="A492">
            <v>11689</v>
          </cell>
          <cell r="B492" t="str">
            <v>BANCADA/TAMPO ACO INOX (AISI 304), LARGURA 70 CM, COM RODABANCA (NAO INCLUI PES DE APOIO)</v>
          </cell>
          <cell r="C492" t="str">
            <v xml:space="preserve">M     </v>
          </cell>
          <cell r="D492">
            <v>992.33</v>
          </cell>
        </row>
        <row r="493">
          <cell r="A493">
            <v>11693</v>
          </cell>
          <cell r="B493" t="str">
            <v>BANCADA/TAMPO LISO (SEM CUBA) EM MARMORE SINTETICO</v>
          </cell>
          <cell r="C493" t="str">
            <v xml:space="preserve">M2    </v>
          </cell>
          <cell r="D493">
            <v>138.19</v>
          </cell>
        </row>
        <row r="494">
          <cell r="A494">
            <v>36215</v>
          </cell>
          <cell r="B494" t="str">
            <v>BANCO ARTICULADO PARA BANHO, EM ACO INOX POLIDO, 70* CM X 45* CM</v>
          </cell>
          <cell r="C494" t="str">
            <v xml:space="preserve">UN    </v>
          </cell>
          <cell r="D494">
            <v>1052.25</v>
          </cell>
        </row>
        <row r="495">
          <cell r="A495">
            <v>42439</v>
          </cell>
          <cell r="B495" t="str">
            <v>BANCO COM ENCOSTO, 1,60M* DE COMPRIMENTO, EM TUBO DE ACO CARBONO E PINTURA NO PROCESSO ELETROSTATICO - PARA ACADEMIA AO AR LIVRE / ACADEMIA DA TERCEIRA IDADE - ATI</v>
          </cell>
          <cell r="C495" t="str">
            <v xml:space="preserve">UN    </v>
          </cell>
          <cell r="D495">
            <v>672.26</v>
          </cell>
        </row>
        <row r="496">
          <cell r="A496">
            <v>38381</v>
          </cell>
          <cell r="B496" t="str">
            <v>BANDEJA DE PINTURA PARA ROLO 23 CM</v>
          </cell>
          <cell r="C496" t="str">
            <v xml:space="preserve">UN    </v>
          </cell>
          <cell r="D496">
            <v>9.1</v>
          </cell>
        </row>
        <row r="497">
          <cell r="A497">
            <v>39621</v>
          </cell>
          <cell r="B497" t="str">
            <v>BARRA ANTIPANICO DUPLA, CEGA LADO OPOSTO, COR CINZA</v>
          </cell>
          <cell r="C497" t="str">
            <v xml:space="preserve">PAR   </v>
          </cell>
          <cell r="D497">
            <v>1221.03</v>
          </cell>
        </row>
        <row r="498">
          <cell r="A498">
            <v>39624</v>
          </cell>
          <cell r="B498" t="str">
            <v>BARRA ANTIPANICO DUPLA, PARA PORTA DE VIDRO, COR CINZA</v>
          </cell>
          <cell r="C498" t="str">
            <v xml:space="preserve">PAR   </v>
          </cell>
          <cell r="D498">
            <v>1235.6099999999999</v>
          </cell>
        </row>
        <row r="499">
          <cell r="A499">
            <v>39615</v>
          </cell>
          <cell r="B499" t="str">
            <v>BARRA ANTIPANICO SIMPLES, CEGA LADO OPOSTO, COR CINZA</v>
          </cell>
          <cell r="C499" t="str">
            <v xml:space="preserve">UN    </v>
          </cell>
          <cell r="D499">
            <v>425.98</v>
          </cell>
        </row>
        <row r="500">
          <cell r="A500">
            <v>39620</v>
          </cell>
          <cell r="B500" t="str">
            <v>BARRA ANTIPANICO SIMPLES, COM FECHADURA LADO OPOSTO, COR CINZA</v>
          </cell>
          <cell r="C500" t="str">
            <v xml:space="preserve">UN    </v>
          </cell>
          <cell r="D500">
            <v>651.21</v>
          </cell>
        </row>
        <row r="501">
          <cell r="A501">
            <v>39623</v>
          </cell>
          <cell r="B501" t="str">
            <v>BARRA ANTIPANICO SIMPLES, PARA PORTA DE VIDRO, COR CINZA</v>
          </cell>
          <cell r="C501" t="str">
            <v xml:space="preserve">UN    </v>
          </cell>
          <cell r="D501">
            <v>630.59</v>
          </cell>
        </row>
        <row r="502">
          <cell r="A502">
            <v>36207</v>
          </cell>
          <cell r="B502" t="str">
            <v>BARRA DE APOIO EM "L", EM ACO INOX POLIDO 70 X 70 CM, DIAMETRO MINIMO 3 CM</v>
          </cell>
          <cell r="C502" t="str">
            <v xml:space="preserve">UN    </v>
          </cell>
          <cell r="D502">
            <v>466.08</v>
          </cell>
        </row>
        <row r="503">
          <cell r="A503">
            <v>36209</v>
          </cell>
          <cell r="B503" t="str">
            <v>BARRA DE APOIO EM "L", EM ACO INOX POLIDO 80 X 80 CM, DIAMETRO MINIMO 3 CM</v>
          </cell>
          <cell r="C503" t="str">
            <v xml:space="preserve">UN    </v>
          </cell>
          <cell r="D503">
            <v>534.89</v>
          </cell>
        </row>
        <row r="504">
          <cell r="A504">
            <v>36210</v>
          </cell>
          <cell r="B504" t="str">
            <v>BARRA DE APOIO LATERAL ARTICULADA, COM TRAVA, EM ACO INOX POLIDO, 70 CM, DIAMETRO MINIMO 3 CM</v>
          </cell>
          <cell r="C504" t="str">
            <v xml:space="preserve">UN    </v>
          </cell>
          <cell r="D504">
            <v>578.74</v>
          </cell>
        </row>
        <row r="505">
          <cell r="A505">
            <v>36204</v>
          </cell>
          <cell r="B505" t="str">
            <v>BARRA DE APOIO RETA, EM ACO INOX POLIDO, COMPRIMENTO 60CM, DIAMETRO MINIMO 3 CM</v>
          </cell>
          <cell r="C505" t="str">
            <v xml:space="preserve">UN    </v>
          </cell>
          <cell r="D505">
            <v>205.2</v>
          </cell>
        </row>
        <row r="506">
          <cell r="A506">
            <v>36205</v>
          </cell>
          <cell r="B506" t="str">
            <v>BARRA DE APOIO RETA, EM ACO INOX POLIDO, COMPRIMENTO 70CM, DIAMETRO MINIMO 3 CM</v>
          </cell>
          <cell r="C506" t="str">
            <v xml:space="preserve">UN    </v>
          </cell>
          <cell r="D506">
            <v>227.89</v>
          </cell>
        </row>
        <row r="507">
          <cell r="A507">
            <v>36081</v>
          </cell>
          <cell r="B507" t="str">
            <v>BARRA DE APOIO RETA, EM ACO INOX POLIDO, COMPRIMENTO 80CM, DIAMETRO MINIMO 3 CM</v>
          </cell>
          <cell r="C507" t="str">
            <v xml:space="preserve">UN    </v>
          </cell>
          <cell r="D507">
            <v>242.99</v>
          </cell>
        </row>
        <row r="508">
          <cell r="A508">
            <v>36206</v>
          </cell>
          <cell r="B508" t="str">
            <v>BARRA DE APOIO RETA, EM ACO INOX POLIDO, COMPRIMENTO 90 CM, DIAMETRO MINIMO 3 CM</v>
          </cell>
          <cell r="C508" t="str">
            <v xml:space="preserve">UN    </v>
          </cell>
          <cell r="D508">
            <v>254.57</v>
          </cell>
        </row>
        <row r="509">
          <cell r="A509">
            <v>36218</v>
          </cell>
          <cell r="B509" t="str">
            <v>BARRA DE APOIO RETA, EM ALUMINIO, COMPRIMENTO 60CM, DIAMETRO MINIMO 3 CM</v>
          </cell>
          <cell r="C509" t="str">
            <v xml:space="preserve">UN    </v>
          </cell>
          <cell r="D509">
            <v>104.89</v>
          </cell>
        </row>
        <row r="510">
          <cell r="A510">
            <v>36220</v>
          </cell>
          <cell r="B510" t="str">
            <v>BARRA DE APOIO RETA, EM ALUMINIO, COMPRIMENTO 70CM, DIAMETRO MINIMO 3 CM</v>
          </cell>
          <cell r="C510" t="str">
            <v xml:space="preserve">UN    </v>
          </cell>
          <cell r="D510">
            <v>120.28</v>
          </cell>
        </row>
        <row r="511">
          <cell r="A511">
            <v>36080</v>
          </cell>
          <cell r="B511" t="str">
            <v>BARRA DE APOIO RETA, EM ALUMINIO, COMPRIMENTO 80 CM, DIAMETRO MINIMO 3 CM</v>
          </cell>
          <cell r="C511" t="str">
            <v xml:space="preserve">UN    </v>
          </cell>
          <cell r="D511">
            <v>130.1</v>
          </cell>
        </row>
        <row r="512">
          <cell r="A512">
            <v>36223</v>
          </cell>
          <cell r="B512" t="str">
            <v>BARRA DE APOIO RETA, EM ALUMINIO, COMPRIMENTO 90 CM, DIAMETRO MINIMO 3 CM</v>
          </cell>
          <cell r="C512" t="str">
            <v xml:space="preserve">UN    </v>
          </cell>
          <cell r="D512">
            <v>136.22999999999999</v>
          </cell>
        </row>
        <row r="513">
          <cell r="A513">
            <v>546</v>
          </cell>
          <cell r="B513" t="str">
            <v>BARRA DE FERRO RETANGULAR, BARRA CHATA (QUALQUER DIMENSAO)</v>
          </cell>
          <cell r="C513" t="str">
            <v xml:space="preserve">KG    </v>
          </cell>
          <cell r="D513">
            <v>6.3</v>
          </cell>
        </row>
        <row r="514">
          <cell r="A514">
            <v>557</v>
          </cell>
          <cell r="B514" t="str">
            <v>BARRA DE FERRO RETANGULAR, BARRA CHATA, 1 1/2"  X 1/2" (L X E), 3,79 KG/M</v>
          </cell>
          <cell r="C514" t="str">
            <v xml:space="preserve">M     </v>
          </cell>
          <cell r="D514">
            <v>24.18</v>
          </cell>
        </row>
        <row r="515">
          <cell r="A515">
            <v>552</v>
          </cell>
          <cell r="B515" t="str">
            <v>BARRA DE FERRO RETANGULAR, BARRA CHATA, 1 1/2" X 1/4" (L X E), 1,89 KG/M</v>
          </cell>
          <cell r="C515" t="str">
            <v xml:space="preserve">M     </v>
          </cell>
          <cell r="D515">
            <v>11.9</v>
          </cell>
        </row>
        <row r="516">
          <cell r="A516">
            <v>555</v>
          </cell>
          <cell r="B516" t="str">
            <v>BARRA DE FERRO RETANGULAR, BARRA CHATA, 1" X 1/4" (L X E), 1,2265 KG/M</v>
          </cell>
          <cell r="C516" t="str">
            <v xml:space="preserve">M     </v>
          </cell>
          <cell r="D516">
            <v>7.3</v>
          </cell>
        </row>
        <row r="517">
          <cell r="A517">
            <v>565</v>
          </cell>
          <cell r="B517" t="str">
            <v>BARRA DE FERRO RETANGULAR, BARRA CHATA, 1" X 3/16" (L X E), 1,73 KG/M</v>
          </cell>
          <cell r="C517" t="str">
            <v xml:space="preserve">M     </v>
          </cell>
          <cell r="D517">
            <v>11.15</v>
          </cell>
        </row>
        <row r="518">
          <cell r="A518">
            <v>549</v>
          </cell>
          <cell r="B518" t="str">
            <v>BARRA DE FERRO RETANGULAR, BARRA CHATA, 2" X 1/2" (L X E), 5,06 KG/M</v>
          </cell>
          <cell r="C518" t="str">
            <v xml:space="preserve">M     </v>
          </cell>
          <cell r="D518">
            <v>31.87</v>
          </cell>
        </row>
        <row r="519">
          <cell r="A519">
            <v>559</v>
          </cell>
          <cell r="B519" t="str">
            <v>BARRA DE FERRO RETANGULAR, BARRA CHATA, 2" X 1/4" (L X E), 2,53 KG/M</v>
          </cell>
          <cell r="C519" t="str">
            <v xml:space="preserve">M     </v>
          </cell>
          <cell r="D519">
            <v>15.93</v>
          </cell>
        </row>
        <row r="520">
          <cell r="A520">
            <v>551</v>
          </cell>
          <cell r="B520" t="str">
            <v>BARRA DE FERRO RETANGULAR, BARRA CHATA, 2" X 1" (L X E), 10,12 KG/M</v>
          </cell>
          <cell r="C520" t="str">
            <v xml:space="preserve">M     </v>
          </cell>
          <cell r="D520">
            <v>62.28</v>
          </cell>
        </row>
        <row r="521">
          <cell r="A521">
            <v>547</v>
          </cell>
          <cell r="B521" t="str">
            <v>BARRA DE FERRO RETANGULAR, BARRA CHATA, 2" X 3/8" (L X E), 3,79KG/M</v>
          </cell>
          <cell r="C521" t="str">
            <v xml:space="preserve">M     </v>
          </cell>
          <cell r="D521">
            <v>23.87</v>
          </cell>
        </row>
        <row r="522">
          <cell r="A522">
            <v>560</v>
          </cell>
          <cell r="B522" t="str">
            <v>BARRA DE FERRO RETANGULAR, BARRA CHATA, 2" X 5/16" (L X E), 3,162 KG/M</v>
          </cell>
          <cell r="C522" t="str">
            <v xml:space="preserve">M     </v>
          </cell>
          <cell r="D522">
            <v>20.170000000000002</v>
          </cell>
        </row>
        <row r="523">
          <cell r="A523">
            <v>566</v>
          </cell>
          <cell r="B523" t="str">
            <v>BARRA DE FERRO RETANGULAR, BARRA CHATA, 3/4" X 1/8" (L X E), 0,47 KG/M</v>
          </cell>
          <cell r="C523" t="str">
            <v xml:space="preserve">M     </v>
          </cell>
          <cell r="D523">
            <v>3.24</v>
          </cell>
        </row>
        <row r="524">
          <cell r="A524">
            <v>563</v>
          </cell>
          <cell r="B524" t="str">
            <v>BARRA DE FERRO RETANGULAR, BARRA CHATA, 3/8" X 1 1/2" (L X E), 2,84 KG/M</v>
          </cell>
          <cell r="C524" t="str">
            <v xml:space="preserve">M     </v>
          </cell>
          <cell r="D524">
            <v>18.12</v>
          </cell>
        </row>
        <row r="525">
          <cell r="A525">
            <v>38127</v>
          </cell>
          <cell r="B525" t="str">
            <v>BASE DE MISTURADOR MONOCOMANDO PARA CHUVEIRO</v>
          </cell>
          <cell r="C525" t="str">
            <v xml:space="preserve">UN    </v>
          </cell>
          <cell r="D525">
            <v>379.59</v>
          </cell>
        </row>
        <row r="526">
          <cell r="A526">
            <v>38060</v>
          </cell>
          <cell r="B526" t="str">
            <v>BASE PARA MASTRO DE PARA-RAIOS DIAMETRO NOMINAL 1 1/2"</v>
          </cell>
          <cell r="C526" t="str">
            <v xml:space="preserve">UN    </v>
          </cell>
          <cell r="D526">
            <v>66.349999999999994</v>
          </cell>
        </row>
        <row r="527">
          <cell r="A527">
            <v>10956</v>
          </cell>
          <cell r="B527" t="str">
            <v>BASE PARA MASTRO DE PARA-RAIOS DIAMETRO NOMINAL 2"</v>
          </cell>
          <cell r="C527" t="str">
            <v xml:space="preserve">UN    </v>
          </cell>
          <cell r="D527">
            <v>68.930000000000007</v>
          </cell>
        </row>
        <row r="528">
          <cell r="A528">
            <v>39380</v>
          </cell>
          <cell r="B528" t="str">
            <v>BASE PARA RELE COM SUPORTE METALICO</v>
          </cell>
          <cell r="C528" t="str">
            <v xml:space="preserve">UN    </v>
          </cell>
          <cell r="D528">
            <v>10.63</v>
          </cell>
        </row>
        <row r="529">
          <cell r="A529">
            <v>13374</v>
          </cell>
          <cell r="B529" t="str">
            <v>BASE UNIPOLAR PARA FUSIVEL NH1, CORRENTE NOMINAL DE 250 A, SEM CAPA</v>
          </cell>
          <cell r="C529" t="str">
            <v xml:space="preserve">UN    </v>
          </cell>
          <cell r="D529">
            <v>89.96</v>
          </cell>
        </row>
        <row r="530">
          <cell r="A530">
            <v>37597</v>
          </cell>
          <cell r="B530" t="str">
            <v>BATE-ESTACAS POR GRAVIDADE, POTENCIA160 HP, PESO DO MARTELO ATE 3 TONELADAS</v>
          </cell>
          <cell r="C530" t="str">
            <v xml:space="preserve">UN    </v>
          </cell>
          <cell r="D530">
            <v>343543.51</v>
          </cell>
        </row>
        <row r="531">
          <cell r="A531">
            <v>183</v>
          </cell>
          <cell r="B531" t="str">
            <v>BATENTE/ PORTAL/ ADUELA/ MARCO MACICO, E= *3 CM, L= *13 CM, *60 CM A 120* CM X *210 CM,  EM CEDRINHO/ ANGELIM COMERCIAL/ EUCALIPTO/ CURUPIXA/ PEROBA/ CUMARU OU EQUIVALENTE DA REGIAO (NAO INCLUI ALIZARES)</v>
          </cell>
          <cell r="C531" t="str">
            <v xml:space="preserve">JG    </v>
          </cell>
          <cell r="D531">
            <v>109.45</v>
          </cell>
        </row>
        <row r="532">
          <cell r="A532">
            <v>184</v>
          </cell>
          <cell r="B532" t="str">
            <v>BATENTE/ PORTAL/ ADUELA/ MARCO MACICO, E= *3* CM, L= *13* CM, *60 CM A 120* CM X *210* CM, EM PINUS/ TAUARI/ VIROLA OU EQUIVALENTE DA REGIAO (NAO INCLUI ALIZARES)</v>
          </cell>
          <cell r="C532" t="str">
            <v xml:space="preserve">JG    </v>
          </cell>
          <cell r="D532">
            <v>72.34</v>
          </cell>
        </row>
        <row r="533">
          <cell r="A533">
            <v>195</v>
          </cell>
          <cell r="B533" t="str">
            <v>BATENTE/ PORTAL/ ADUELA/ MARCO MACICO, E= *3* CM, L= *7* CM, *60 CM A 120* CM X *210* CM,  EM CEDRINHO/ ANGELIM COMERCIAL/ EUCALIPTO/ CURUPIXA/ PEROBA/ CUMARU OU EQUIVALENTE DA REGIAO (NAO INCLUI ALIZARES)</v>
          </cell>
          <cell r="C533" t="str">
            <v xml:space="preserve">JG    </v>
          </cell>
          <cell r="D533">
            <v>88.91</v>
          </cell>
        </row>
        <row r="534">
          <cell r="A534">
            <v>194</v>
          </cell>
          <cell r="B534" t="str">
            <v>BATENTE/ PORTAL/ ADUELA/ MARCO MACICO, E= *3* CM, L= *7* CM, *60 CM A 120* CM X *210* CM, EM PINUS/ TAUARI/ VIROLA OU EQUIVALENTE DA REGIAO (NAO INCLUI ALIZARES)</v>
          </cell>
          <cell r="C534" t="str">
            <v xml:space="preserve">JG    </v>
          </cell>
          <cell r="D534">
            <v>48.33</v>
          </cell>
        </row>
        <row r="535">
          <cell r="A535">
            <v>20001</v>
          </cell>
          <cell r="B535" t="str">
            <v>BATENTE/ PORTAL/ ADUELA/MARCO MACICO, E= *3* CM, L= *15* CM, *60 CM A 120* CM  X *210* CM, EM PINUS/ TAUARI/ VIROLA OU EQUIVALENTE DA REGIAO</v>
          </cell>
          <cell r="C535" t="str">
            <v xml:space="preserve">JG    </v>
          </cell>
          <cell r="D535">
            <v>88.6</v>
          </cell>
        </row>
        <row r="536">
          <cell r="A536">
            <v>181</v>
          </cell>
          <cell r="B536" t="str">
            <v>BATENTE/ PORTAL/ADUELA/ MARCO MACICO, E= *3* CM, L= *15* CM, *60 CM A 120* CM  X *210* CM,  EM CEDRINHO/ ANGELIM COMERCIAL/  EUCALIPTO/ CURUPIXA/ PEROBA/ CUMARU OU EQUIVALENTE DA REGIAO (NAO INCLUI ALIZARES)</v>
          </cell>
          <cell r="C536" t="str">
            <v xml:space="preserve">JG    </v>
          </cell>
          <cell r="D536">
            <v>119.87</v>
          </cell>
        </row>
        <row r="537">
          <cell r="A537">
            <v>39837</v>
          </cell>
          <cell r="B537" t="str">
            <v>BATENTE/PORTAL/ADUELA/MARCO, EM MDF/PVC WOOD/POLIESTIRENO OU MADEIRA LAMINADA, L = *9,0* CM COM GUARNICAO REGULAVEL 2 FACES = *35* MM, PRIMER</v>
          </cell>
          <cell r="C537" t="str">
            <v xml:space="preserve">JG    </v>
          </cell>
          <cell r="D537">
            <v>211.71</v>
          </cell>
        </row>
        <row r="538">
          <cell r="A538">
            <v>10535</v>
          </cell>
          <cell r="B538" t="str">
            <v>BETONEIRA CAPACIDADE NOMINAL 400 L, CAPACIDADE DE MISTURA  280 L, MOTOR ELETRICO TRIFASICO 220/380 V POTENCIA 2 CV, SEM CARREGADOR</v>
          </cell>
          <cell r="C538" t="str">
            <v xml:space="preserve">UN    </v>
          </cell>
          <cell r="D538">
            <v>3621.5</v>
          </cell>
        </row>
        <row r="539">
          <cell r="A539">
            <v>10537</v>
          </cell>
          <cell r="B539" t="str">
            <v>BETONEIRA CAPACIDADE NOMINAL 400 L, CAPACIDADE DE MISTURA 310 L, MOTOR A DIESEL POTENCIA 5 CV, SEM CARREGADOR</v>
          </cell>
          <cell r="C539" t="str">
            <v xml:space="preserve">UN    </v>
          </cell>
          <cell r="D539">
            <v>4938.74</v>
          </cell>
        </row>
        <row r="540">
          <cell r="A540">
            <v>13891</v>
          </cell>
          <cell r="B540" t="str">
            <v>BETONEIRA CAPACIDADE NOMINAL 400 L, CAPACIDADE DE MISTURA 310 L, MOTOR A GASOLINA POTENCIA 5,5 CV, SEM CARREGADOR</v>
          </cell>
          <cell r="C540" t="str">
            <v xml:space="preserve">UN    </v>
          </cell>
          <cell r="D540">
            <v>4529.9399999999996</v>
          </cell>
        </row>
        <row r="541">
          <cell r="A541">
            <v>25975</v>
          </cell>
          <cell r="B541" t="str">
            <v>BETONEIRA CAPACIDADE NOMINAL 600 L, CAPACIDADE DE MISTURA 440 L, MOTOR A GASOLINA POTENCIA 10 HP, COM CARREGADOR</v>
          </cell>
          <cell r="C541" t="str">
            <v xml:space="preserve">UN    </v>
          </cell>
          <cell r="D541">
            <v>19703.41</v>
          </cell>
        </row>
        <row r="542">
          <cell r="A542">
            <v>36396</v>
          </cell>
          <cell r="B542" t="str">
            <v>BETONEIRA, CAPACIDADE NOMINAL 400 L, CAPACIDADE DE MISTURA 310L, MOTOR ELETRICO TRIFASICO 220/380V POTENCIA 2 CV, SEM CARREGADOR</v>
          </cell>
          <cell r="C542" t="str">
            <v xml:space="preserve">UN    </v>
          </cell>
          <cell r="D542">
            <v>4143.24</v>
          </cell>
        </row>
        <row r="543">
          <cell r="A543">
            <v>36397</v>
          </cell>
          <cell r="B543" t="str">
            <v>BETONEIRA, CAPACIDADE NOMINAL 600 L, CAPACIDADE DE MISTURA  360L, MOTOR ELETRICO TRIFASICO 220/380V, POTENCIA 4CV, EXCLUSO CARREGADOR</v>
          </cell>
          <cell r="C543" t="str">
            <v xml:space="preserve">UN    </v>
          </cell>
          <cell r="D543">
            <v>14731.52</v>
          </cell>
        </row>
        <row r="544">
          <cell r="A544">
            <v>36398</v>
          </cell>
          <cell r="B544" t="str">
            <v>BETONEIRA, CAPACIDADE NOMINAL 600 L, CAPACIDADE DE MISTURA 440 L, MOTOR A DIESEL POTENCIA 10 CV, COM CARREGADOR</v>
          </cell>
          <cell r="C544" t="str">
            <v xml:space="preserve">UN    </v>
          </cell>
          <cell r="D544">
            <v>17904.939999999999</v>
          </cell>
        </row>
        <row r="545">
          <cell r="A545">
            <v>647</v>
          </cell>
          <cell r="B545" t="str">
            <v>BLASTER, DINAMITADOR OU CABO DE FOGO</v>
          </cell>
          <cell r="C545" t="str">
            <v xml:space="preserve">H     </v>
          </cell>
          <cell r="D545">
            <v>10.19</v>
          </cell>
        </row>
        <row r="546">
          <cell r="A546">
            <v>40920</v>
          </cell>
          <cell r="B546" t="str">
            <v>BLASTER, DINAMITADOR OU CABO DE FOGO (MENSALISTA)</v>
          </cell>
          <cell r="C546" t="str">
            <v xml:space="preserve">MES   </v>
          </cell>
          <cell r="D546">
            <v>1806.47</v>
          </cell>
        </row>
        <row r="547">
          <cell r="A547">
            <v>38783</v>
          </cell>
          <cell r="B547" t="str">
            <v>BLOCO CERAMICO DE VEDACAO COM FUROS NA HORIZONTAL, 11,5 X 19 X 19 CM - 4,5 MPA (NBR 15270)</v>
          </cell>
          <cell r="C547" t="str">
            <v xml:space="preserve">UN    </v>
          </cell>
          <cell r="D547">
            <v>0.8</v>
          </cell>
        </row>
        <row r="548">
          <cell r="A548">
            <v>37593</v>
          </cell>
          <cell r="B548" t="str">
            <v>BLOCO CERAMICO DE VEDACAO COM FUROS NA VERTICAL, 14 X 19 X 39 CM - 4,5 MPA (NBR 15270)</v>
          </cell>
          <cell r="C548" t="str">
            <v xml:space="preserve">UN    </v>
          </cell>
          <cell r="D548">
            <v>1.96</v>
          </cell>
        </row>
        <row r="549">
          <cell r="A549">
            <v>37594</v>
          </cell>
          <cell r="B549" t="str">
            <v>BLOCO CERAMICO DE VEDACAO COM FUROS NA VERTICAL, 19 X 19 X 39 CM - 4,5 MPA (NBR 15270)</v>
          </cell>
          <cell r="C549" t="str">
            <v xml:space="preserve">UN    </v>
          </cell>
          <cell r="D549">
            <v>2.44</v>
          </cell>
        </row>
        <row r="550">
          <cell r="A550">
            <v>37592</v>
          </cell>
          <cell r="B550" t="str">
            <v>BLOCO CERAMICO DE VEDACAO COM FUROS NA VERTICAL, 9 X 19 X 39 CM - 4,5 MPA (NBR 15270)</v>
          </cell>
          <cell r="C550" t="str">
            <v xml:space="preserve">UN    </v>
          </cell>
          <cell r="D550">
            <v>1.54</v>
          </cell>
        </row>
        <row r="551">
          <cell r="A551">
            <v>7266</v>
          </cell>
          <cell r="B551" t="str">
            <v>BLOCO CERAMICO VAZADO PARA ALVENARIA DE VEDACAO, DE 9 X 19 X 19 CM (L X A X C)</v>
          </cell>
          <cell r="C551" t="str">
            <v xml:space="preserve">MIL   </v>
          </cell>
          <cell r="D551">
            <v>597</v>
          </cell>
        </row>
        <row r="552">
          <cell r="A552">
            <v>7270</v>
          </cell>
          <cell r="B552" t="str">
            <v>BLOCO CERAMICO VAZADO PARA ALVENARIA DE VEDACAO, 4 FUROS, DE 9 X 9 X 19 CM (L X A X C)</v>
          </cell>
          <cell r="C552" t="str">
            <v xml:space="preserve">UN    </v>
          </cell>
          <cell r="D552">
            <v>0.69</v>
          </cell>
        </row>
        <row r="553">
          <cell r="A553">
            <v>7267</v>
          </cell>
          <cell r="B553" t="str">
            <v>BLOCO CERAMICO VAZADO PARA ALVENARIA DE VEDACAO, 6 FUROS, DE 9 X 14 X 19 CM (L X A X C)</v>
          </cell>
          <cell r="C553" t="str">
            <v xml:space="preserve">UN    </v>
          </cell>
          <cell r="D553">
            <v>0.54</v>
          </cell>
        </row>
        <row r="554">
          <cell r="A554">
            <v>7269</v>
          </cell>
          <cell r="B554" t="str">
            <v>BLOCO CERAMICO VAZADO PARA ALVENARIA DE VEDACAO, 6 FUROS, DE 9 X 9 X 19 CM (L X A X C)</v>
          </cell>
          <cell r="C554" t="str">
            <v xml:space="preserve">UN    </v>
          </cell>
          <cell r="D554">
            <v>0.55000000000000004</v>
          </cell>
        </row>
        <row r="555">
          <cell r="A555">
            <v>7271</v>
          </cell>
          <cell r="B555" t="str">
            <v>BLOCO CERAMICO VAZADO PARA ALVENARIA DE VEDACAO, 8 FUROS, DE 9 X 19 X 19 CM (L XA X C)</v>
          </cell>
          <cell r="C555" t="str">
            <v xml:space="preserve">UN    </v>
          </cell>
          <cell r="D555">
            <v>0.59</v>
          </cell>
        </row>
        <row r="556">
          <cell r="A556">
            <v>7268</v>
          </cell>
          <cell r="B556" t="str">
            <v>BLOCO CERAMICO VAZADO PARA ALVENARIA DE VEDACAO, 8 FUROS, DE 9 X 19 X 29 CM (L X A X C)</v>
          </cell>
          <cell r="C556" t="str">
            <v xml:space="preserve">UN    </v>
          </cell>
          <cell r="D556">
            <v>0.83</v>
          </cell>
        </row>
        <row r="557">
          <cell r="A557">
            <v>34556</v>
          </cell>
          <cell r="B557" t="str">
            <v>BLOCO DE CONCRETO ESTRUTURAL 14 X 19 X 29 CM, FBK 10 MPA (NBR 6136)</v>
          </cell>
          <cell r="C557" t="str">
            <v xml:space="preserve">UN    </v>
          </cell>
          <cell r="D557">
            <v>3.07</v>
          </cell>
        </row>
        <row r="558">
          <cell r="A558">
            <v>37873</v>
          </cell>
          <cell r="B558" t="str">
            <v>BLOCO DE CONCRETO ESTRUTURAL 14 X 19 X 29 CM, FBK 12 MPA (NBR 6136)</v>
          </cell>
          <cell r="C558" t="str">
            <v xml:space="preserve">UN    </v>
          </cell>
          <cell r="D558">
            <v>3.12</v>
          </cell>
        </row>
        <row r="559">
          <cell r="A559">
            <v>34564</v>
          </cell>
          <cell r="B559" t="str">
            <v>BLOCO DE CONCRETO ESTRUTURAL 14 X 19 X 29 CM, FBK 14 MPA (NBR 6136)</v>
          </cell>
          <cell r="C559" t="str">
            <v xml:space="preserve">UN    </v>
          </cell>
          <cell r="D559">
            <v>3.27</v>
          </cell>
        </row>
        <row r="560">
          <cell r="A560">
            <v>34565</v>
          </cell>
          <cell r="B560" t="str">
            <v>BLOCO DE CONCRETO ESTRUTURAL 14 X 19 X 29 CM, FBK 16 MPA (NBR 6136)</v>
          </cell>
          <cell r="C560" t="str">
            <v xml:space="preserve">UN    </v>
          </cell>
          <cell r="D560">
            <v>3.46</v>
          </cell>
        </row>
        <row r="561">
          <cell r="A561">
            <v>38590</v>
          </cell>
          <cell r="B561" t="str">
            <v>BLOCO DE CONCRETO ESTRUTURAL 14 X 19 X 29 CM, FBK 4,5 MPA (NBR 6136)</v>
          </cell>
          <cell r="C561" t="str">
            <v xml:space="preserve">UN    </v>
          </cell>
          <cell r="D561">
            <v>2.5499999999999998</v>
          </cell>
        </row>
        <row r="562">
          <cell r="A562">
            <v>34566</v>
          </cell>
          <cell r="B562" t="str">
            <v>BLOCO DE CONCRETO ESTRUTURAL 14 X 19 X 29 CM, FBK 6 MPA (NBR 6136)</v>
          </cell>
          <cell r="C562" t="str">
            <v xml:space="preserve">UN    </v>
          </cell>
          <cell r="D562">
            <v>2.68</v>
          </cell>
        </row>
        <row r="563">
          <cell r="A563">
            <v>34567</v>
          </cell>
          <cell r="B563" t="str">
            <v>BLOCO DE CONCRETO ESTRUTURAL 14 X 19 X 29 CM, FBK 8 MPA (NBR 6136)</v>
          </cell>
          <cell r="C563" t="str">
            <v xml:space="preserve">UN    </v>
          </cell>
          <cell r="D563">
            <v>2.84</v>
          </cell>
        </row>
        <row r="564">
          <cell r="A564">
            <v>38591</v>
          </cell>
          <cell r="B564" t="str">
            <v>BLOCO DE CONCRETO ESTRUTURAL 14 X 19 X 34 CM, FBK 4,5 MPA (NBR 6136)</v>
          </cell>
          <cell r="C564" t="str">
            <v xml:space="preserve">UN    </v>
          </cell>
          <cell r="D564">
            <v>2.58</v>
          </cell>
        </row>
        <row r="565">
          <cell r="A565">
            <v>34568</v>
          </cell>
          <cell r="B565" t="str">
            <v>BLOCO DE CONCRETO ESTRUTURAL 14 X 19 X 39 CM, FBK 10 MPA (NBR 6136)</v>
          </cell>
          <cell r="C565" t="str">
            <v xml:space="preserve">UN    </v>
          </cell>
          <cell r="D565">
            <v>3.36</v>
          </cell>
        </row>
        <row r="566">
          <cell r="A566">
            <v>34569</v>
          </cell>
          <cell r="B566" t="str">
            <v>BLOCO DE CONCRETO ESTRUTURAL 14 X 19 X 39 CM, FBK 12 MPA (NBR 6136)</v>
          </cell>
          <cell r="C566" t="str">
            <v xml:space="preserve">UN    </v>
          </cell>
          <cell r="D566">
            <v>3.46</v>
          </cell>
        </row>
        <row r="567">
          <cell r="A567">
            <v>34570</v>
          </cell>
          <cell r="B567" t="str">
            <v>BLOCO DE CONCRETO ESTRUTURAL 14 X 19 X 39 CM, FBK 14 MPA (NBR 6136)</v>
          </cell>
          <cell r="C567" t="str">
            <v xml:space="preserve">UN    </v>
          </cell>
          <cell r="D567">
            <v>3.75</v>
          </cell>
        </row>
        <row r="568">
          <cell r="A568">
            <v>25070</v>
          </cell>
          <cell r="B568" t="str">
            <v>BLOCO DE CONCRETO ESTRUTURAL 14 X 19 X 39 CM, FBK 4,5 MPA (NBR 6136)</v>
          </cell>
          <cell r="C568" t="str">
            <v xml:space="preserve">UN    </v>
          </cell>
          <cell r="D568">
            <v>2.82</v>
          </cell>
        </row>
        <row r="569">
          <cell r="A569">
            <v>34571</v>
          </cell>
          <cell r="B569" t="str">
            <v>BLOCO DE CONCRETO ESTRUTURAL 14 X 19 X 39 CM, FBK 6 MPA (NBR 6136)</v>
          </cell>
          <cell r="C569" t="str">
            <v xml:space="preserve">UN    </v>
          </cell>
          <cell r="D569">
            <v>2.85</v>
          </cell>
        </row>
        <row r="570">
          <cell r="A570">
            <v>34573</v>
          </cell>
          <cell r="B570" t="str">
            <v>BLOCO DE CONCRETO ESTRUTURAL 14 X 19 X 39 CM, FBK 8 MPA (NBR 6136)</v>
          </cell>
          <cell r="C570" t="str">
            <v xml:space="preserve">UN    </v>
          </cell>
          <cell r="D570">
            <v>3</v>
          </cell>
        </row>
        <row r="571">
          <cell r="A571">
            <v>37107</v>
          </cell>
          <cell r="B571" t="str">
            <v>BLOCO DE CONCRETO ESTRUTURAL 14 X 19 X 39, FCK 16 MPA (NBR 6136)</v>
          </cell>
          <cell r="C571" t="str">
            <v xml:space="preserve">UN    </v>
          </cell>
          <cell r="D571">
            <v>3.96</v>
          </cell>
        </row>
        <row r="572">
          <cell r="A572">
            <v>34576</v>
          </cell>
          <cell r="B572" t="str">
            <v>BLOCO DE CONCRETO ESTRUTURAL 19 X 19 X 39 CM, FBK 10 MPA (NBR 6136)</v>
          </cell>
          <cell r="C572" t="str">
            <v xml:space="preserve">UN    </v>
          </cell>
          <cell r="D572">
            <v>4.37</v>
          </cell>
        </row>
        <row r="573">
          <cell r="A573">
            <v>34577</v>
          </cell>
          <cell r="B573" t="str">
            <v>BLOCO DE CONCRETO ESTRUTURAL 19 X 19 X 39 CM, FBK 12 MPA (NBR 6136)</v>
          </cell>
          <cell r="C573" t="str">
            <v xml:space="preserve">UN    </v>
          </cell>
          <cell r="D573">
            <v>4.5599999999999996</v>
          </cell>
        </row>
        <row r="574">
          <cell r="A574">
            <v>34578</v>
          </cell>
          <cell r="B574" t="str">
            <v>BLOCO DE CONCRETO ESTRUTURAL 19 X 19 X 39 CM, FBK 14 MPA (NBR 6136)</v>
          </cell>
          <cell r="C574" t="str">
            <v xml:space="preserve">UN    </v>
          </cell>
          <cell r="D574">
            <v>4.95</v>
          </cell>
        </row>
        <row r="575">
          <cell r="A575">
            <v>34579</v>
          </cell>
          <cell r="B575" t="str">
            <v>BLOCO DE CONCRETO ESTRUTURAL 19 X 19 X 39 CM, FBK 16 MPA (NBR 6136)</v>
          </cell>
          <cell r="C575" t="str">
            <v xml:space="preserve">UN    </v>
          </cell>
          <cell r="D575">
            <v>5.28</v>
          </cell>
        </row>
        <row r="576">
          <cell r="A576">
            <v>25067</v>
          </cell>
          <cell r="B576" t="str">
            <v>BLOCO DE CONCRETO ESTRUTURAL 19 X 19 X 39 CM, FBK 4,5 MPA (NBR 6136)</v>
          </cell>
          <cell r="C576" t="str">
            <v xml:space="preserve">UN    </v>
          </cell>
          <cell r="D576">
            <v>3.53</v>
          </cell>
        </row>
        <row r="577">
          <cell r="A577">
            <v>34580</v>
          </cell>
          <cell r="B577" t="str">
            <v>BLOCO DE CONCRETO ESTRUTURAL 19 X 19 X 39 CM, FBK 8 MPA (NBR 6136)</v>
          </cell>
          <cell r="C577" t="str">
            <v xml:space="preserve">UN    </v>
          </cell>
          <cell r="D577">
            <v>3.94</v>
          </cell>
        </row>
        <row r="578">
          <cell r="A578">
            <v>25071</v>
          </cell>
          <cell r="B578" t="str">
            <v>BLOCO DE CONCRETO ESTRUTURAL 9 X 19 X 39 CM, FBK 4,5 MPA (NBR 6136)</v>
          </cell>
          <cell r="C578" t="str">
            <v xml:space="preserve">UN    </v>
          </cell>
          <cell r="D578">
            <v>1.96</v>
          </cell>
        </row>
        <row r="579">
          <cell r="A579">
            <v>38395</v>
          </cell>
          <cell r="B579" t="str">
            <v>BLOCO DE ESPUMA MULTIUSO *23 X 13 X 8* CM</v>
          </cell>
          <cell r="C579" t="str">
            <v xml:space="preserve">UN    </v>
          </cell>
          <cell r="D579">
            <v>7.6</v>
          </cell>
        </row>
        <row r="580">
          <cell r="A580">
            <v>34583</v>
          </cell>
          <cell r="B580" t="str">
            <v>BLOCO DE GESSO COMPACTO, BRANCO, E = 10 CM, *67 X 50* CM</v>
          </cell>
          <cell r="C580" t="str">
            <v xml:space="preserve">M2    </v>
          </cell>
          <cell r="D580">
            <v>64.8</v>
          </cell>
        </row>
        <row r="581">
          <cell r="A581">
            <v>34584</v>
          </cell>
          <cell r="B581" t="str">
            <v>BLOCO DE GESSO VAZADO BRANCO, E = *7* CM, *67 X 50* CM</v>
          </cell>
          <cell r="C581" t="str">
            <v xml:space="preserve">M2    </v>
          </cell>
          <cell r="D581">
            <v>36.270000000000003</v>
          </cell>
        </row>
        <row r="582">
          <cell r="A582">
            <v>709</v>
          </cell>
          <cell r="B582" t="str">
            <v>BLOCO DE POLIETILENO ALTA DENSIDADE, *27* X *30* X *100* CM, ACOMPANHADOS PLACAS  TERMINAIS  E LONGARINAS, PARA FUNDO DE FILTRO</v>
          </cell>
          <cell r="C582" t="str">
            <v xml:space="preserve">M2    </v>
          </cell>
          <cell r="D582">
            <v>547</v>
          </cell>
        </row>
        <row r="583">
          <cell r="A583">
            <v>34599</v>
          </cell>
          <cell r="B583" t="str">
            <v>BLOCO DE VEDACAO CONCRETO APARENTE 9 X 19 X 39 CM (CLASSE C - NBR 6136)</v>
          </cell>
          <cell r="C583" t="str">
            <v xml:space="preserve">UN    </v>
          </cell>
          <cell r="D583">
            <v>2.02</v>
          </cell>
        </row>
        <row r="584">
          <cell r="A584">
            <v>34592</v>
          </cell>
          <cell r="B584" t="str">
            <v>BLOCO DE VEDACAO CONCRETO 14 X 19 X 29 CM (CLASSE C - NBR 6136)</v>
          </cell>
          <cell r="C584" t="str">
            <v xml:space="preserve">UN    </v>
          </cell>
          <cell r="D584">
            <v>2.2400000000000002</v>
          </cell>
        </row>
        <row r="585">
          <cell r="A585">
            <v>37103</v>
          </cell>
          <cell r="B585" t="str">
            <v>BLOCO DE VEDACAO DE CONCRETO APARENTE 14 X 19 X 39 CM (CLASSE C - NBR 6136)</v>
          </cell>
          <cell r="C585" t="str">
            <v xml:space="preserve">UN    </v>
          </cell>
          <cell r="D585">
            <v>2.57</v>
          </cell>
        </row>
        <row r="586">
          <cell r="A586">
            <v>34555</v>
          </cell>
          <cell r="B586" t="str">
            <v>BLOCO DE VEDACAO DE CONCRETO APARENTE 19 X 19 X 39 CM  (CLASSE C - NBR 6136)</v>
          </cell>
          <cell r="C586" t="str">
            <v xml:space="preserve">UN    </v>
          </cell>
          <cell r="D586">
            <v>3.26</v>
          </cell>
        </row>
        <row r="587">
          <cell r="A587">
            <v>674</v>
          </cell>
          <cell r="B587" t="str">
            <v>BLOCO DE VEDACAO DE CONCRETO CELULAR AUTOCLAVADO 10 X 30 X 60 CM (E X A X C)</v>
          </cell>
          <cell r="C587" t="str">
            <v xml:space="preserve">M2    </v>
          </cell>
          <cell r="D587">
            <v>53.78</v>
          </cell>
        </row>
        <row r="588">
          <cell r="A588">
            <v>34600</v>
          </cell>
          <cell r="B588" t="str">
            <v>BLOCO DE VEDACAO DE CONCRETO CELULAR AUTOCLAVADO 15 X 30 X 60 CM (E X A X C)</v>
          </cell>
          <cell r="C588" t="str">
            <v xml:space="preserve">M2    </v>
          </cell>
          <cell r="D588">
            <v>79</v>
          </cell>
        </row>
        <row r="589">
          <cell r="A589">
            <v>652</v>
          </cell>
          <cell r="B589" t="str">
            <v>BLOCO DE VEDACAO DE CONCRETO CELULAR AUTOCLAVADO 20 X 30 X 60 CM (E X A X C)</v>
          </cell>
          <cell r="C589" t="str">
            <v xml:space="preserve">M2    </v>
          </cell>
          <cell r="D589">
            <v>121.02</v>
          </cell>
        </row>
        <row r="590">
          <cell r="A590">
            <v>651</v>
          </cell>
          <cell r="B590" t="str">
            <v>BLOCO DE VEDACAO DE CONCRETO 14 X 19 X 39 CM (CLASSE C - NBR 6136)</v>
          </cell>
          <cell r="C590" t="str">
            <v xml:space="preserve">UN    </v>
          </cell>
          <cell r="D590">
            <v>2.4700000000000002</v>
          </cell>
        </row>
        <row r="591">
          <cell r="A591">
            <v>654</v>
          </cell>
          <cell r="B591" t="str">
            <v>BLOCO DE VEDACAO DE CONCRETO 19 X 19 X 39 CM (CLASSE C - NBR 6136)</v>
          </cell>
          <cell r="C591" t="str">
            <v xml:space="preserve">UN    </v>
          </cell>
          <cell r="D591">
            <v>3.07</v>
          </cell>
        </row>
        <row r="592">
          <cell r="A592">
            <v>650</v>
          </cell>
          <cell r="B592" t="str">
            <v>BLOCO DE VEDACAO DE CONCRETO, 9 X 19 X 39 CM (CLASSE C - NBR 6136)</v>
          </cell>
          <cell r="C592" t="str">
            <v xml:space="preserve">UN    </v>
          </cell>
          <cell r="D592">
            <v>1.98</v>
          </cell>
        </row>
        <row r="593">
          <cell r="A593">
            <v>716</v>
          </cell>
          <cell r="B593" t="str">
            <v>BLOCO DE VIDRO INCOLOR XADREZ, DE *20 X 20 X 10* CM</v>
          </cell>
          <cell r="C593" t="str">
            <v xml:space="preserve">UN    </v>
          </cell>
          <cell r="D593">
            <v>16.07</v>
          </cell>
        </row>
        <row r="594">
          <cell r="A594">
            <v>715</v>
          </cell>
          <cell r="B594" t="str">
            <v>BLOCO DE VIDRO INCOLOR, CANELADO, DE *19 X 19 X 8* CM</v>
          </cell>
          <cell r="C594" t="str">
            <v xml:space="preserve">UN    </v>
          </cell>
          <cell r="D594">
            <v>15.9</v>
          </cell>
        </row>
        <row r="595">
          <cell r="A595">
            <v>718</v>
          </cell>
          <cell r="B595" t="str">
            <v>BLOCO DE VIDRO/ELEMENTO VAZADO INCOLOR, VENEZIANA, DE *20 X 20 X 6* CM</v>
          </cell>
          <cell r="C595" t="str">
            <v xml:space="preserve">UN    </v>
          </cell>
          <cell r="D595">
            <v>23.69</v>
          </cell>
        </row>
        <row r="596">
          <cell r="A596">
            <v>11981</v>
          </cell>
          <cell r="B596" t="str">
            <v>BLOCO DE VIDRO/ELEMENTO VAZADO, INCOLOR, VENEZIANA, *20 X 10 X 8* CM</v>
          </cell>
          <cell r="C596" t="str">
            <v xml:space="preserve">UN    </v>
          </cell>
          <cell r="D596">
            <v>16.239999999999998</v>
          </cell>
        </row>
        <row r="597">
          <cell r="A597">
            <v>34586</v>
          </cell>
          <cell r="B597" t="str">
            <v>BLOCO ESTRUTURAL CERAMICO 14 X 19 X 29 CM, 6,0 MPA (NBR 15270)</v>
          </cell>
          <cell r="C597" t="str">
            <v xml:space="preserve">UN    </v>
          </cell>
          <cell r="D597">
            <v>1.67</v>
          </cell>
        </row>
        <row r="598">
          <cell r="A598">
            <v>38603</v>
          </cell>
          <cell r="B598" t="str">
            <v>BLOCO ESTRUTURAL CERAMICO 14 X 19 X 34 CM, 6,0 MPA (NBR 15270)</v>
          </cell>
          <cell r="C598" t="str">
            <v xml:space="preserve">UN    </v>
          </cell>
          <cell r="D598">
            <v>2.02</v>
          </cell>
        </row>
        <row r="599">
          <cell r="A599">
            <v>34588</v>
          </cell>
          <cell r="B599" t="str">
            <v>BLOCO ESTRUTURAL CERAMICO 14 X 19 X 39 CM, 6,0 MPA (NBR 15270)</v>
          </cell>
          <cell r="C599" t="str">
            <v xml:space="preserve">UN    </v>
          </cell>
          <cell r="D599">
            <v>2.19</v>
          </cell>
        </row>
        <row r="600">
          <cell r="A600">
            <v>34590</v>
          </cell>
          <cell r="B600" t="str">
            <v>BLOCO ESTRUTURAL CERAMICO 19 X 19 X 29 CM, 6,0 MPA (NBR 15270)</v>
          </cell>
          <cell r="C600" t="str">
            <v xml:space="preserve">UN    </v>
          </cell>
          <cell r="D600">
            <v>2</v>
          </cell>
        </row>
        <row r="601">
          <cell r="A601">
            <v>34591</v>
          </cell>
          <cell r="B601" t="str">
            <v>BLOCO ESTRUTURAL CERAMICO 19 X 19 X 39 CM, 6,0 MPA (NBR 15270)</v>
          </cell>
          <cell r="C601" t="str">
            <v xml:space="preserve">UN    </v>
          </cell>
          <cell r="D601">
            <v>2.7</v>
          </cell>
        </row>
        <row r="602">
          <cell r="A602">
            <v>41372</v>
          </cell>
          <cell r="B602" t="str">
            <v>BLOCO VEDACAO CONCRETO CELULAR AUTOCLAVADO 12,5 X 30 X 60 CM (E X A X C)</v>
          </cell>
          <cell r="C602" t="str">
            <v xml:space="preserve">M2    </v>
          </cell>
          <cell r="D602">
            <v>75.48</v>
          </cell>
        </row>
        <row r="603">
          <cell r="A603">
            <v>41371</v>
          </cell>
          <cell r="B603" t="str">
            <v>BLOCO VEDACAO CONCRETO CELULAR AUTOCLAVADO 7,5 X 30 X 60 CM (E X A X C)</v>
          </cell>
          <cell r="C603" t="str">
            <v xml:space="preserve">M2    </v>
          </cell>
          <cell r="D603">
            <v>44.61</v>
          </cell>
        </row>
        <row r="604">
          <cell r="A604">
            <v>40517</v>
          </cell>
          <cell r="B604" t="str">
            <v>BLOQUETE/PISO DE CONCRETO - MODELO BLOCO PISOGRAMA/CONCREGRAMA 2 FUROS, DIMENSOES APROX. DE 35 CM X 15 CM E ESPESSURA DE 7 CM (+/- 1 CM), COR NATURAL</v>
          </cell>
          <cell r="C604" t="str">
            <v xml:space="preserve">M2    </v>
          </cell>
          <cell r="D604">
            <v>38.9</v>
          </cell>
        </row>
        <row r="605">
          <cell r="A605">
            <v>40515</v>
          </cell>
          <cell r="B605" t="str">
            <v>BLOQUETE/PISO DE CONCRETO - MODELO PISOGRAMA/CONCREGRAMA/PAVI-GRADE/GRAMEIRO, DIMENSOES APROXIMADAS DE 60 CM X 45 CM E ESPESSURA DE 8 CM (+/- 1 CM), COR NATURAL</v>
          </cell>
          <cell r="C605" t="str">
            <v xml:space="preserve">M2    </v>
          </cell>
          <cell r="D605">
            <v>87.53</v>
          </cell>
        </row>
        <row r="606">
          <cell r="A606">
            <v>40529</v>
          </cell>
          <cell r="B606" t="str">
            <v>BLOQUETE/PISO INTERTRAVADO DE CONCRETO - MODELO ONDA/16 FACES/RETANGULAR/TIJOLINHO/PAVER/HOLANDES/PARALELEPIPEDO, *22 CM X *11 CM, E = 10 CM, RESISTENCIA DE 50 MPA (NBR 9781), COR NATURAL</v>
          </cell>
          <cell r="C606" t="str">
            <v xml:space="preserve">M2    </v>
          </cell>
          <cell r="D606">
            <v>55.92</v>
          </cell>
        </row>
        <row r="607">
          <cell r="A607">
            <v>36170</v>
          </cell>
          <cell r="B607" t="str">
            <v>BLOQUETE/PISO INTERTRAVADO DE CONCRETO - MODELO ONDA/16 FACES/RETANGULAR/TIJOLINHO/PAVER/HOLANDES/PARALELEPIPEDO, *22 CM X 11* CM, E = 8 CM, RESISTENCIA DE 35 MPA (NBR 9781), COR NATURAL</v>
          </cell>
          <cell r="C607" t="str">
            <v xml:space="preserve">M2    </v>
          </cell>
          <cell r="D607">
            <v>46.4</v>
          </cell>
        </row>
        <row r="608">
          <cell r="A608">
            <v>40524</v>
          </cell>
          <cell r="B608" t="str">
            <v>BLOQUETE/PISO INTERTRAVADO DE CONCRETO - MODELO ONDA/16 FACES/RETANGULAR/TIJOLINHO/PAVER/HOLANDES/PARALELEPIPEDO, 20 CM X 10 CM, E = 10 CM, RESISTENCIA DE 35 MPA (NBR 9781), COR NATURAL</v>
          </cell>
          <cell r="C608" t="str">
            <v xml:space="preserve">M2    </v>
          </cell>
          <cell r="D608">
            <v>54.7</v>
          </cell>
        </row>
        <row r="609">
          <cell r="A609">
            <v>36156</v>
          </cell>
          <cell r="B609" t="str">
            <v>BLOQUETE/PISO INTERTRAVADO DE CONCRETO - MODELO ONDA/16 FACES/RETANGULAR/TIJOLINHO/PAVER/HOLANDES/PARALELEPIPEDO, 20 CM X 10 CM, E = 6 CM, RESISTENCIA DE 35 MPA (NBR 9781), COLORIDO</v>
          </cell>
          <cell r="C609" t="str">
            <v xml:space="preserve">M2    </v>
          </cell>
          <cell r="D609">
            <v>42.55</v>
          </cell>
        </row>
        <row r="610">
          <cell r="A610">
            <v>36155</v>
          </cell>
          <cell r="B610" t="str">
            <v>BLOQUETE/PISO INTERTRAVADO DE CONCRETO - MODELO ONDA/16 FACES/RETANGULAR/TIJOLINHO/PAVER/HOLANDES/PARALELEPIPEDO, 20 CM X 10 CM, E = 6 CM, RESISTENCIA DE 35 MPA (NBR 9781), COR NATURAL</v>
          </cell>
          <cell r="C610" t="str">
            <v xml:space="preserve">M2    </v>
          </cell>
          <cell r="D610">
            <v>36.729999999999997</v>
          </cell>
        </row>
        <row r="611">
          <cell r="A611">
            <v>36154</v>
          </cell>
          <cell r="B611" t="str">
            <v>BLOQUETE/PISO INTERTRAVADO DE CONCRETO - MODELO ONDA/16 FACES/RETANGULAR/TIJOLINHO/PAVER/HOLANDES/PARALELEPIPEDO, 20 CM X 10 CM, E = 8 CM, RESISTENCIA DE 35 MPA (NBR 9781), COLORIDO</v>
          </cell>
          <cell r="C611" t="str">
            <v xml:space="preserve">M2    </v>
          </cell>
          <cell r="D611">
            <v>51.06</v>
          </cell>
        </row>
        <row r="612">
          <cell r="A612">
            <v>695</v>
          </cell>
          <cell r="B612" t="str">
            <v>BLOQUETE/PISO INTERTRAVADO DE CONCRETO - MODELO RAQUETE, *22 CM X 13,5* CM, E = 6 CM, RESISTENCIA DE 35 MPA (NBR 9781), COR NATURAL</v>
          </cell>
          <cell r="C612" t="str">
            <v xml:space="preserve">M2    </v>
          </cell>
          <cell r="D612">
            <v>37.5</v>
          </cell>
        </row>
        <row r="613">
          <cell r="A613">
            <v>679</v>
          </cell>
          <cell r="B613" t="str">
            <v>BLOQUETE/PISO INTERTRAVADO DE CONCRETO - MODELO SEXTAVADO / HEXAGONAL, 25 CM X 25 CM, E = 10 CM, RESISTENCIA DE 35 MPA (NBR 9781), COR NATURAL</v>
          </cell>
          <cell r="C613" t="str">
            <v xml:space="preserve">M2    </v>
          </cell>
          <cell r="D613">
            <v>55.92</v>
          </cell>
        </row>
        <row r="614">
          <cell r="A614">
            <v>711</v>
          </cell>
          <cell r="B614" t="str">
            <v>BLOQUETE/PISO INTERTRAVADO DE CONCRETO - MODELO SEXTAVADO / HEXAGONAL, 25 CM X 25 CM, E = 6 CM, RESISTENCIA DE 35 MPA (NBR 9781), COR NATURAL</v>
          </cell>
          <cell r="C614" t="str">
            <v xml:space="preserve">M2    </v>
          </cell>
          <cell r="D614">
            <v>36.99</v>
          </cell>
        </row>
        <row r="615">
          <cell r="A615">
            <v>712</v>
          </cell>
          <cell r="B615" t="str">
            <v>BLOQUETE/PISO INTERTRAVADO DE CONCRETO - MODELO SEXTAVADO / HEXAGONAL, 25 CM X 25 CM, E = 8 CM, RESISTENCIA DE 35 MPA (NBR 9781), COR NATURAL</v>
          </cell>
          <cell r="C615" t="str">
            <v xml:space="preserve">M2    </v>
          </cell>
          <cell r="D615">
            <v>46.6</v>
          </cell>
        </row>
        <row r="616">
          <cell r="A616">
            <v>12614</v>
          </cell>
          <cell r="B616" t="str">
            <v>BOCAL PVC, PARA CALHA PLUVIAL, DIAMETRO DA SAIDA ENTRE 80 E 100 MM, PARA DRENAGEM PREDIAL</v>
          </cell>
          <cell r="C616" t="str">
            <v xml:space="preserve">UN    </v>
          </cell>
          <cell r="D616">
            <v>15.42</v>
          </cell>
        </row>
        <row r="617">
          <cell r="A617">
            <v>6140</v>
          </cell>
          <cell r="B617" t="str">
            <v>BOLSA DE LIGACAO EM PVC FLEXIVEL PARA VASO SANITARIO 1.1/2 " (40 MM)</v>
          </cell>
          <cell r="C617" t="str">
            <v xml:space="preserve">UN    </v>
          </cell>
          <cell r="D617">
            <v>2.95</v>
          </cell>
        </row>
        <row r="618">
          <cell r="A618">
            <v>38399</v>
          </cell>
          <cell r="B618" t="str">
            <v>BOLSA DE LONA PARA FERRAMENTAS *50 X 35 X 25* CM</v>
          </cell>
          <cell r="C618" t="str">
            <v xml:space="preserve">UN    </v>
          </cell>
          <cell r="D618">
            <v>148.28</v>
          </cell>
        </row>
        <row r="619">
          <cell r="A619">
            <v>735</v>
          </cell>
          <cell r="B619" t="str">
            <v>BOMBA CENTRIFUGA  MOTOR ELETRICO TRIFASICO 1,48HP  DIAMETRO DE SUCCAO X ELEVACAO 1" X 1", 4 ESTAGIOS, DIAMETRO DOS ROTORES 3 X 107 MM + 1 X 100 MM, HM/Q: 10 M / 5,3 M3/H A 70 M / 1,8 M3/H</v>
          </cell>
          <cell r="C619" t="str">
            <v xml:space="preserve">UN    </v>
          </cell>
          <cell r="D619">
            <v>1736.56</v>
          </cell>
        </row>
        <row r="620">
          <cell r="A620">
            <v>736</v>
          </cell>
          <cell r="B620" t="str">
            <v>BOMBA CENTRIFUGA  MOTOR ELETRICO TRIFASICO 2,96HP, DIAMETRO DE SUCCAO X ELEVACAO 1 1/2" X 1 1/4", DIAMETRO DO ROTOR 148 MM, HM/Q: 34 M / 14,80 M3/H A 40 M / 8,60 M3/H</v>
          </cell>
          <cell r="C620" t="str">
            <v xml:space="preserve">UN    </v>
          </cell>
          <cell r="D620">
            <v>1460.13</v>
          </cell>
        </row>
        <row r="621">
          <cell r="A621">
            <v>729</v>
          </cell>
          <cell r="B621" t="str">
            <v>BOMBA CENTRIFUGA COM MOTOR ELETRICO MONOFASICO, POTENCIA 0,33 HP,  BOCAIS 1" X 3/4", DIAMETRO DO ROTOR 99 MM, HM/Q = 4 MCA / 8,5 M3/H A 18 MCA / 0,90 M3/H</v>
          </cell>
          <cell r="C621" t="str">
            <v xml:space="preserve">UN    </v>
          </cell>
          <cell r="D621">
            <v>595.02</v>
          </cell>
        </row>
        <row r="622">
          <cell r="A622">
            <v>39925</v>
          </cell>
          <cell r="B622" t="str">
            <v>BOMBA CENTRIFUGA MONOESTAGIO COM MOTOR ELETRICO MONOFASICO, POTENCIA 15 HP,  DIAMETRO DO ROTOR *173* MM, HM/Q = *30* MCA / *90* M3/H A *45* MCA / *55* M3/H</v>
          </cell>
          <cell r="C622" t="str">
            <v xml:space="preserve">UN    </v>
          </cell>
          <cell r="D622">
            <v>8597.98</v>
          </cell>
        </row>
        <row r="623">
          <cell r="A623">
            <v>731</v>
          </cell>
          <cell r="B623" t="str">
            <v>BOMBA CENTRIFUGA MOTOR ELETRICO MONOFASICO 0,49 HP  BOCAIS 1" X 3/4", DIAMETRO DO ROTOR 110 MM, HM/Q: 6 M / 8,3 M3/H A 20 M / 1,2 M3/H</v>
          </cell>
          <cell r="C623" t="str">
            <v xml:space="preserve">UN    </v>
          </cell>
          <cell r="D623">
            <v>579.1</v>
          </cell>
        </row>
        <row r="624">
          <cell r="A624">
            <v>10575</v>
          </cell>
          <cell r="B624" t="str">
            <v>BOMBA CENTRIFUGA MOTOR ELETRICO MONOFASICO 0,50 CV DIAMETRO DE SUCCAO X ELEVACAO 3/4" X 3/4", MONOESTAGIO, DIAMETRO DOS ROTORES 114 MM, HM/Q: 2 M / 2,99 M3/H A 24 M / 0,71 M3/H</v>
          </cell>
          <cell r="C624" t="str">
            <v xml:space="preserve">UN    </v>
          </cell>
          <cell r="D624">
            <v>903.73</v>
          </cell>
        </row>
        <row r="625">
          <cell r="A625">
            <v>733</v>
          </cell>
          <cell r="B625" t="str">
            <v>BOMBA CENTRIFUGA MOTOR ELETRICO MONOFASICO 0,74HP  DIAMETRO DE SUCCAO X ELEVACAO 1 1/4" X 1", DIAMETRO DO ROTOR 120 MM, HM/Q: 8 M / 7,70 M3/H A 24 M / 2,80 M3/H</v>
          </cell>
          <cell r="C625" t="str">
            <v xml:space="preserve">UN    </v>
          </cell>
          <cell r="D625">
            <v>989.47</v>
          </cell>
        </row>
        <row r="626">
          <cell r="A626">
            <v>732</v>
          </cell>
          <cell r="B626" t="str">
            <v>BOMBA CENTRIFUGA MOTOR ELETRICO TRIFASICO 0,99HP  DIAMETRO DE SUCCAO X ELEVACAO 1" X 1", DIAMETRO DO ROTOR 145 MM, HM/Q: 14 M / 8,4 M3/H A 40 M / 0,60 M3/H</v>
          </cell>
          <cell r="C626" t="str">
            <v xml:space="preserve">UN    </v>
          </cell>
          <cell r="D626">
            <v>976.17</v>
          </cell>
        </row>
        <row r="627">
          <cell r="A627">
            <v>737</v>
          </cell>
          <cell r="B627" t="str">
            <v>BOMBA CENTRIFUGA MOTOR ELETRICO TRIFASICO 14,8 HP, DIAMETRO DE SUCCAO X ELEVACAO 2 1/2" X 2", DIAMETRO DO ROTOR 195 MM, HM/Q: 62 M / 55,5 M3/H A 80 M / 31,50 M3/H</v>
          </cell>
          <cell r="C627" t="str">
            <v xml:space="preserve">UN    </v>
          </cell>
          <cell r="D627">
            <v>5474.08</v>
          </cell>
        </row>
        <row r="628">
          <cell r="A628">
            <v>738</v>
          </cell>
          <cell r="B628" t="str">
            <v>BOMBA CENTRIFUGA MOTOR ELETRICO TRIFASICO 5HP, DIAMETRO DE SUCCAO X ELEVACAO 2" X 1 1/2", DIAMETRO DO ROTOR 155 MM, HM/Q: 40 M / 20,40 M3/H A 46 M / 9,20 M3/H</v>
          </cell>
          <cell r="C628" t="str">
            <v xml:space="preserve">UN    </v>
          </cell>
          <cell r="D628">
            <v>2538.29</v>
          </cell>
        </row>
        <row r="629">
          <cell r="A629">
            <v>740</v>
          </cell>
          <cell r="B629" t="str">
            <v>BOMBA CENTRIFUGA MOTOR ELETRICO TRIFASICO 9,86 DIAMETRO DE SUCCAO X ELEVACAO 1" X 1", 4 ESTAGIOS, DIAMETRO DOS ROTORES 4 X 146 MM, HM/Q: 85 M / 14,9 M3/H A 140 M / 4,2 M3/H</v>
          </cell>
          <cell r="C629" t="str">
            <v xml:space="preserve">UN    </v>
          </cell>
          <cell r="D629">
            <v>5149.67</v>
          </cell>
        </row>
        <row r="630">
          <cell r="A630">
            <v>734</v>
          </cell>
          <cell r="B630" t="str">
            <v>BOMBA CENTRIFUGA,  MOTOR ELETRICO TRIFASICO 1,48HP  DIAMETRO DE SUCCAO X ELEVACAO 1 1/2" X 1", DIAMETRO DO ROTOR 117 MM, HM/Q: 10 M / 21,9 M3/H A 24 M / 6,1 M3/H</v>
          </cell>
          <cell r="C630" t="str">
            <v xml:space="preserve">UN    </v>
          </cell>
          <cell r="D630">
            <v>1046.45</v>
          </cell>
        </row>
        <row r="631">
          <cell r="A631">
            <v>39008</v>
          </cell>
          <cell r="B631" t="str">
            <v>BOMBA DE PROJECAO DE CONCRETO SECO, POTENCIA 10 CV, VAZAO 3 M3/H</v>
          </cell>
          <cell r="C631" t="str">
            <v xml:space="preserve">UN    </v>
          </cell>
          <cell r="D631">
            <v>44147.19</v>
          </cell>
        </row>
        <row r="632">
          <cell r="A632">
            <v>39009</v>
          </cell>
          <cell r="B632" t="str">
            <v>BOMBA DE PROJECAO DE CONCRETO SECO, POTENCIA 10 CV, VAZAO 6 M3/H</v>
          </cell>
          <cell r="C632" t="str">
            <v xml:space="preserve">UN    </v>
          </cell>
          <cell r="D632">
            <v>47298.239999999998</v>
          </cell>
        </row>
        <row r="633">
          <cell r="A633">
            <v>10587</v>
          </cell>
          <cell r="B633" t="str">
            <v>BOMBA SUBMERSA PARA POCOS TUBULARES PROFUNDOS DIAMETRO DE 4 POLEGADAS, ELETRICA, MONOFASICA, POTENCIA 0,49 HP, 13 ESTAGIOS, BOCAL DE DESCARGA DIAMETRO DE UMA POLEGADA E MEIA, HM/Q = 18 M / 1,90 M3/H A 85 M / 0,60 M3/H</v>
          </cell>
          <cell r="C633" t="str">
            <v xml:space="preserve">UN    </v>
          </cell>
          <cell r="D633">
            <v>2869.4</v>
          </cell>
        </row>
        <row r="634">
          <cell r="A634">
            <v>759</v>
          </cell>
          <cell r="B634" t="str">
            <v>BOMBA SUBMERSA PARA POCOS TUBULARES PROFUNDOS DIAMETRO DE 4 POLEGADAS, ELETRICA, TRIFASICA, POTENCIA 1,97 HP, 20 ESTAGIOS, BOCAL DE DESCARGA DIAMETRO DE UMA POLEGADA E MEIA, HM/Q = 18 M / 5,40 M3/H A 164 M / 0,80 M3/H</v>
          </cell>
          <cell r="C634" t="str">
            <v xml:space="preserve">UN    </v>
          </cell>
          <cell r="D634">
            <v>4125.63</v>
          </cell>
        </row>
        <row r="635">
          <cell r="A635">
            <v>761</v>
          </cell>
          <cell r="B635" t="str">
            <v>BOMBA SUBMERSA PARA POCOS TUBULARES PROFUNDOS DIAMETRO DE 4 POLEGADAS, ELETRICA, TRIFASICA, POTENCIA 5,42 HP, 15 ESTAGIOS, BOCAL DE DESCARGA DIAMETRO DE 2 POLEGADAS, HM/Q = 18 M / 18,10 M3/H A 121 M / 2,90 M3/H</v>
          </cell>
          <cell r="C635" t="str">
            <v xml:space="preserve">UN    </v>
          </cell>
          <cell r="D635">
            <v>6993.29</v>
          </cell>
        </row>
        <row r="636">
          <cell r="A636">
            <v>750</v>
          </cell>
          <cell r="B636" t="str">
            <v>BOMBA SUBMERSA PARA POCOS TUBULARES PROFUNDOS DIAMETRO DE 4 POLEGADAS, ELETRICA, TRIFASICA, POTENCIA 5,42 HP, 29 ESTAGIOS, BOCAL DE DESCARGA DE UMA POLEGADA E MEIA, HM/Q = 18 M / 8,10 M3/H A 201 M / 3,2 M3/H</v>
          </cell>
          <cell r="C636" t="str">
            <v xml:space="preserve">UN    </v>
          </cell>
          <cell r="D636">
            <v>6639.58</v>
          </cell>
        </row>
        <row r="637">
          <cell r="A637">
            <v>755</v>
          </cell>
          <cell r="B637" t="str">
            <v>BOMBA SUBMERSA PARA POCOS TUBULARES PROFUNDOS DIAMETRO DE 6 POLEGADAS, ELETRICA, TRIFASICA, POTENCIA 27,12 HP, 7 ESTAGIOS, BOCAL DE DESCARGA DIAMETRO DE 4 POLEGADAS, HM/Q = 13,9 M / 90 M3/H A 44,0 M / 25,0 M3/H</v>
          </cell>
          <cell r="C637" t="str">
            <v xml:space="preserve">UN    </v>
          </cell>
          <cell r="D637">
            <v>27245.599999999999</v>
          </cell>
        </row>
        <row r="638">
          <cell r="A638">
            <v>749</v>
          </cell>
          <cell r="B638" t="str">
            <v>BOMBA SUBMERSA PARA POCOS TUBULARES PROFUNDOS DIAMETRO DE 6 POLEGADAS, ELETRICA, TRIFASICA, POTENCIA 3,45 HP, 5 ESTAGIOS, BOCAL DE DESCARGA DIAMETRO DE 2 POLEGADAS, HM/Q = 68,5 M / 6,12 M3/H A 39,5 M / 14,04 M3/H</v>
          </cell>
          <cell r="C638" t="str">
            <v xml:space="preserve">UN    </v>
          </cell>
          <cell r="D638">
            <v>10020.43</v>
          </cell>
        </row>
        <row r="639">
          <cell r="A639">
            <v>756</v>
          </cell>
          <cell r="B639" t="str">
            <v>BOMBA SUBMERSA PARA POCOS TUBULARES PROFUNDOS DIAMETRO DE 6 POLEGADAS, ELETRICA, TRIFASICA, POTENCIA 32 HP, 9 ESTAGIOS, BOCAL DE DESCARGA DIAMETRO DE 4 POLEGADAS, HM/Q = 114,0 M / 13,9 M3/H A 57,0 M / 25,0 M3/H</v>
          </cell>
          <cell r="C639" t="str">
            <v xml:space="preserve">UN    </v>
          </cell>
          <cell r="D639">
            <v>29714.98</v>
          </cell>
        </row>
        <row r="640">
          <cell r="A640">
            <v>757</v>
          </cell>
          <cell r="B640" t="str">
            <v>BOMBA SUBMERSIVEL,  ELETRICA, TRIFASICA, POTENCIA 6 HP, DIAMETRO DO ROTOR 127 MM, BOCAL DE SAIDA DIAMETRO DE 3 POLEGADAS, HM/Q = 7 M / 66,90 M3/H A 26 M / 2,88 M3/H</v>
          </cell>
          <cell r="C640" t="str">
            <v xml:space="preserve">UN    </v>
          </cell>
          <cell r="D640">
            <v>13492.5</v>
          </cell>
        </row>
        <row r="641">
          <cell r="A641">
            <v>10588</v>
          </cell>
          <cell r="B641" t="str">
            <v>BOMBA SUBMERSIVEL, ELETRICA, TRIFASICA, POTENCIA 0,98 HP, DIAMETRO DO ROTOR 142 MM SEMIABERTO, BOCAL DE SAIDA DIAMETRO DE 2 POLEGADAS, HM/Q = 2 M / 32 M3/H A 8 M / 16 M3/H</v>
          </cell>
          <cell r="C641" t="str">
            <v xml:space="preserve">UN    </v>
          </cell>
          <cell r="D641">
            <v>2978.8</v>
          </cell>
        </row>
        <row r="642">
          <cell r="A642">
            <v>10592</v>
          </cell>
          <cell r="B642" t="str">
            <v>BOMBA SUBMERSIVEL, ELETRICA, TRIFASICA, POTENCIA 0,99 HP, DIAMETRO ROTOR 98 MM SEMIABERTO, BOCAL DE SAIDA DIAMETRO 2 POLEGADAS, HM/Q = 2 M / 28,90 M3/H A 14 M / 7 M3/H</v>
          </cell>
          <cell r="C642" t="str">
            <v xml:space="preserve">UN    </v>
          </cell>
          <cell r="D642">
            <v>3598</v>
          </cell>
        </row>
        <row r="643">
          <cell r="A643">
            <v>10589</v>
          </cell>
          <cell r="B643" t="str">
            <v>BOMBA SUBMERSIVEL, ELETRICA, TRIFASICA, POTENCIA 1,97 HP, DIAMETRO DO ROTOR 144 MM SEMIABERTO, BOCAL DE SAIDA DIAMETRO DE 2 POLEGADAS, HM/Q = 2 M / 26,8 M3/H A 28 M / 4,6 M3/H</v>
          </cell>
          <cell r="C643" t="str">
            <v xml:space="preserve">UN    </v>
          </cell>
          <cell r="D643">
            <v>4833.68</v>
          </cell>
        </row>
        <row r="644">
          <cell r="A644">
            <v>760</v>
          </cell>
          <cell r="B644" t="str">
            <v>BOMBA SUBMERSIVEL, ELETRICA, TRIFASICA, POTENCIA 13 HP, DIAMETRO DO ROTOR 170 MM, BOCAL DE SAIDA DIAMETRO DE 3 POLEGADAS, HM/Q = 11 M / 68,40 M3/H A 72 M / 3,6 M3/H</v>
          </cell>
          <cell r="C644" t="str">
            <v xml:space="preserve">UN    </v>
          </cell>
          <cell r="D644">
            <v>26985</v>
          </cell>
        </row>
        <row r="645">
          <cell r="A645">
            <v>751</v>
          </cell>
          <cell r="B645" t="str">
            <v>BOMBA SUBMERSIVEL, ELETRICA, TRIFASICA, POTENCIA 2,96 HP, DIAMETRO DO ROTOR 144 MM SEMIABERTO, BOCAL DE SAIDA DIAMETRO DE DUAS POLEGADAS, HM/Q = 2 M / 38,8 M3/H A 28 M / 5 M3/H</v>
          </cell>
          <cell r="C645" t="str">
            <v xml:space="preserve">UN    </v>
          </cell>
          <cell r="D645">
            <v>4250.13</v>
          </cell>
        </row>
        <row r="646">
          <cell r="A646">
            <v>754</v>
          </cell>
          <cell r="B646" t="str">
            <v>BOMBA SUBMERSIVEL, ELETRICA, TRIFASICA, POTENCIA 3,75 HP, DIAMETRO DO ROTOR 90 MM SEMIABERTO, BOCAL DE SAIDA DIAMETRO DE 2 POLEGADAS, HM/Q = 5 M / 61,2 M3/H A 25,5 M / 3,6 M3/H</v>
          </cell>
          <cell r="C646" t="str">
            <v xml:space="preserve">UN    </v>
          </cell>
          <cell r="D646">
            <v>6746.25</v>
          </cell>
        </row>
        <row r="647">
          <cell r="A647">
            <v>14013</v>
          </cell>
          <cell r="B647" t="str">
            <v>BOMBA TRIPLEX COM MOTOR A DIESEL, NACIONAL, DIAMETRO DE SUCCAO DE 2 1/2''</v>
          </cell>
          <cell r="C647" t="str">
            <v xml:space="preserve">UN    </v>
          </cell>
          <cell r="D647">
            <v>147921.70000000001</v>
          </cell>
        </row>
        <row r="648">
          <cell r="A648">
            <v>39917</v>
          </cell>
          <cell r="B648" t="str">
            <v>BOMBA TRIPLEX, PARA INJECAO DE CALDA DE CIMENTO, VAZAO MAXIMA DE *100* LITROS/MINUTO, PRESSAO MAXIMA DE *70* BAR, POTENCIA DE 15 CV</v>
          </cell>
          <cell r="C648" t="str">
            <v xml:space="preserve">UN    </v>
          </cell>
          <cell r="D648">
            <v>67813.27</v>
          </cell>
        </row>
        <row r="649">
          <cell r="A649">
            <v>5081</v>
          </cell>
          <cell r="B649" t="str">
            <v>BORBOLETA EM LATAO FUNDIDO CROMADO, PARA TRAVAR JANELA TIPO GUILHOTINA</v>
          </cell>
          <cell r="C649" t="str">
            <v xml:space="preserve">PAR   </v>
          </cell>
          <cell r="D649">
            <v>20.84</v>
          </cell>
        </row>
        <row r="650">
          <cell r="A650">
            <v>38167</v>
          </cell>
          <cell r="B650" t="str">
            <v>BORBOLETA EM ZAMAC CROMADO, PARA TRAVAR JANELA TIPO GUILHOTINA</v>
          </cell>
          <cell r="C650" t="str">
            <v xml:space="preserve">PAR   </v>
          </cell>
          <cell r="D650">
            <v>17.96</v>
          </cell>
        </row>
        <row r="651">
          <cell r="A651">
            <v>36145</v>
          </cell>
          <cell r="B651" t="str">
            <v>BOTA DE PVC PRETA, CANO MEDIO, SEM FORRO</v>
          </cell>
          <cell r="C651" t="str">
            <v xml:space="preserve">PAR   </v>
          </cell>
          <cell r="D651">
            <v>34.700000000000003</v>
          </cell>
        </row>
        <row r="652">
          <cell r="A652">
            <v>12893</v>
          </cell>
          <cell r="B652" t="str">
            <v>BOTA DE SEGURANCA COM BIQUEIRA DE ACO E COLARINHO ACOLCHOADO</v>
          </cell>
          <cell r="C652" t="str">
            <v xml:space="preserve">PAR   </v>
          </cell>
          <cell r="D652">
            <v>57.84</v>
          </cell>
        </row>
        <row r="653">
          <cell r="A653">
            <v>11685</v>
          </cell>
          <cell r="B653" t="str">
            <v>BRACO / CANO PARA CHUVEIRO ELETRICO, EM ALUMINIO, 30 CM X 1/2 "</v>
          </cell>
          <cell r="C653" t="str">
            <v xml:space="preserve">UN    </v>
          </cell>
          <cell r="D653">
            <v>24.15</v>
          </cell>
        </row>
        <row r="654">
          <cell r="A654">
            <v>11679</v>
          </cell>
          <cell r="B654" t="str">
            <v>BRACO OU HASTE COM CANOPLA PLASTICA, 1/2 ", PARA CHUVEIRO ELETRICO</v>
          </cell>
          <cell r="C654" t="str">
            <v xml:space="preserve">UN    </v>
          </cell>
          <cell r="D654">
            <v>6.55</v>
          </cell>
        </row>
        <row r="655">
          <cell r="A655">
            <v>11680</v>
          </cell>
          <cell r="B655" t="str">
            <v>BRACO OU HASTE COM CANOPLA PLASTICA, 1/2 ", PARA CHUVEIRO SIMPLES</v>
          </cell>
          <cell r="C655" t="str">
            <v xml:space="preserve">UN    </v>
          </cell>
          <cell r="D655">
            <v>5.39</v>
          </cell>
        </row>
        <row r="656">
          <cell r="A656">
            <v>2512</v>
          </cell>
          <cell r="B656" t="str">
            <v>BRACO P/ LUMINARIA PUBLICA 1 X 1,50M ROMAGNOLE OU EQUIV</v>
          </cell>
          <cell r="C656" t="str">
            <v xml:space="preserve">UN    </v>
          </cell>
          <cell r="D656">
            <v>20.43</v>
          </cell>
        </row>
        <row r="657">
          <cell r="A657">
            <v>4374</v>
          </cell>
          <cell r="B657" t="str">
            <v>BUCHA DE NYLON SEM ABA S10</v>
          </cell>
          <cell r="C657" t="str">
            <v xml:space="preserve">UN    </v>
          </cell>
          <cell r="D657">
            <v>0.33</v>
          </cell>
        </row>
        <row r="658">
          <cell r="A658">
            <v>7568</v>
          </cell>
          <cell r="B658" t="str">
            <v>BUCHA DE NYLON SEM ABA S10, COM PARAFUSO DE 6,10 X 65 MM EM ACO ZINCADO COM ROSCA SOBERBA, CABECA CHATA E FENDA PHILLIPS</v>
          </cell>
          <cell r="C658" t="str">
            <v xml:space="preserve">UN    </v>
          </cell>
          <cell r="D658">
            <v>0.55000000000000004</v>
          </cell>
        </row>
        <row r="659">
          <cell r="A659">
            <v>7584</v>
          </cell>
          <cell r="B659" t="str">
            <v>BUCHA DE NYLON SEM ABA S12, COM PARAFUSO DE 5/16" X 80 MM EM ACO ZINCADO COM ROSCA SOBERBA E CABECA SEXTAVADA</v>
          </cell>
          <cell r="C659" t="str">
            <v xml:space="preserve">UN    </v>
          </cell>
          <cell r="D659">
            <v>0.84</v>
          </cell>
        </row>
        <row r="660">
          <cell r="A660">
            <v>11945</v>
          </cell>
          <cell r="B660" t="str">
            <v>BUCHA DE NYLON SEM ABA S4</v>
          </cell>
          <cell r="C660" t="str">
            <v xml:space="preserve">UN    </v>
          </cell>
          <cell r="D660">
            <v>0.05</v>
          </cell>
        </row>
        <row r="661">
          <cell r="A661">
            <v>11946</v>
          </cell>
          <cell r="B661" t="str">
            <v>BUCHA DE NYLON SEM ABA S5</v>
          </cell>
          <cell r="C661" t="str">
            <v xml:space="preserve">UN    </v>
          </cell>
          <cell r="D661">
            <v>0.06</v>
          </cell>
        </row>
        <row r="662">
          <cell r="A662">
            <v>4375</v>
          </cell>
          <cell r="B662" t="str">
            <v>BUCHA DE NYLON SEM ABA S6</v>
          </cell>
          <cell r="C662" t="str">
            <v xml:space="preserve">UN    </v>
          </cell>
          <cell r="D662">
            <v>0.09</v>
          </cell>
        </row>
        <row r="663">
          <cell r="A663">
            <v>11950</v>
          </cell>
          <cell r="B663" t="str">
            <v>BUCHA DE NYLON SEM ABA S6, COM PARAFUSO DE 4,20 X 40 MM EM ACO ZINCADO COM ROSCA SOBERBA, CABECA CHATA E FENDA PHILLIPS</v>
          </cell>
          <cell r="C663" t="str">
            <v xml:space="preserve">UN    </v>
          </cell>
          <cell r="D663">
            <v>0.18</v>
          </cell>
        </row>
        <row r="664">
          <cell r="A664">
            <v>4376</v>
          </cell>
          <cell r="B664" t="str">
            <v>BUCHA DE NYLON SEM ABA S8</v>
          </cell>
          <cell r="C664" t="str">
            <v xml:space="preserve">UN    </v>
          </cell>
          <cell r="D664">
            <v>0.17</v>
          </cell>
        </row>
        <row r="665">
          <cell r="A665">
            <v>7583</v>
          </cell>
          <cell r="B665" t="str">
            <v>BUCHA DE NYLON SEM ABA S8, COM PARAFUSO DE 4,80 X 50 MM EM ACO ZINCADO COM ROSCA SOBERBA, CABECA CHATA E FENDA PHILLIPS</v>
          </cell>
          <cell r="C665" t="str">
            <v xml:space="preserve">UN    </v>
          </cell>
          <cell r="D665">
            <v>0.37</v>
          </cell>
        </row>
        <row r="666">
          <cell r="A666">
            <v>4350</v>
          </cell>
          <cell r="B666" t="str">
            <v>BUCHA DE NYLON, DIAMETRO DO FURO 8 MM, COMPRIMENTO 40 MM, COM PARAFUSO DE ROSCA SOBERBA, CABECA CHATA, FENDA SIMPLES, 4,8 X 50 MM</v>
          </cell>
          <cell r="C666" t="str">
            <v xml:space="preserve">UN    </v>
          </cell>
          <cell r="D666">
            <v>0.44</v>
          </cell>
        </row>
        <row r="667">
          <cell r="A667">
            <v>39886</v>
          </cell>
          <cell r="B667" t="str">
            <v>BUCHA DE REDUCAO DE COBRE (REF 600-2) SEM ANEL DE SOLDA, PONTA X BOLSA, 22 X 15 MM</v>
          </cell>
          <cell r="C667" t="str">
            <v xml:space="preserve">UN    </v>
          </cell>
          <cell r="D667">
            <v>3.98</v>
          </cell>
        </row>
        <row r="668">
          <cell r="A668">
            <v>39887</v>
          </cell>
          <cell r="B668" t="str">
            <v>BUCHA DE REDUCAO DE COBRE (REF 600-2) SEM ANEL DE SOLDA, PONTA X BOLSA, 28 X 22 MM</v>
          </cell>
          <cell r="C668" t="str">
            <v xml:space="preserve">UN    </v>
          </cell>
          <cell r="D668">
            <v>5.97</v>
          </cell>
        </row>
        <row r="669">
          <cell r="A669">
            <v>39888</v>
          </cell>
          <cell r="B669" t="str">
            <v>BUCHA DE REDUCAO DE COBRE (REF 600-2) SEM ANEL DE SOLDA, PONTA X BOLSA, 35 X 28 MM</v>
          </cell>
          <cell r="C669" t="str">
            <v xml:space="preserve">UN    </v>
          </cell>
          <cell r="D669">
            <v>13.65</v>
          </cell>
        </row>
        <row r="670">
          <cell r="A670">
            <v>39890</v>
          </cell>
          <cell r="B670" t="str">
            <v>BUCHA DE REDUCAO DE COBRE (REF 600-2) SEM ANEL DE SOLDA, PONTA X BOLSA, 42 X 35 MM</v>
          </cell>
          <cell r="C670" t="str">
            <v xml:space="preserve">UN    </v>
          </cell>
          <cell r="D670">
            <v>23.3</v>
          </cell>
        </row>
        <row r="671">
          <cell r="A671">
            <v>39891</v>
          </cell>
          <cell r="B671" t="str">
            <v>BUCHA DE REDUCAO DE COBRE (REF 600-2) SEM ANEL DE SOLDA, PONTA X BOLSA, 54 X 42 MM</v>
          </cell>
          <cell r="C671" t="str">
            <v xml:space="preserve">UN    </v>
          </cell>
          <cell r="D671">
            <v>32.86</v>
          </cell>
        </row>
        <row r="672">
          <cell r="A672">
            <v>39892</v>
          </cell>
          <cell r="B672" t="str">
            <v>BUCHA DE REDUCAO DE COBRE (REF 600-2) SEM ANEL DE SOLDA, PONTA X BOLSA, 66 X 54 MM</v>
          </cell>
          <cell r="C672" t="str">
            <v xml:space="preserve">UN    </v>
          </cell>
          <cell r="D672">
            <v>102.42</v>
          </cell>
        </row>
        <row r="673">
          <cell r="A673">
            <v>790</v>
          </cell>
          <cell r="B673" t="str">
            <v>BUCHA DE REDUCAO DE FERRO GALVANIZADO, COM ROSCA BSP, DE 1 1/2" X 1 1/4"</v>
          </cell>
          <cell r="C673" t="str">
            <v xml:space="preserve">UN    </v>
          </cell>
          <cell r="D673">
            <v>11.58</v>
          </cell>
        </row>
        <row r="674">
          <cell r="A674">
            <v>766</v>
          </cell>
          <cell r="B674" t="str">
            <v>BUCHA DE REDUCAO DE FERRO GALVANIZADO, COM ROSCA BSP, DE 1 1/2" X 1/2"</v>
          </cell>
          <cell r="C674" t="str">
            <v xml:space="preserve">UN    </v>
          </cell>
          <cell r="D674">
            <v>11.58</v>
          </cell>
        </row>
        <row r="675">
          <cell r="A675">
            <v>791</v>
          </cell>
          <cell r="B675" t="str">
            <v>BUCHA DE REDUCAO DE FERRO GALVANIZADO, COM ROSCA BSP, DE 1 1/2" X 1"</v>
          </cell>
          <cell r="C675" t="str">
            <v xml:space="preserve">UN    </v>
          </cell>
          <cell r="D675">
            <v>11.58</v>
          </cell>
        </row>
        <row r="676">
          <cell r="A676">
            <v>767</v>
          </cell>
          <cell r="B676" t="str">
            <v>BUCHA DE REDUCAO DE FERRO GALVANIZADO, COM ROSCA BSP, DE 1 1/2" X 3/4"</v>
          </cell>
          <cell r="C676" t="str">
            <v xml:space="preserve">UN    </v>
          </cell>
          <cell r="D676">
            <v>11.58</v>
          </cell>
        </row>
        <row r="677">
          <cell r="A677">
            <v>768</v>
          </cell>
          <cell r="B677" t="str">
            <v>BUCHA DE REDUCAO DE FERRO GALVANIZADO, COM ROSCA BSP, DE 1 1/4" X 1/2"</v>
          </cell>
          <cell r="C677" t="str">
            <v xml:space="preserve">UN    </v>
          </cell>
          <cell r="D677">
            <v>9.1</v>
          </cell>
        </row>
        <row r="678">
          <cell r="A678">
            <v>789</v>
          </cell>
          <cell r="B678" t="str">
            <v>BUCHA DE REDUCAO DE FERRO GALVANIZADO, COM ROSCA BSP, DE 1 1/4" X 1"</v>
          </cell>
          <cell r="C678" t="str">
            <v xml:space="preserve">UN    </v>
          </cell>
          <cell r="D678">
            <v>8.9</v>
          </cell>
        </row>
        <row r="679">
          <cell r="A679">
            <v>769</v>
          </cell>
          <cell r="B679" t="str">
            <v>BUCHA DE REDUCAO DE FERRO GALVANIZADO, COM ROSCA BSP, DE 1 1/4" X 3/4"</v>
          </cell>
          <cell r="C679" t="str">
            <v xml:space="preserve">UN    </v>
          </cell>
          <cell r="D679">
            <v>9.1</v>
          </cell>
        </row>
        <row r="680">
          <cell r="A680">
            <v>770</v>
          </cell>
          <cell r="B680" t="str">
            <v>BUCHA DE REDUCAO DE FERRO GALVANIZADO, COM ROSCA BSP, DE 1/2" X 1/4"</v>
          </cell>
          <cell r="C680" t="str">
            <v xml:space="preserve">UN    </v>
          </cell>
          <cell r="D680">
            <v>3.21</v>
          </cell>
        </row>
        <row r="681">
          <cell r="A681">
            <v>12394</v>
          </cell>
          <cell r="B681" t="str">
            <v>BUCHA DE REDUCAO DE FERRO GALVANIZADO, COM ROSCA BSP, DE 1/2" X 3/8"</v>
          </cell>
          <cell r="C681" t="str">
            <v xml:space="preserve">UN    </v>
          </cell>
          <cell r="D681">
            <v>3.21</v>
          </cell>
        </row>
        <row r="682">
          <cell r="A682">
            <v>764</v>
          </cell>
          <cell r="B682" t="str">
            <v>BUCHA DE REDUCAO DE FERRO GALVANIZADO, COM ROSCA BSP, DE 1" X 1/2"</v>
          </cell>
          <cell r="C682" t="str">
            <v xml:space="preserve">UN    </v>
          </cell>
          <cell r="D682">
            <v>5.6</v>
          </cell>
        </row>
        <row r="683">
          <cell r="A683">
            <v>765</v>
          </cell>
          <cell r="B683" t="str">
            <v>BUCHA DE REDUCAO DE FERRO GALVANIZADO, COM ROSCA BSP, DE 1" X 3/4"</v>
          </cell>
          <cell r="C683" t="str">
            <v xml:space="preserve">UN    </v>
          </cell>
          <cell r="D683">
            <v>5.6</v>
          </cell>
        </row>
        <row r="684">
          <cell r="A684">
            <v>787</v>
          </cell>
          <cell r="B684" t="str">
            <v>BUCHA DE REDUCAO DE FERRO GALVANIZADO, COM ROSCA BSP, DE 2 1/2" X 1 1/2"</v>
          </cell>
          <cell r="C684" t="str">
            <v xml:space="preserve">UN    </v>
          </cell>
          <cell r="D684">
            <v>25.01</v>
          </cell>
        </row>
        <row r="685">
          <cell r="A685">
            <v>774</v>
          </cell>
          <cell r="B685" t="str">
            <v>BUCHA DE REDUCAO DE FERRO GALVANIZADO, COM ROSCA BSP, DE 2 1/2" X 1 1/4"</v>
          </cell>
          <cell r="C685" t="str">
            <v xml:space="preserve">UN    </v>
          </cell>
          <cell r="D685">
            <v>25.01</v>
          </cell>
        </row>
        <row r="686">
          <cell r="A686">
            <v>773</v>
          </cell>
          <cell r="B686" t="str">
            <v>BUCHA DE REDUCAO DE FERRO GALVANIZADO, COM ROSCA BSP, DE 2 1/2" X 1"</v>
          </cell>
          <cell r="C686" t="str">
            <v xml:space="preserve">UN    </v>
          </cell>
          <cell r="D686">
            <v>25.01</v>
          </cell>
        </row>
        <row r="687">
          <cell r="A687">
            <v>775</v>
          </cell>
          <cell r="B687" t="str">
            <v>BUCHA DE REDUCAO DE FERRO GALVANIZADO, COM ROSCA BSP, DE 2 1/2" X 2"</v>
          </cell>
          <cell r="C687" t="str">
            <v xml:space="preserve">UN    </v>
          </cell>
          <cell r="D687">
            <v>25.01</v>
          </cell>
        </row>
        <row r="688">
          <cell r="A688">
            <v>788</v>
          </cell>
          <cell r="B688" t="str">
            <v>BUCHA DE REDUCAO DE FERRO GALVANIZADO, COM ROSCA BSP, DE 2" X 1 1/2"</v>
          </cell>
          <cell r="C688" t="str">
            <v xml:space="preserve">UN    </v>
          </cell>
          <cell r="D688">
            <v>15.54</v>
          </cell>
        </row>
        <row r="689">
          <cell r="A689">
            <v>772</v>
          </cell>
          <cell r="B689" t="str">
            <v>BUCHA DE REDUCAO DE FERRO GALVANIZADO, COM ROSCA BSP, DE 2" X 1 1/4"</v>
          </cell>
          <cell r="C689" t="str">
            <v xml:space="preserve">UN    </v>
          </cell>
          <cell r="D689">
            <v>15.54</v>
          </cell>
        </row>
        <row r="690">
          <cell r="A690">
            <v>771</v>
          </cell>
          <cell r="B690" t="str">
            <v>BUCHA DE REDUCAO DE FERRO GALVANIZADO, COM ROSCA BSP, DE 2" X 1"</v>
          </cell>
          <cell r="C690" t="str">
            <v xml:space="preserve">UN    </v>
          </cell>
          <cell r="D690">
            <v>15.54</v>
          </cell>
        </row>
        <row r="691">
          <cell r="A691">
            <v>779</v>
          </cell>
          <cell r="B691" t="str">
            <v>BUCHA DE REDUCAO DE FERRO GALVANIZADO, COM ROSCA BSP, DE 3/4" X 1/2"</v>
          </cell>
          <cell r="C691" t="str">
            <v xml:space="preserve">UN    </v>
          </cell>
          <cell r="D691">
            <v>3.86</v>
          </cell>
        </row>
        <row r="692">
          <cell r="A692">
            <v>776</v>
          </cell>
          <cell r="B692" t="str">
            <v>BUCHA DE REDUCAO DE FERRO GALVANIZADO, COM ROSCA BSP, DE 3" X 1 1/2"</v>
          </cell>
          <cell r="C692" t="str">
            <v xml:space="preserve">UN    </v>
          </cell>
          <cell r="D692">
            <v>36.869999999999997</v>
          </cell>
        </row>
        <row r="693">
          <cell r="A693">
            <v>777</v>
          </cell>
          <cell r="B693" t="str">
            <v>BUCHA DE REDUCAO DE FERRO GALVANIZADO, COM ROSCA BSP, DE 3" X 1 1/4"</v>
          </cell>
          <cell r="C693" t="str">
            <v xml:space="preserve">UN    </v>
          </cell>
          <cell r="D693">
            <v>35.85</v>
          </cell>
        </row>
        <row r="694">
          <cell r="A694">
            <v>780</v>
          </cell>
          <cell r="B694" t="str">
            <v>BUCHA DE REDUCAO DE FERRO GALVANIZADO, COM ROSCA BSP, DE 3" X 2 1/2"</v>
          </cell>
          <cell r="C694" t="str">
            <v xml:space="preserve">UN    </v>
          </cell>
          <cell r="D694">
            <v>36.020000000000003</v>
          </cell>
        </row>
        <row r="695">
          <cell r="A695">
            <v>778</v>
          </cell>
          <cell r="B695" t="str">
            <v>BUCHA DE REDUCAO DE FERRO GALVANIZADO, COM ROSCA BSP, DE 3" X 2"</v>
          </cell>
          <cell r="C695" t="str">
            <v xml:space="preserve">UN    </v>
          </cell>
          <cell r="D695">
            <v>36.869999999999997</v>
          </cell>
        </row>
        <row r="696">
          <cell r="A696">
            <v>781</v>
          </cell>
          <cell r="B696" t="str">
            <v>BUCHA DE REDUCAO DE FERRO GALVANIZADO, COM ROSCA BSP, DE 4" X 2 1/2"</v>
          </cell>
          <cell r="C696" t="str">
            <v xml:space="preserve">UN    </v>
          </cell>
          <cell r="D696">
            <v>68.13</v>
          </cell>
        </row>
        <row r="697">
          <cell r="A697">
            <v>786</v>
          </cell>
          <cell r="B697" t="str">
            <v>BUCHA DE REDUCAO DE FERRO GALVANIZADO, COM ROSCA BSP, DE 4" X 2"</v>
          </cell>
          <cell r="C697" t="str">
            <v xml:space="preserve">UN    </v>
          </cell>
          <cell r="D697">
            <v>68.13</v>
          </cell>
        </row>
        <row r="698">
          <cell r="A698">
            <v>782</v>
          </cell>
          <cell r="B698" t="str">
            <v>BUCHA DE REDUCAO DE FERRO GALVANIZADO, COM ROSCA BSP, DE 4" X 3"</v>
          </cell>
          <cell r="C698" t="str">
            <v xml:space="preserve">UN    </v>
          </cell>
          <cell r="D698">
            <v>68.13</v>
          </cell>
        </row>
        <row r="699">
          <cell r="A699">
            <v>783</v>
          </cell>
          <cell r="B699" t="str">
            <v>BUCHA DE REDUCAO DE FERRO GALVANIZADO, COM ROSCA BSP, DE 5" X 4"</v>
          </cell>
          <cell r="C699" t="str">
            <v xml:space="preserve">UN    </v>
          </cell>
          <cell r="D699">
            <v>186.47</v>
          </cell>
        </row>
        <row r="700">
          <cell r="A700">
            <v>785</v>
          </cell>
          <cell r="B700" t="str">
            <v>BUCHA DE REDUCAO DE FERRO GALVANIZADO, COM ROSCA BSP, DE 6" X 4"</v>
          </cell>
          <cell r="C700" t="str">
            <v xml:space="preserve">UN    </v>
          </cell>
          <cell r="D700">
            <v>197.02</v>
          </cell>
        </row>
        <row r="701">
          <cell r="A701">
            <v>784</v>
          </cell>
          <cell r="B701" t="str">
            <v>BUCHA DE REDUCAO DE FERRO GALVANIZADO, COM ROSCA BSP, DE 6" X 5"</v>
          </cell>
          <cell r="C701" t="str">
            <v xml:space="preserve">UN    </v>
          </cell>
          <cell r="D701">
            <v>211.36</v>
          </cell>
        </row>
        <row r="702">
          <cell r="A702">
            <v>831</v>
          </cell>
          <cell r="B702" t="str">
            <v>BUCHA DE REDUCAO DE PVC, SOLDAVEL, CURTA, COM 110 X 85 MM, PARA AGUA FRIA PREDIAL</v>
          </cell>
          <cell r="C702" t="str">
            <v xml:space="preserve">UN    </v>
          </cell>
          <cell r="D702">
            <v>56.66</v>
          </cell>
        </row>
        <row r="703">
          <cell r="A703">
            <v>828</v>
          </cell>
          <cell r="B703" t="str">
            <v>BUCHA DE REDUCAO DE PVC, SOLDAVEL, CURTA, COM 25 X 20 MM, PARA AGUA FRIA PREDIAL</v>
          </cell>
          <cell r="C703" t="str">
            <v xml:space="preserve">UN    </v>
          </cell>
          <cell r="D703">
            <v>0.32</v>
          </cell>
        </row>
        <row r="704">
          <cell r="A704">
            <v>829</v>
          </cell>
          <cell r="B704" t="str">
            <v>BUCHA DE REDUCAO DE PVC, SOLDAVEL, CURTA, COM 32 X 25 MM, PARA AGUA FRIA PREDIAL</v>
          </cell>
          <cell r="C704" t="str">
            <v xml:space="preserve">UN    </v>
          </cell>
          <cell r="D704">
            <v>0.68</v>
          </cell>
        </row>
        <row r="705">
          <cell r="A705">
            <v>812</v>
          </cell>
          <cell r="B705" t="str">
            <v>BUCHA DE REDUCAO DE PVC, SOLDAVEL, CURTA, COM 40 X 32 MM, PARA AGUA FRIA PREDIAL</v>
          </cell>
          <cell r="C705" t="str">
            <v xml:space="preserve">UN    </v>
          </cell>
          <cell r="D705">
            <v>1.49</v>
          </cell>
        </row>
        <row r="706">
          <cell r="A706">
            <v>819</v>
          </cell>
          <cell r="B706" t="str">
            <v>BUCHA DE REDUCAO DE PVC, SOLDAVEL, CURTA, COM 50 X 40 MM, PARA AGUA FRIA PREDIAL</v>
          </cell>
          <cell r="C706" t="str">
            <v xml:space="preserve">UN    </v>
          </cell>
          <cell r="D706">
            <v>2.44</v>
          </cell>
        </row>
        <row r="707">
          <cell r="A707">
            <v>818</v>
          </cell>
          <cell r="B707" t="str">
            <v>BUCHA DE REDUCAO DE PVC, SOLDAVEL, CURTA, COM 60 X 50 MM, PARA AGUA FRIA PREDIAL</v>
          </cell>
          <cell r="C707" t="str">
            <v xml:space="preserve">UN    </v>
          </cell>
          <cell r="D707">
            <v>4.1100000000000003</v>
          </cell>
        </row>
        <row r="708">
          <cell r="A708">
            <v>823</v>
          </cell>
          <cell r="B708" t="str">
            <v>BUCHA DE REDUCAO DE PVC, SOLDAVEL, CURTA, COM 75 X 60 MM, PARA AGUA FRIA PREDIAL</v>
          </cell>
          <cell r="C708" t="str">
            <v xml:space="preserve">UN    </v>
          </cell>
          <cell r="D708">
            <v>12.39</v>
          </cell>
        </row>
        <row r="709">
          <cell r="A709">
            <v>830</v>
          </cell>
          <cell r="B709" t="str">
            <v>BUCHA DE REDUCAO DE PVC, SOLDAVEL, CURTA, COM 85 X 75 MM, PARA AGUA FRIA PREDIAL</v>
          </cell>
          <cell r="C709" t="str">
            <v xml:space="preserve">UN    </v>
          </cell>
          <cell r="D709">
            <v>10.210000000000001</v>
          </cell>
        </row>
        <row r="710">
          <cell r="A710">
            <v>826</v>
          </cell>
          <cell r="B710" t="str">
            <v>BUCHA DE REDUCAO DE PVC, SOLDAVEL, LONGA, COM 110 X 60 MM, PARA AGUA FRIA PREDIAL</v>
          </cell>
          <cell r="C710" t="str">
            <v xml:space="preserve">UN    </v>
          </cell>
          <cell r="D710">
            <v>31.78</v>
          </cell>
        </row>
        <row r="711">
          <cell r="A711">
            <v>827</v>
          </cell>
          <cell r="B711" t="str">
            <v>BUCHA DE REDUCAO DE PVC, SOLDAVEL, LONGA, COM 110 X 75 MM, PARA AGUA FRIA PREDIAL</v>
          </cell>
          <cell r="C711" t="str">
            <v xml:space="preserve">UN    </v>
          </cell>
          <cell r="D711">
            <v>26.85</v>
          </cell>
        </row>
        <row r="712">
          <cell r="A712">
            <v>832</v>
          </cell>
          <cell r="B712" t="str">
            <v>BUCHA DE REDUCAO DE PVC, SOLDAVEL, LONGA, COM 32 X 20 MM, PARA AGUA FRIA PREDIAL</v>
          </cell>
          <cell r="C712" t="str">
            <v xml:space="preserve">UN    </v>
          </cell>
          <cell r="D712">
            <v>1.85</v>
          </cell>
        </row>
        <row r="713">
          <cell r="A713">
            <v>833</v>
          </cell>
          <cell r="B713" t="str">
            <v>BUCHA DE REDUCAO DE PVC, SOLDAVEL, LONGA, COM 40 X 20 MM, PARA AGUA FRIA PREDIAL</v>
          </cell>
          <cell r="C713" t="str">
            <v xml:space="preserve">UN    </v>
          </cell>
          <cell r="D713">
            <v>2.63</v>
          </cell>
        </row>
        <row r="714">
          <cell r="A714">
            <v>834</v>
          </cell>
          <cell r="B714" t="str">
            <v>BUCHA DE REDUCAO DE PVC, SOLDAVEL, LONGA, COM 40 X 25 MM, PARA AGUA FRIA PREDIAL</v>
          </cell>
          <cell r="C714" t="str">
            <v xml:space="preserve">UN    </v>
          </cell>
          <cell r="D714">
            <v>2.89</v>
          </cell>
        </row>
        <row r="715">
          <cell r="A715">
            <v>825</v>
          </cell>
          <cell r="B715" t="str">
            <v>BUCHA DE REDUCAO DE PVC, SOLDAVEL, LONGA, COM 50 X 20 MM, PARA AGUA FRIA PREDIAL</v>
          </cell>
          <cell r="C715" t="str">
            <v xml:space="preserve">UN    </v>
          </cell>
          <cell r="D715">
            <v>3.22</v>
          </cell>
        </row>
        <row r="716">
          <cell r="A716">
            <v>813</v>
          </cell>
          <cell r="B716" t="str">
            <v>BUCHA DE REDUCAO DE PVC, SOLDAVEL, LONGA, COM 50 X 25 MM, PARA AGUA FRIA PREDIAL</v>
          </cell>
          <cell r="C716" t="str">
            <v xml:space="preserve">UN    </v>
          </cell>
          <cell r="D716">
            <v>3.16</v>
          </cell>
        </row>
        <row r="717">
          <cell r="A717">
            <v>820</v>
          </cell>
          <cell r="B717" t="str">
            <v>BUCHA DE REDUCAO DE PVC, SOLDAVEL, LONGA, COM 50 X 32 MM, PARA AGUA FRIA PREDIAL</v>
          </cell>
          <cell r="C717" t="str">
            <v xml:space="preserve">UN    </v>
          </cell>
          <cell r="D717">
            <v>4.0199999999999996</v>
          </cell>
        </row>
        <row r="718">
          <cell r="A718">
            <v>816</v>
          </cell>
          <cell r="B718" t="str">
            <v>BUCHA DE REDUCAO DE PVC, SOLDAVEL, LONGA, COM 60 X 25 MM, PARA AGUA FRIA PREDIAL</v>
          </cell>
          <cell r="C718" t="str">
            <v xml:space="preserve">UN    </v>
          </cell>
          <cell r="D718">
            <v>6.84</v>
          </cell>
        </row>
        <row r="719">
          <cell r="A719">
            <v>814</v>
          </cell>
          <cell r="B719" t="str">
            <v>BUCHA DE REDUCAO DE PVC, SOLDAVEL, LONGA, COM 60 X 32 MM, PARA AGUA FRIA PREDIAL</v>
          </cell>
          <cell r="C719" t="str">
            <v xml:space="preserve">UN    </v>
          </cell>
          <cell r="D719">
            <v>8.26</v>
          </cell>
        </row>
        <row r="720">
          <cell r="A720">
            <v>815</v>
          </cell>
          <cell r="B720" t="str">
            <v>BUCHA DE REDUCAO DE PVC, SOLDAVEL, LONGA, COM 60 X 40 MM, PARA AGUA FRIA PREDIAL</v>
          </cell>
          <cell r="C720" t="str">
            <v xml:space="preserve">UN    </v>
          </cell>
          <cell r="D720">
            <v>8.93</v>
          </cell>
        </row>
        <row r="721">
          <cell r="A721">
            <v>822</v>
          </cell>
          <cell r="B721" t="str">
            <v>BUCHA DE REDUCAO DE PVC, SOLDAVEL, LONGA, COM 60 X 50 MM, PARA AGUA FRIA PREDIAL</v>
          </cell>
          <cell r="C721" t="str">
            <v xml:space="preserve">UN    </v>
          </cell>
          <cell r="D721">
            <v>10.88</v>
          </cell>
        </row>
        <row r="722">
          <cell r="A722">
            <v>821</v>
          </cell>
          <cell r="B722" t="str">
            <v>BUCHA DE REDUCAO DE PVC, SOLDAVEL, LONGA, COM 75 X 50 MM, PARA AGUA FRIA PREDIAL</v>
          </cell>
          <cell r="C722" t="str">
            <v xml:space="preserve">UN    </v>
          </cell>
          <cell r="D722">
            <v>12.71</v>
          </cell>
        </row>
        <row r="723">
          <cell r="A723">
            <v>817</v>
          </cell>
          <cell r="B723" t="str">
            <v>BUCHA DE REDUCAO DE PVC, SOLDAVEL, LONGA, COM 85 X 60 MM, PARA AGUA FRIA PREDIAL</v>
          </cell>
          <cell r="C723" t="str">
            <v xml:space="preserve">UN    </v>
          </cell>
          <cell r="D723">
            <v>15.12</v>
          </cell>
        </row>
        <row r="724">
          <cell r="A724">
            <v>20086</v>
          </cell>
          <cell r="B724" t="str">
            <v>BUCHA DE REDUCAO DE PVC, SOLDAVEL, LONGA, 50 X 40 MM, PARA ESGOTO PREDIAL</v>
          </cell>
          <cell r="C724" t="str">
            <v xml:space="preserve">UN    </v>
          </cell>
          <cell r="D724">
            <v>1.65</v>
          </cell>
        </row>
        <row r="725">
          <cell r="A725">
            <v>39191</v>
          </cell>
          <cell r="B725" t="str">
            <v>BUCHA DE REDUCAO EM ALUMINIO, COM ROSCA, DE 1 1/2" X 1 1/4", PARA ELETRODUTO</v>
          </cell>
          <cell r="C725" t="str">
            <v xml:space="preserve">UN    </v>
          </cell>
          <cell r="D725">
            <v>12.61</v>
          </cell>
        </row>
        <row r="726">
          <cell r="A726">
            <v>39190</v>
          </cell>
          <cell r="B726" t="str">
            <v>BUCHA DE REDUCAO EM ALUMINIO, COM ROSCA, DE 1 1/2" X 1", PARA ELETRODUTO</v>
          </cell>
          <cell r="C726" t="str">
            <v xml:space="preserve">UN    </v>
          </cell>
          <cell r="D726">
            <v>13.17</v>
          </cell>
        </row>
        <row r="727">
          <cell r="A727">
            <v>39189</v>
          </cell>
          <cell r="B727" t="str">
            <v>BUCHA DE REDUCAO EM ALUMINIO, COM ROSCA, DE 1 1/2" X 3/4", PARA ELETRODUTO</v>
          </cell>
          <cell r="C727" t="str">
            <v xml:space="preserve">UN    </v>
          </cell>
          <cell r="D727">
            <v>13.94</v>
          </cell>
        </row>
        <row r="728">
          <cell r="A728">
            <v>39186</v>
          </cell>
          <cell r="B728" t="str">
            <v>BUCHA DE REDUCAO EM ALUMINIO, COM ROSCA, DE 1 1/4" X 1/2", PARA ELETRODUTO</v>
          </cell>
          <cell r="C728" t="str">
            <v xml:space="preserve">UN    </v>
          </cell>
          <cell r="D728">
            <v>12.47</v>
          </cell>
        </row>
        <row r="729">
          <cell r="A729">
            <v>39188</v>
          </cell>
          <cell r="B729" t="str">
            <v>BUCHA DE REDUCAO EM ALUMINIO, COM ROSCA, DE 1 1/4" X 1", PARA ELETRODUTO</v>
          </cell>
          <cell r="C729" t="str">
            <v xml:space="preserve">UN    </v>
          </cell>
          <cell r="D729">
            <v>10.26</v>
          </cell>
        </row>
        <row r="730">
          <cell r="A730">
            <v>39187</v>
          </cell>
          <cell r="B730" t="str">
            <v>BUCHA DE REDUCAO EM ALUMINIO, COM ROSCA, DE 1 1/4" X 3/4", PARA ELETRODUTO</v>
          </cell>
          <cell r="C730" t="str">
            <v xml:space="preserve">UN    </v>
          </cell>
          <cell r="D730">
            <v>10.76</v>
          </cell>
        </row>
        <row r="731">
          <cell r="A731">
            <v>39184</v>
          </cell>
          <cell r="B731" t="str">
            <v>BUCHA DE REDUCAO EM ALUMINIO, COM ROSCA, DE 1" X 1/2", PARA ELETRODUTO</v>
          </cell>
          <cell r="C731" t="str">
            <v xml:space="preserve">UN    </v>
          </cell>
          <cell r="D731">
            <v>4.04</v>
          </cell>
        </row>
        <row r="732">
          <cell r="A732">
            <v>39185</v>
          </cell>
          <cell r="B732" t="str">
            <v>BUCHA DE REDUCAO EM ALUMINIO, COM ROSCA, DE 1" X 3/4", PARA ELETRODUTO</v>
          </cell>
          <cell r="C732" t="str">
            <v xml:space="preserve">UN    </v>
          </cell>
          <cell r="D732">
            <v>3.69</v>
          </cell>
        </row>
        <row r="733">
          <cell r="A733">
            <v>39198</v>
          </cell>
          <cell r="B733" t="str">
            <v>BUCHA DE REDUCAO EM ALUMINIO, COM ROSCA, DE 2 1/2" X 1 1/2", PARA ELETRODUTO</v>
          </cell>
          <cell r="C733" t="str">
            <v xml:space="preserve">UN    </v>
          </cell>
          <cell r="D733">
            <v>41.38</v>
          </cell>
        </row>
        <row r="734">
          <cell r="A734">
            <v>39197</v>
          </cell>
          <cell r="B734" t="str">
            <v>BUCHA DE REDUCAO EM ALUMINIO, COM ROSCA, DE 2 1/2" X 1 1/4", PARA ELETRODUTO</v>
          </cell>
          <cell r="C734" t="str">
            <v xml:space="preserve">UN    </v>
          </cell>
          <cell r="D734">
            <v>43.23</v>
          </cell>
        </row>
        <row r="735">
          <cell r="A735">
            <v>39196</v>
          </cell>
          <cell r="B735" t="str">
            <v>BUCHA DE REDUCAO EM ALUMINIO, COM ROSCA, DE 2 1/2" X 1", PARA ELETRODUTO</v>
          </cell>
          <cell r="C735" t="str">
            <v xml:space="preserve">UN    </v>
          </cell>
          <cell r="D735">
            <v>44.58</v>
          </cell>
        </row>
        <row r="736">
          <cell r="A736">
            <v>39199</v>
          </cell>
          <cell r="B736" t="str">
            <v>BUCHA DE REDUCAO EM ALUMINIO, COM ROSCA, DE 2 1/2" X 2", PARA ELETRODUTO</v>
          </cell>
          <cell r="C736" t="str">
            <v xml:space="preserve">UN    </v>
          </cell>
          <cell r="D736">
            <v>39.82</v>
          </cell>
        </row>
        <row r="737">
          <cell r="A737">
            <v>39195</v>
          </cell>
          <cell r="B737" t="str">
            <v>BUCHA DE REDUCAO EM ALUMINIO, COM ROSCA, DE 2" X 1 1/2", PARA ELETRODUTO</v>
          </cell>
          <cell r="C737" t="str">
            <v xml:space="preserve">UN    </v>
          </cell>
          <cell r="D737">
            <v>22.98</v>
          </cell>
        </row>
        <row r="738">
          <cell r="A738">
            <v>39194</v>
          </cell>
          <cell r="B738" t="str">
            <v>BUCHA DE REDUCAO EM ALUMINIO, COM ROSCA, DE 2" X 1 1/4", PARA ELETRODUTO</v>
          </cell>
          <cell r="C738" t="str">
            <v xml:space="preserve">UN    </v>
          </cell>
          <cell r="D738">
            <v>24.6</v>
          </cell>
        </row>
        <row r="739">
          <cell r="A739">
            <v>39193</v>
          </cell>
          <cell r="B739" t="str">
            <v>BUCHA DE REDUCAO EM ALUMINIO, COM ROSCA, DE 2" X 1", PARA ELETRODUTO</v>
          </cell>
          <cell r="C739" t="str">
            <v xml:space="preserve">UN    </v>
          </cell>
          <cell r="D739">
            <v>26.96</v>
          </cell>
        </row>
        <row r="740">
          <cell r="A740">
            <v>39192</v>
          </cell>
          <cell r="B740" t="str">
            <v>BUCHA DE REDUCAO EM ALUMINIO, COM ROSCA, DE 2" X 3/4", PARA ELETRODUTO</v>
          </cell>
          <cell r="C740" t="str">
            <v xml:space="preserve">UN    </v>
          </cell>
          <cell r="D740">
            <v>28.04</v>
          </cell>
        </row>
        <row r="741">
          <cell r="A741">
            <v>39920</v>
          </cell>
          <cell r="B741" t="str">
            <v>BUCHA DE REDUCAO EM ALUMINIO, COM ROSCA, DE 3/4" X 1/2",  PARA ELETRODUTO</v>
          </cell>
          <cell r="C741" t="str">
            <v xml:space="preserve">UN    </v>
          </cell>
          <cell r="D741">
            <v>3.39</v>
          </cell>
        </row>
        <row r="742">
          <cell r="A742">
            <v>39201</v>
          </cell>
          <cell r="B742" t="str">
            <v>BUCHA DE REDUCAO EM ALUMINIO, COM ROSCA, DE 3" X 1 1/2", PARA ELETRODUTO</v>
          </cell>
          <cell r="C742" t="str">
            <v xml:space="preserve">UN    </v>
          </cell>
          <cell r="D742">
            <v>49.47</v>
          </cell>
        </row>
        <row r="743">
          <cell r="A743">
            <v>39200</v>
          </cell>
          <cell r="B743" t="str">
            <v>BUCHA DE REDUCAO EM ALUMINIO, COM ROSCA, DE 3" X 1 1/4", PARA ELETRODUTO</v>
          </cell>
          <cell r="C743" t="str">
            <v xml:space="preserve">UN    </v>
          </cell>
          <cell r="D743">
            <v>49.87</v>
          </cell>
        </row>
        <row r="744">
          <cell r="A744">
            <v>39203</v>
          </cell>
          <cell r="B744" t="str">
            <v>BUCHA DE REDUCAO EM ALUMINIO, COM ROSCA, DE 3" X 2 1/2", PARA ELETRODUTO</v>
          </cell>
          <cell r="C744" t="str">
            <v xml:space="preserve">UN    </v>
          </cell>
          <cell r="D744">
            <v>40.270000000000003</v>
          </cell>
        </row>
        <row r="745">
          <cell r="A745">
            <v>39202</v>
          </cell>
          <cell r="B745" t="str">
            <v>BUCHA DE REDUCAO EM ALUMINIO, COM ROSCA, DE 3" X 2", PARA ELETRODUTO</v>
          </cell>
          <cell r="C745" t="str">
            <v xml:space="preserve">UN    </v>
          </cell>
          <cell r="D745">
            <v>47.3</v>
          </cell>
        </row>
        <row r="746">
          <cell r="A746">
            <v>39205</v>
          </cell>
          <cell r="B746" t="str">
            <v>BUCHA DE REDUCAO EM ALUMINIO, COM ROSCA, DE 4" X 2 1/2", PARA ELETRODUTO</v>
          </cell>
          <cell r="C746" t="str">
            <v xml:space="preserve">UN    </v>
          </cell>
          <cell r="D746">
            <v>78.92</v>
          </cell>
        </row>
        <row r="747">
          <cell r="A747">
            <v>39204</v>
          </cell>
          <cell r="B747" t="str">
            <v>BUCHA DE REDUCAO EM ALUMINIO, COM ROSCA, DE 4" X 2", PARA ELETRODUTO</v>
          </cell>
          <cell r="C747" t="str">
            <v xml:space="preserve">UN    </v>
          </cell>
          <cell r="D747">
            <v>80.83</v>
          </cell>
        </row>
        <row r="748">
          <cell r="A748">
            <v>39206</v>
          </cell>
          <cell r="B748" t="str">
            <v>BUCHA DE REDUCAO EM ALUMINIO, COM ROSCA, DE 4" X 3", PARA ELETRODUTO</v>
          </cell>
          <cell r="C748" t="str">
            <v xml:space="preserve">UN    </v>
          </cell>
          <cell r="D748">
            <v>76.680000000000007</v>
          </cell>
        </row>
        <row r="749">
          <cell r="A749">
            <v>797</v>
          </cell>
          <cell r="B749" t="str">
            <v>BUCHA DE REDUCAO PVC ROSCAVEL 1 1/2" X 1"</v>
          </cell>
          <cell r="C749" t="str">
            <v xml:space="preserve">UN    </v>
          </cell>
          <cell r="D749">
            <v>5.91</v>
          </cell>
        </row>
        <row r="750">
          <cell r="A750">
            <v>798</v>
          </cell>
          <cell r="B750" t="str">
            <v>BUCHA DE REDUCAO PVC ROSCAVEL 3/4" X 1/2"</v>
          </cell>
          <cell r="C750" t="str">
            <v xml:space="preserve">UN    </v>
          </cell>
          <cell r="D750">
            <v>0.81</v>
          </cell>
        </row>
        <row r="751">
          <cell r="A751">
            <v>796</v>
          </cell>
          <cell r="B751" t="str">
            <v>BUCHA DE REDUCAO PVC ROSCAVEL, 1 1/2" X 3/4"</v>
          </cell>
          <cell r="C751" t="str">
            <v xml:space="preserve">UN    </v>
          </cell>
          <cell r="D751">
            <v>5.66</v>
          </cell>
        </row>
        <row r="752">
          <cell r="A752">
            <v>799</v>
          </cell>
          <cell r="B752" t="str">
            <v>BUCHA DE REDUCAO PVC ROSCAVEL, 1" X 1/2"</v>
          </cell>
          <cell r="C752" t="str">
            <v xml:space="preserve">UN    </v>
          </cell>
          <cell r="D752">
            <v>2.66</v>
          </cell>
        </row>
        <row r="753">
          <cell r="A753">
            <v>792</v>
          </cell>
          <cell r="B753" t="str">
            <v>BUCHA DE REDUCAO PVC ROSCAVEL, 1" X 3/4"</v>
          </cell>
          <cell r="C753" t="str">
            <v xml:space="preserve">UN    </v>
          </cell>
          <cell r="D753">
            <v>2.71</v>
          </cell>
        </row>
        <row r="754">
          <cell r="A754">
            <v>804</v>
          </cell>
          <cell r="B754" t="str">
            <v>BUCHA DE REDUCAO PVC, ROSCAVEL,  2"  X 1 1/2 "</v>
          </cell>
          <cell r="C754" t="str">
            <v xml:space="preserve">UN    </v>
          </cell>
          <cell r="D754">
            <v>13.43</v>
          </cell>
        </row>
        <row r="755">
          <cell r="A755">
            <v>793</v>
          </cell>
          <cell r="B755" t="str">
            <v>BUCHA DE REDUCAO PVC, ROSCAVEL, 1 1/2"  X1 1/4 "</v>
          </cell>
          <cell r="C755" t="str">
            <v xml:space="preserve">UN    </v>
          </cell>
          <cell r="D755">
            <v>5.76</v>
          </cell>
        </row>
        <row r="756">
          <cell r="A756">
            <v>801</v>
          </cell>
          <cell r="B756" t="str">
            <v>BUCHA DE REDUCAO PVC, ROSCAVEL, 1 1/4"  X 3/4 "</v>
          </cell>
          <cell r="C756" t="str">
            <v xml:space="preserve">UN    </v>
          </cell>
          <cell r="D756">
            <v>4.1100000000000003</v>
          </cell>
        </row>
        <row r="757">
          <cell r="A757">
            <v>794</v>
          </cell>
          <cell r="B757" t="str">
            <v>BUCHA DE REDUCAO PVC, ROSCAVEL, 1 1/4" X 1 "</v>
          </cell>
          <cell r="C757" t="str">
            <v xml:space="preserve">UN    </v>
          </cell>
          <cell r="D757">
            <v>4.24</v>
          </cell>
        </row>
        <row r="758">
          <cell r="A758">
            <v>802</v>
          </cell>
          <cell r="B758" t="str">
            <v>BUCHA DE REDUCAO PVC, ROSCAVEL, 2"  X 1 "</v>
          </cell>
          <cell r="C758" t="str">
            <v xml:space="preserve">UN    </v>
          </cell>
          <cell r="D758">
            <v>11.84</v>
          </cell>
        </row>
        <row r="759">
          <cell r="A759">
            <v>803</v>
          </cell>
          <cell r="B759" t="str">
            <v>BUCHA DE REDUCAO PVC, ROSCAVEL, 2"  X 1 1/4 "</v>
          </cell>
          <cell r="C759" t="str">
            <v xml:space="preserve">UN    </v>
          </cell>
          <cell r="D759">
            <v>10.33</v>
          </cell>
        </row>
        <row r="760">
          <cell r="A760">
            <v>38001</v>
          </cell>
          <cell r="B760" t="str">
            <v>BUCHA DE REDUCAO, CPVC, SOLDAVEL, 22 X 15 MM, PARA AGUA QUENTE</v>
          </cell>
          <cell r="C760" t="str">
            <v xml:space="preserve">UN    </v>
          </cell>
          <cell r="D760">
            <v>1.18</v>
          </cell>
        </row>
        <row r="761">
          <cell r="A761">
            <v>38002</v>
          </cell>
          <cell r="B761" t="str">
            <v>BUCHA DE REDUCAO, CPVC, SOLDAVEL, 28 X 22 MM, PARA AGUA QUENTE</v>
          </cell>
          <cell r="C761" t="str">
            <v xml:space="preserve">UN    </v>
          </cell>
          <cell r="D761">
            <v>2.19</v>
          </cell>
        </row>
        <row r="762">
          <cell r="A762">
            <v>38003</v>
          </cell>
          <cell r="B762" t="str">
            <v>BUCHA DE REDUCAO, CPVC, SOLDAVEL, 35 X 28 MM, PARA AGUA QUENTE</v>
          </cell>
          <cell r="C762" t="str">
            <v xml:space="preserve">UN    </v>
          </cell>
          <cell r="D762">
            <v>26.26</v>
          </cell>
        </row>
        <row r="763">
          <cell r="A763">
            <v>38004</v>
          </cell>
          <cell r="B763" t="str">
            <v>BUCHA DE REDUCAO, CPVC, SOLDAVEL, 42 X 22 MM, PARA AGUA QUENTE</v>
          </cell>
          <cell r="C763" t="str">
            <v xml:space="preserve">UN    </v>
          </cell>
          <cell r="D763">
            <v>35.11</v>
          </cell>
        </row>
        <row r="764">
          <cell r="A764">
            <v>36327</v>
          </cell>
          <cell r="B764" t="str">
            <v>BUCHA DE REDUCAO, PPR, DN 25 X 20 MM, PARA AGUA QUENTE PREDIAL</v>
          </cell>
          <cell r="C764" t="str">
            <v xml:space="preserve">UN    </v>
          </cell>
          <cell r="D764">
            <v>1.54</v>
          </cell>
        </row>
        <row r="765">
          <cell r="A765">
            <v>38992</v>
          </cell>
          <cell r="B765" t="str">
            <v>BUCHA DE REDUCAO, PPR, DN 32 X 25 MM, PARA AGUA QUENTE E FRIA PREDIAL</v>
          </cell>
          <cell r="C765" t="str">
            <v xml:space="preserve">UN    </v>
          </cell>
          <cell r="D765">
            <v>2.46</v>
          </cell>
        </row>
        <row r="766">
          <cell r="A766">
            <v>38993</v>
          </cell>
          <cell r="B766" t="str">
            <v>BUCHA DE REDUCAO, PPR, DN 40 X 25 MM, PARA AGUA QUENTE E FRIA PREDIAL</v>
          </cell>
          <cell r="C766" t="str">
            <v xml:space="preserve">UN    </v>
          </cell>
          <cell r="D766">
            <v>7.02</v>
          </cell>
        </row>
        <row r="767">
          <cell r="A767">
            <v>38418</v>
          </cell>
          <cell r="B767" t="str">
            <v>BUCHA DE REDUCAO, PVC, LONGA, SERIE R, DN 50 X 40 MM, PARA ESGOTO PREDIAL</v>
          </cell>
          <cell r="C767" t="str">
            <v xml:space="preserve">UN    </v>
          </cell>
          <cell r="D767">
            <v>4.8099999999999996</v>
          </cell>
        </row>
        <row r="768">
          <cell r="A768">
            <v>39178</v>
          </cell>
          <cell r="B768" t="str">
            <v>BUCHA EM ALUMINIO, COM ROSCA, DE  1 1/2", PARA ELETRODUTO</v>
          </cell>
          <cell r="C768" t="str">
            <v xml:space="preserve">UN    </v>
          </cell>
          <cell r="D768">
            <v>1.36</v>
          </cell>
        </row>
        <row r="769">
          <cell r="A769">
            <v>39177</v>
          </cell>
          <cell r="B769" t="str">
            <v>BUCHA EM ALUMINIO, COM ROSCA, DE 1 1/4", PARA ELETRODUTO</v>
          </cell>
          <cell r="C769" t="str">
            <v xml:space="preserve">UN    </v>
          </cell>
          <cell r="D769">
            <v>1.23</v>
          </cell>
        </row>
        <row r="770">
          <cell r="A770">
            <v>39174</v>
          </cell>
          <cell r="B770" t="str">
            <v>BUCHA EM ALUMINIO, COM ROSCA, DE 1/2", PARA ELETRODUTO</v>
          </cell>
          <cell r="C770" t="str">
            <v xml:space="preserve">UN    </v>
          </cell>
          <cell r="D770">
            <v>0.61</v>
          </cell>
        </row>
        <row r="771">
          <cell r="A771">
            <v>39176</v>
          </cell>
          <cell r="B771" t="str">
            <v>BUCHA EM ALUMINIO, COM ROSCA, DE 1", PARA ELETRODUTO</v>
          </cell>
          <cell r="C771" t="str">
            <v xml:space="preserve">UN    </v>
          </cell>
          <cell r="D771">
            <v>0.8</v>
          </cell>
        </row>
        <row r="772">
          <cell r="A772">
            <v>39180</v>
          </cell>
          <cell r="B772" t="str">
            <v>BUCHA EM ALUMINIO, COM ROSCA, DE 2 1/2", PARA ELETRODUTO</v>
          </cell>
          <cell r="C772" t="str">
            <v xml:space="preserve">UN    </v>
          </cell>
          <cell r="D772">
            <v>3.7</v>
          </cell>
        </row>
        <row r="773">
          <cell r="A773">
            <v>39179</v>
          </cell>
          <cell r="B773" t="str">
            <v>BUCHA EM ALUMINIO, COM ROSCA, DE 2", PARA ELETRODUTO</v>
          </cell>
          <cell r="C773" t="str">
            <v xml:space="preserve">UN    </v>
          </cell>
          <cell r="D773">
            <v>3.28</v>
          </cell>
        </row>
        <row r="774">
          <cell r="A774">
            <v>39175</v>
          </cell>
          <cell r="B774" t="str">
            <v>BUCHA EM ALUMINIO, COM ROSCA, DE 3/4", PARA ELETRODUTO</v>
          </cell>
          <cell r="C774" t="str">
            <v xml:space="preserve">UN    </v>
          </cell>
          <cell r="D774">
            <v>0.75</v>
          </cell>
        </row>
        <row r="775">
          <cell r="A775">
            <v>39217</v>
          </cell>
          <cell r="B775" t="str">
            <v>BUCHA EM ALUMINIO, COM ROSCA, DE 3/8", PARA ELETRODUTO</v>
          </cell>
          <cell r="C775" t="str">
            <v xml:space="preserve">UN    </v>
          </cell>
          <cell r="D775">
            <v>0.57999999999999996</v>
          </cell>
        </row>
        <row r="776">
          <cell r="A776">
            <v>39181</v>
          </cell>
          <cell r="B776" t="str">
            <v>BUCHA EM ALUMINIO, COM ROSCA, DE 3", PARA ELETRODUTO</v>
          </cell>
          <cell r="C776" t="str">
            <v xml:space="preserve">UN    </v>
          </cell>
          <cell r="D776">
            <v>4.96</v>
          </cell>
        </row>
        <row r="777">
          <cell r="A777">
            <v>39182</v>
          </cell>
          <cell r="B777" t="str">
            <v>BUCHA EM ALUMINIO, COM ROSCA, DE 4", PARA ELETRODUTO</v>
          </cell>
          <cell r="C777" t="str">
            <v xml:space="preserve">UN    </v>
          </cell>
          <cell r="D777">
            <v>6.98</v>
          </cell>
        </row>
        <row r="778">
          <cell r="A778">
            <v>12616</v>
          </cell>
          <cell r="B778" t="str">
            <v>CABECEIRA DIREITA OU ESQUERDA, PVC, PARA CALHA PLUVIAL, DIAMETRO ENTRE 119 E 170 MM, PARA DRENAGEM PREDIAL</v>
          </cell>
          <cell r="C778" t="str">
            <v xml:space="preserve">UN    </v>
          </cell>
          <cell r="D778">
            <v>4.57</v>
          </cell>
        </row>
        <row r="779">
          <cell r="A779">
            <v>1049</v>
          </cell>
          <cell r="B779" t="str">
            <v>CABECOTE PARA ENTRADA DE LINHA DE ALIMENTACAO PARA ELETRODUTO, EM LIGA DE ALUMINIO COM ACABAMENTO ANTI CORROSIVO, COM FIXACAO POR ENCAIXE LISO DE 360 GRAUS, DE 1 1/2"</v>
          </cell>
          <cell r="C779" t="str">
            <v xml:space="preserve">UN    </v>
          </cell>
          <cell r="D779">
            <v>5.84</v>
          </cell>
        </row>
        <row r="780">
          <cell r="A780">
            <v>1099</v>
          </cell>
          <cell r="B780" t="str">
            <v>CABECOTE PARA ENTRADA DE LINHA DE ALIMENTACAO PARA ELETRODUTO, EM LIGA DE ALUMINIO COM ACABAMENTO ANTI CORROSIVO, COM FIXACAO POR ENCAIXE LISO DE 360 GRAUS, DE 1 1/4"</v>
          </cell>
          <cell r="C780" t="str">
            <v xml:space="preserve">UN    </v>
          </cell>
          <cell r="D780">
            <v>4.47</v>
          </cell>
        </row>
        <row r="781">
          <cell r="A781">
            <v>39678</v>
          </cell>
          <cell r="B781" t="str">
            <v>CABECOTE PARA ENTRADA DE LINHA DE ALIMENTACAO PARA ELETRODUTO, EM LIGA DE ALUMINIO COM ACABAMENTO ANTI CORROSIVO, COM FIXACAO POR ENCAIXE LISO DE 360 GRAUS, DE 1/2"</v>
          </cell>
          <cell r="C781" t="str">
            <v xml:space="preserve">UN    </v>
          </cell>
          <cell r="D781">
            <v>1.8</v>
          </cell>
        </row>
        <row r="782">
          <cell r="A782">
            <v>1050</v>
          </cell>
          <cell r="B782" t="str">
            <v>CABECOTE PARA ENTRADA DE LINHA DE ALIMENTACAO PARA ELETRODUTO, EM LIGA DE ALUMINIO COM ACABAMENTO ANTI CORROSIVO, COM FIXACAO POR ENCAIXE LISO DE 360 GRAUS, DE 1"</v>
          </cell>
          <cell r="C782" t="str">
            <v xml:space="preserve">UN    </v>
          </cell>
          <cell r="D782">
            <v>3.06</v>
          </cell>
        </row>
        <row r="783">
          <cell r="A783">
            <v>1101</v>
          </cell>
          <cell r="B783" t="str">
            <v>CABECOTE PARA ENTRADA DE LINHA DE ALIMENTACAO PARA ELETRODUTO, EM LIGA DE ALUMINIO COM ACABAMENTO ANTI CORROSIVO, COM FIXACAO POR ENCAIXE LISO DE 360 GRAUS, DE 2 1/2"</v>
          </cell>
          <cell r="C783" t="str">
            <v xml:space="preserve">UN    </v>
          </cell>
          <cell r="D783">
            <v>19.28</v>
          </cell>
        </row>
        <row r="784">
          <cell r="A784">
            <v>1100</v>
          </cell>
          <cell r="B784" t="str">
            <v>CABECOTE PARA ENTRADA DE LINHA DE ALIMENTACAO PARA ELETRODUTO, EM LIGA DE ALUMINIO COM ACABAMENTO ANTI CORROSIVO, COM FIXACAO POR ENCAIXE LISO DE 360 GRAUS, DE 2"</v>
          </cell>
          <cell r="C784" t="str">
            <v xml:space="preserve">UN    </v>
          </cell>
          <cell r="D784">
            <v>9.9499999999999993</v>
          </cell>
        </row>
        <row r="785">
          <cell r="A785">
            <v>39679</v>
          </cell>
          <cell r="B785" t="str">
            <v>CABECOTE PARA ENTRADA DE LINHA DE ALIMENTACAO PARA ELETRODUTO, EM LIGA DE ALUMINIO COM ACABAMENTO ANTI CORROSIVO, COM FIXACAO POR ENCAIXE LISO DE 360 GRAUS, DE 3 1/2"</v>
          </cell>
          <cell r="C785" t="str">
            <v xml:space="preserve">UN    </v>
          </cell>
          <cell r="D785">
            <v>38.43</v>
          </cell>
        </row>
        <row r="786">
          <cell r="A786">
            <v>1098</v>
          </cell>
          <cell r="B786" t="str">
            <v>CABECOTE PARA ENTRADA DE LINHA DE ALIMENTACAO PARA ELETRODUTO, EM LIGA DE ALUMINIO COM ACABAMENTO ANTI CORROSIVO, COM FIXACAO POR ENCAIXE LISO DE 360 GRAUS, DE 3/4"</v>
          </cell>
          <cell r="C786" t="str">
            <v xml:space="preserve">UN    </v>
          </cell>
          <cell r="D786">
            <v>2.38</v>
          </cell>
        </row>
        <row r="787">
          <cell r="A787">
            <v>1102</v>
          </cell>
          <cell r="B787" t="str">
            <v>CABECOTE PARA ENTRADA DE LINHA DE ALIMENTACAO PARA ELETRODUTO, EM LIGA DE ALUMINIO COM ACABAMENTO ANTI CORROSIVO, COM FIXACAO POR ENCAIXE LISO DE 360 GRAUS, DE 3"</v>
          </cell>
          <cell r="C787" t="str">
            <v xml:space="preserve">UN    </v>
          </cell>
          <cell r="D787">
            <v>28.76</v>
          </cell>
        </row>
        <row r="788">
          <cell r="A788">
            <v>1051</v>
          </cell>
          <cell r="B788" t="str">
            <v>CABECOTE PARA ENTRADA DE LINHA DE ALIMENTACAO PARA ELETRODUTO, EM LIGA DE ALUMINIO COM ACABAMENTO ANTI CORROSIVO, COM FIXACAO POR ENCAIXE LISO DE 360 GRAUS, DE 4"</v>
          </cell>
          <cell r="C788" t="str">
            <v xml:space="preserve">UN    </v>
          </cell>
          <cell r="D788">
            <v>41.8</v>
          </cell>
        </row>
        <row r="789">
          <cell r="A789">
            <v>37399</v>
          </cell>
          <cell r="B789" t="str">
            <v>CABIDE/GANCHO DE BANHEIRO SIMPLES EM METAL CROMADO</v>
          </cell>
          <cell r="C789" t="str">
            <v xml:space="preserve">UN    </v>
          </cell>
          <cell r="D789">
            <v>15.34</v>
          </cell>
        </row>
        <row r="790">
          <cell r="A790">
            <v>41955</v>
          </cell>
          <cell r="B790" t="str">
            <v>CABO DE ACO GALVANIZADO, DIAMETRO 12,7 MM (1/2"), COM ALMA DE ACO CABO INDEPENDENTE 6 X 25 F</v>
          </cell>
          <cell r="C790" t="str">
            <v xml:space="preserve">KG    </v>
          </cell>
          <cell r="D790">
            <v>45.51</v>
          </cell>
        </row>
        <row r="791">
          <cell r="A791">
            <v>41953</v>
          </cell>
          <cell r="B791" t="str">
            <v>CABO DE ACO GALVANIZADO, DIAMETRO 12,7 MM (1/2"), COM ALMA DE FIBRA 6 X 25 F</v>
          </cell>
          <cell r="C791" t="str">
            <v xml:space="preserve">KG    </v>
          </cell>
          <cell r="D791">
            <v>43.43</v>
          </cell>
        </row>
        <row r="792">
          <cell r="A792">
            <v>41954</v>
          </cell>
          <cell r="B792" t="str">
            <v>CABO DE ACO GALVANIZADO, DIAMETRO 9,53 MM (3/8"), COM ALMA DE FIBRA 6 X 25 F</v>
          </cell>
          <cell r="C792" t="str">
            <v xml:space="preserve">KG    </v>
          </cell>
          <cell r="D792">
            <v>43.02</v>
          </cell>
        </row>
        <row r="793">
          <cell r="A793">
            <v>25004</v>
          </cell>
          <cell r="B793" t="str">
            <v>CABO DE ALUMINIO NU COM ALMA DE ACO, BITOLA 1/0 AWG</v>
          </cell>
          <cell r="C793" t="str">
            <v xml:space="preserve">KG    </v>
          </cell>
          <cell r="D793">
            <v>26.06</v>
          </cell>
        </row>
        <row r="794">
          <cell r="A794">
            <v>25002</v>
          </cell>
          <cell r="B794" t="str">
            <v>CABO DE ALUMINIO NU COM ALMA DE ACO, BITOLA 2 AWG</v>
          </cell>
          <cell r="C794" t="str">
            <v xml:space="preserve">KG    </v>
          </cell>
          <cell r="D794">
            <v>26.28</v>
          </cell>
        </row>
        <row r="795">
          <cell r="A795">
            <v>37409</v>
          </cell>
          <cell r="B795" t="str">
            <v>CABO DE ALUMINIO NU COM ALMA DE ACO, BITOLA 2/0 AWG</v>
          </cell>
          <cell r="C795" t="str">
            <v xml:space="preserve">KG    </v>
          </cell>
          <cell r="D795">
            <v>25.85</v>
          </cell>
        </row>
        <row r="796">
          <cell r="A796">
            <v>841</v>
          </cell>
          <cell r="B796" t="str">
            <v>CABO DE ALUMINIO NU COM ALMA DE ACO, BITOLA 4 AWG</v>
          </cell>
          <cell r="C796" t="str">
            <v xml:space="preserve">KG    </v>
          </cell>
          <cell r="D796">
            <v>26.7</v>
          </cell>
        </row>
        <row r="797">
          <cell r="A797">
            <v>25005</v>
          </cell>
          <cell r="B797" t="str">
            <v>CABO DE ALUMINIO NU SEM ALMA DE ACO, BITOLA 1/0 AWG</v>
          </cell>
          <cell r="C797" t="str">
            <v xml:space="preserve">KG    </v>
          </cell>
          <cell r="D797">
            <v>29.27</v>
          </cell>
        </row>
        <row r="798">
          <cell r="A798">
            <v>25003</v>
          </cell>
          <cell r="B798" t="str">
            <v>CABO DE ALUMINIO NU SEM ALMA DE ACO, BITOLA 2 AWG</v>
          </cell>
          <cell r="C798" t="str">
            <v xml:space="preserve">KG    </v>
          </cell>
          <cell r="D798">
            <v>31.27</v>
          </cell>
        </row>
        <row r="799">
          <cell r="A799">
            <v>37410</v>
          </cell>
          <cell r="B799" t="str">
            <v>CABO DE ALUMINIO NU SEM ALMA DE ACO, BITOLA 2/0 AWG</v>
          </cell>
          <cell r="C799" t="str">
            <v xml:space="preserve">KG    </v>
          </cell>
          <cell r="D799">
            <v>29.27</v>
          </cell>
        </row>
        <row r="800">
          <cell r="A800">
            <v>842</v>
          </cell>
          <cell r="B800" t="str">
            <v>CABO DE ALUMINIO NU SEM ALMA DE ACO, BITOLA 4 AWG</v>
          </cell>
          <cell r="C800" t="str">
            <v xml:space="preserve">KG    </v>
          </cell>
          <cell r="D800">
            <v>32.93</v>
          </cell>
        </row>
        <row r="801">
          <cell r="A801">
            <v>862</v>
          </cell>
          <cell r="B801" t="str">
            <v>CABO DE COBRE NU 10 MM2 MEIO-DURO</v>
          </cell>
          <cell r="C801" t="str">
            <v xml:space="preserve">M     </v>
          </cell>
          <cell r="D801">
            <v>5.78</v>
          </cell>
        </row>
        <row r="802">
          <cell r="A802">
            <v>866</v>
          </cell>
          <cell r="B802" t="str">
            <v>CABO DE COBRE NU 120 MM2 MEIO-DURO</v>
          </cell>
          <cell r="C802" t="str">
            <v xml:space="preserve">M     </v>
          </cell>
          <cell r="D802">
            <v>71.06</v>
          </cell>
        </row>
        <row r="803">
          <cell r="A803">
            <v>892</v>
          </cell>
          <cell r="B803" t="str">
            <v>CABO DE COBRE NU 150 MM2 MEIO-DURO</v>
          </cell>
          <cell r="C803" t="str">
            <v xml:space="preserve">M     </v>
          </cell>
          <cell r="D803">
            <v>90.37</v>
          </cell>
        </row>
        <row r="804">
          <cell r="A804">
            <v>857</v>
          </cell>
          <cell r="B804" t="str">
            <v>CABO DE COBRE NU 16 MM2 MEIO-DURO</v>
          </cell>
          <cell r="C804" t="str">
            <v xml:space="preserve">M     </v>
          </cell>
          <cell r="D804">
            <v>9.1999999999999993</v>
          </cell>
        </row>
        <row r="805">
          <cell r="A805">
            <v>37404</v>
          </cell>
          <cell r="B805" t="str">
            <v>CABO DE COBRE NU 185 MM2 MEIO-DURO</v>
          </cell>
          <cell r="C805" t="str">
            <v xml:space="preserve">M     </v>
          </cell>
          <cell r="D805">
            <v>108.67</v>
          </cell>
        </row>
        <row r="806">
          <cell r="A806">
            <v>868</v>
          </cell>
          <cell r="B806" t="str">
            <v>CABO DE COBRE NU 25 MM2 MEIO-DURO</v>
          </cell>
          <cell r="C806" t="str">
            <v xml:space="preserve">M     </v>
          </cell>
          <cell r="D806">
            <v>14.2</v>
          </cell>
        </row>
        <row r="807">
          <cell r="A807">
            <v>870</v>
          </cell>
          <cell r="B807" t="str">
            <v>CABO DE COBRE NU 300 MM2 MEIO-DURO</v>
          </cell>
          <cell r="C807" t="str">
            <v xml:space="preserve">M     </v>
          </cell>
          <cell r="D807">
            <v>187.26</v>
          </cell>
        </row>
        <row r="808">
          <cell r="A808">
            <v>863</v>
          </cell>
          <cell r="B808" t="str">
            <v>CABO DE COBRE NU 35 MM2 MEIO-DURO</v>
          </cell>
          <cell r="C808" t="str">
            <v xml:space="preserve">M     </v>
          </cell>
          <cell r="D808">
            <v>19.63</v>
          </cell>
        </row>
        <row r="809">
          <cell r="A809">
            <v>867</v>
          </cell>
          <cell r="B809" t="str">
            <v>CABO DE COBRE NU 50 MM2 MEIO-DURO</v>
          </cell>
          <cell r="C809" t="str">
            <v xml:space="preserve">M     </v>
          </cell>
          <cell r="D809">
            <v>27.34</v>
          </cell>
        </row>
        <row r="810">
          <cell r="A810">
            <v>891</v>
          </cell>
          <cell r="B810" t="str">
            <v>CABO DE COBRE NU 500 MM2 MEIO-DURO</v>
          </cell>
          <cell r="C810" t="str">
            <v xml:space="preserve">M     </v>
          </cell>
          <cell r="D810">
            <v>314.48</v>
          </cell>
        </row>
        <row r="811">
          <cell r="A811">
            <v>864</v>
          </cell>
          <cell r="B811" t="str">
            <v>CABO DE COBRE NU 70 MM2 MEIO-DURO</v>
          </cell>
          <cell r="C811" t="str">
            <v xml:space="preserve">M     </v>
          </cell>
          <cell r="D811">
            <v>38.51</v>
          </cell>
        </row>
        <row r="812">
          <cell r="A812">
            <v>865</v>
          </cell>
          <cell r="B812" t="str">
            <v>CABO DE COBRE NU 95 MM2 MEIO-DURO</v>
          </cell>
          <cell r="C812" t="str">
            <v xml:space="preserve">M     </v>
          </cell>
          <cell r="D812">
            <v>54.25</v>
          </cell>
        </row>
        <row r="813">
          <cell r="A813">
            <v>1006</v>
          </cell>
          <cell r="B813" t="str">
            <v>CABO DE COBRE RIGIDO, CLASSE 2, ISOLACAO EM PVC, ANTI-CHAMA BWF-B, 1 CONDUTOR, 450/750 V, DIAMETRO 120 MM2</v>
          </cell>
          <cell r="C813" t="str">
            <v xml:space="preserve">M     </v>
          </cell>
          <cell r="D813">
            <v>72.52</v>
          </cell>
        </row>
        <row r="814">
          <cell r="A814">
            <v>948</v>
          </cell>
          <cell r="B814" t="str">
            <v>CABO DE COBRE UNIPOLAR 10 MM2, BLINDADO, ISOLACAO 3,6/6 KV EPR, COBERTURA EM PVC</v>
          </cell>
          <cell r="C814" t="str">
            <v xml:space="preserve">M     </v>
          </cell>
          <cell r="D814">
            <v>12.97</v>
          </cell>
        </row>
        <row r="815">
          <cell r="A815">
            <v>947</v>
          </cell>
          <cell r="B815" t="str">
            <v>CABO DE COBRE UNIPOLAR 16 MM2, BLINDADO, ISOLACAO 3,6/6 KV EPR, COBERTURA EM PVC</v>
          </cell>
          <cell r="C815" t="str">
            <v xml:space="preserve">M     </v>
          </cell>
          <cell r="D815">
            <v>13.2</v>
          </cell>
        </row>
        <row r="816">
          <cell r="A816">
            <v>911</v>
          </cell>
          <cell r="B816" t="str">
            <v>CABO DE COBRE UNIPOLAR 16 MM2, BLINDADO, ISOLACAO 6/10 KV EPR, COBERTURA EM PVC</v>
          </cell>
          <cell r="C816" t="str">
            <v xml:space="preserve">M     </v>
          </cell>
          <cell r="D816">
            <v>19.190000000000001</v>
          </cell>
        </row>
        <row r="817">
          <cell r="A817">
            <v>925</v>
          </cell>
          <cell r="B817" t="str">
            <v>CABO DE COBRE UNIPOLAR 25 MM2, BLINDADO, ISOLACAO 3,6/6 KV EPR, COBERTURA EM PVC</v>
          </cell>
          <cell r="C817" t="str">
            <v xml:space="preserve">M     </v>
          </cell>
          <cell r="D817">
            <v>17.739999999999998</v>
          </cell>
        </row>
        <row r="818">
          <cell r="A818">
            <v>954</v>
          </cell>
          <cell r="B818" t="str">
            <v>CABO DE COBRE UNIPOLAR 25MM2, BLINDADO, ISOLACAO 6/10 KV EPR, COBERTURA EM PVC</v>
          </cell>
          <cell r="C818" t="str">
            <v xml:space="preserve">M     </v>
          </cell>
          <cell r="D818">
            <v>19.600000000000001</v>
          </cell>
        </row>
        <row r="819">
          <cell r="A819">
            <v>901</v>
          </cell>
          <cell r="B819" t="str">
            <v>CABO DE COBRE UNIPOLAR 35 MM2, BLINDADO, ISOLACAO 12/20 KV EPR, COBERTURA EM PVC</v>
          </cell>
          <cell r="C819" t="str">
            <v xml:space="preserve">M     </v>
          </cell>
          <cell r="D819">
            <v>20.98</v>
          </cell>
        </row>
        <row r="820">
          <cell r="A820">
            <v>926</v>
          </cell>
          <cell r="B820" t="str">
            <v>CABO DE COBRE UNIPOLAR 35 MM2, BLINDADO, ISOLACAO 3,6/6 KV EPR, COBERTURA EM PVC</v>
          </cell>
          <cell r="C820" t="str">
            <v xml:space="preserve">M     </v>
          </cell>
          <cell r="D820">
            <v>22.17</v>
          </cell>
        </row>
        <row r="821">
          <cell r="A821">
            <v>912</v>
          </cell>
          <cell r="B821" t="str">
            <v>CABO DE COBRE UNIPOLAR 35 MM2, BLINDADO, ISOLACAO 6/10 KV EPR, COBERTURA EM PVC</v>
          </cell>
          <cell r="C821" t="str">
            <v xml:space="preserve">M     </v>
          </cell>
          <cell r="D821">
            <v>22.3</v>
          </cell>
        </row>
        <row r="822">
          <cell r="A822">
            <v>955</v>
          </cell>
          <cell r="B822" t="str">
            <v>CABO DE COBRE UNIPOLAR 50 MM2, BLINDADO, ISOLACAO 12/20 KV EPR, COBERTURA EM PVC</v>
          </cell>
          <cell r="C822" t="str">
            <v xml:space="preserve">M     </v>
          </cell>
          <cell r="D822">
            <v>26.62</v>
          </cell>
        </row>
        <row r="823">
          <cell r="A823">
            <v>946</v>
          </cell>
          <cell r="B823" t="str">
            <v>CABO DE COBRE UNIPOLAR 50 MM2, BLINDADO, ISOLACAO 3,6/6 KV EPR, COBERTURA EM PVC</v>
          </cell>
          <cell r="C823" t="str">
            <v xml:space="preserve">M     </v>
          </cell>
          <cell r="D823">
            <v>29.93</v>
          </cell>
        </row>
        <row r="824">
          <cell r="A824">
            <v>953</v>
          </cell>
          <cell r="B824" t="str">
            <v>CABO DE COBRE UNIPOLAR 50 MM2, BLINDADO, ISOLACAO 6/10 KV EPR, COBERTURA EM PVC</v>
          </cell>
          <cell r="C824" t="str">
            <v xml:space="preserve">M     </v>
          </cell>
          <cell r="D824">
            <v>27.24</v>
          </cell>
        </row>
        <row r="825">
          <cell r="A825">
            <v>902</v>
          </cell>
          <cell r="B825" t="str">
            <v>CABO DE COBRE UNIPOLAR 70 MM2, BLINDADO, ISOLACAO 12/20 KV EPR, COBERTURA EM PVC</v>
          </cell>
          <cell r="C825" t="str">
            <v xml:space="preserve">M     </v>
          </cell>
          <cell r="D825">
            <v>33.11</v>
          </cell>
        </row>
        <row r="826">
          <cell r="A826">
            <v>927</v>
          </cell>
          <cell r="B826" t="str">
            <v>CABO DE COBRE UNIPOLAR 70 MM2, BLINDADO, ISOLACAO 3,6/6 KV EPR, COBERTURA EM PVC</v>
          </cell>
          <cell r="C826" t="str">
            <v xml:space="preserve">M     </v>
          </cell>
          <cell r="D826">
            <v>32.1</v>
          </cell>
        </row>
        <row r="827">
          <cell r="A827">
            <v>913</v>
          </cell>
          <cell r="B827" t="str">
            <v>CABO DE COBRE UNIPOLAR 70 MM2, BLINDADO, ISOLACAO 6/10 KV EPR, COBERTURA EM PVC</v>
          </cell>
          <cell r="C827" t="str">
            <v xml:space="preserve">M     </v>
          </cell>
          <cell r="D827">
            <v>35.82</v>
          </cell>
        </row>
        <row r="828">
          <cell r="A828">
            <v>903</v>
          </cell>
          <cell r="B828" t="str">
            <v>CABO DE COBRE UNIPOLAR 95 MM2, BLINDADO, ISOLACAO 12/20 KV EPR, COBERTURA EM PVC</v>
          </cell>
          <cell r="C828" t="str">
            <v xml:space="preserve">M     </v>
          </cell>
          <cell r="D828">
            <v>40.54</v>
          </cell>
        </row>
        <row r="829">
          <cell r="A829">
            <v>945</v>
          </cell>
          <cell r="B829" t="str">
            <v>CABO DE COBRE UNIPOLAR 95 MM2, BLINDADO, ISOLACAO 3,6/6 KV EPR, COBERTURA EM PVC</v>
          </cell>
          <cell r="C829" t="str">
            <v xml:space="preserve">M     </v>
          </cell>
          <cell r="D829">
            <v>42.89</v>
          </cell>
        </row>
        <row r="830">
          <cell r="A830">
            <v>914</v>
          </cell>
          <cell r="B830" t="str">
            <v>CABO DE COBRE UNIPOLAR 95 MM2, BLINDADO, ISOLACAO 6/10 KV EPR, COBERTURA EM PVC</v>
          </cell>
          <cell r="C830" t="str">
            <v xml:space="preserve">M     </v>
          </cell>
          <cell r="D830">
            <v>43.94</v>
          </cell>
        </row>
        <row r="831">
          <cell r="A831">
            <v>993</v>
          </cell>
          <cell r="B831" t="str">
            <v>CABO DE COBRE, FLEXIVEL, CLASSE 4 OU 5, ISOLACAO EM PVC/A, ANTICHAMA BWF-B, COBERTURA PVC-ST1, ANTICHAMA BWF-B, 1 CONDUTOR, 0,6/1 KV, SECAO NOMINAL 1,5 MM2</v>
          </cell>
          <cell r="C831" t="str">
            <v xml:space="preserve">M     </v>
          </cell>
          <cell r="D831">
            <v>1.56</v>
          </cell>
        </row>
        <row r="832">
          <cell r="A832">
            <v>1020</v>
          </cell>
          <cell r="B832" t="str">
            <v>CABO DE COBRE, FLEXIVEL, CLASSE 4 OU 5, ISOLACAO EM PVC/A, ANTICHAMA BWF-B, COBERTURA PVC-ST1, ANTICHAMA BWF-B, 1 CONDUTOR, 0,6/1 KV, SECAO NOMINAL 10 MM2</v>
          </cell>
          <cell r="C832" t="str">
            <v xml:space="preserve">M     </v>
          </cell>
          <cell r="D832">
            <v>6.8</v>
          </cell>
        </row>
        <row r="833">
          <cell r="A833">
            <v>1017</v>
          </cell>
          <cell r="B833" t="str">
            <v>CABO DE COBRE, FLEXIVEL, CLASSE 4 OU 5, ISOLACAO EM PVC/A, ANTICHAMA BWF-B, COBERTURA PVC-ST1, ANTICHAMA BWF-B, 1 CONDUTOR, 0,6/1 KV, SECAO NOMINAL 120 MM2</v>
          </cell>
          <cell r="C833" t="str">
            <v xml:space="preserve">M     </v>
          </cell>
          <cell r="D833">
            <v>74.709999999999994</v>
          </cell>
        </row>
        <row r="834">
          <cell r="A834">
            <v>999</v>
          </cell>
          <cell r="B834" t="str">
            <v>CABO DE COBRE, FLEXIVEL, CLASSE 4 OU 5, ISOLACAO EM PVC/A, ANTICHAMA BWF-B, COBERTURA PVC-ST1, ANTICHAMA BWF-B, 1 CONDUTOR, 0,6/1 KV, SECAO NOMINAL 150 MM2</v>
          </cell>
          <cell r="C834" t="str">
            <v xml:space="preserve">M     </v>
          </cell>
          <cell r="D834">
            <v>92.58</v>
          </cell>
        </row>
        <row r="835">
          <cell r="A835">
            <v>995</v>
          </cell>
          <cell r="B835" t="str">
            <v>CABO DE COBRE, FLEXIVEL, CLASSE 4 OU 5, ISOLACAO EM PVC/A, ANTICHAMA BWF-B, COBERTURA PVC-ST1, ANTICHAMA BWF-B, 1 CONDUTOR, 0,6/1 KV, SECAO NOMINAL 16 MM2</v>
          </cell>
          <cell r="C835" t="str">
            <v xml:space="preserve">M     </v>
          </cell>
          <cell r="D835">
            <v>10.43</v>
          </cell>
        </row>
        <row r="836">
          <cell r="A836">
            <v>1000</v>
          </cell>
          <cell r="B836" t="str">
            <v>CABO DE COBRE, FLEXIVEL, CLASSE 4 OU 5, ISOLACAO EM PVC/A, ANTICHAMA BWF-B, COBERTURA PVC-ST1, ANTICHAMA BWF-B, 1 CONDUTOR, 0,6/1 KV, SECAO NOMINAL 185 MM2</v>
          </cell>
          <cell r="C836" t="str">
            <v xml:space="preserve">M     </v>
          </cell>
          <cell r="D836">
            <v>113.48</v>
          </cell>
        </row>
        <row r="837">
          <cell r="A837">
            <v>1022</v>
          </cell>
          <cell r="B837" t="str">
            <v>CABO DE COBRE, FLEXIVEL, CLASSE 4 OU 5, ISOLACAO EM PVC/A, ANTICHAMA BWF-B, COBERTURA PVC-ST1, ANTICHAMA BWF-B, 1 CONDUTOR, 0,6/1 KV, SECAO NOMINAL 2,5 MM2</v>
          </cell>
          <cell r="C837" t="str">
            <v xml:space="preserve">M     </v>
          </cell>
          <cell r="D837">
            <v>2.17</v>
          </cell>
        </row>
        <row r="838">
          <cell r="A838">
            <v>1015</v>
          </cell>
          <cell r="B838" t="str">
            <v>CABO DE COBRE, FLEXIVEL, CLASSE 4 OU 5, ISOLACAO EM PVC/A, ANTICHAMA BWF-B, COBERTURA PVC-ST1, ANTICHAMA BWF-B, 1 CONDUTOR, 0,6/1 KV, SECAO NOMINAL 240 MM2</v>
          </cell>
          <cell r="C838" t="str">
            <v xml:space="preserve">M     </v>
          </cell>
          <cell r="D838">
            <v>149.43</v>
          </cell>
        </row>
        <row r="839">
          <cell r="A839">
            <v>996</v>
          </cell>
          <cell r="B839" t="str">
            <v>CABO DE COBRE, FLEXIVEL, CLASSE 4 OU 5, ISOLACAO EM PVC/A, ANTICHAMA BWF-B, COBERTURA PVC-ST1, ANTICHAMA BWF-B, 1 CONDUTOR, 0,6/1 KV, SECAO NOMINAL 25 MM2</v>
          </cell>
          <cell r="C839" t="str">
            <v xml:space="preserve">M     </v>
          </cell>
          <cell r="D839">
            <v>15.87</v>
          </cell>
        </row>
        <row r="840">
          <cell r="A840">
            <v>1001</v>
          </cell>
          <cell r="B840" t="str">
            <v>CABO DE COBRE, FLEXIVEL, CLASSE 4 OU 5, ISOLACAO EM PVC/A, ANTICHAMA BWF-B, COBERTURA PVC-ST1, ANTICHAMA BWF-B, 1 CONDUTOR, 0,6/1 KV, SECAO NOMINAL 300 MM2</v>
          </cell>
          <cell r="C840" t="str">
            <v xml:space="preserve">M     </v>
          </cell>
          <cell r="D840">
            <v>187.01</v>
          </cell>
        </row>
        <row r="841">
          <cell r="A841">
            <v>1019</v>
          </cell>
          <cell r="B841" t="str">
            <v>CABO DE COBRE, FLEXIVEL, CLASSE 4 OU 5, ISOLACAO EM PVC/A, ANTICHAMA BWF-B, COBERTURA PVC-ST1, ANTICHAMA BWF-B, 1 CONDUTOR, 0,6/1 KV, SECAO NOMINAL 35 MM2</v>
          </cell>
          <cell r="C841" t="str">
            <v xml:space="preserve">M     </v>
          </cell>
          <cell r="D841">
            <v>21.88</v>
          </cell>
        </row>
        <row r="842">
          <cell r="A842">
            <v>1021</v>
          </cell>
          <cell r="B842" t="str">
            <v>CABO DE COBRE, FLEXIVEL, CLASSE 4 OU 5, ISOLACAO EM PVC/A, ANTICHAMA BWF-B, COBERTURA PVC-ST1, ANTICHAMA BWF-B, 1 CONDUTOR, 0,6/1 KV, SECAO NOMINAL 4 MM2</v>
          </cell>
          <cell r="C842" t="str">
            <v xml:space="preserve">M     </v>
          </cell>
          <cell r="D842">
            <v>3.1</v>
          </cell>
        </row>
        <row r="843">
          <cell r="A843">
            <v>39249</v>
          </cell>
          <cell r="B843" t="str">
            <v>CABO DE COBRE, FLEXIVEL, CLASSE 4 OU 5, ISOLACAO EM PVC/A, ANTICHAMA BWF-B, COBERTURA PVC-ST1, ANTICHAMA BWF-B, 1 CONDUTOR, 0,6/1 KV, SECAO NOMINAL 400 MM2</v>
          </cell>
          <cell r="C843" t="str">
            <v xml:space="preserve">M     </v>
          </cell>
          <cell r="D843">
            <v>243.96</v>
          </cell>
        </row>
        <row r="844">
          <cell r="A844">
            <v>1018</v>
          </cell>
          <cell r="B844" t="str">
            <v>CABO DE COBRE, FLEXIVEL, CLASSE 4 OU 5, ISOLACAO EM PVC/A, ANTICHAMA BWF-B, COBERTURA PVC-ST1, ANTICHAMA BWF-B, 1 CONDUTOR, 0,6/1 KV, SECAO NOMINAL 50 MM2</v>
          </cell>
          <cell r="C844" t="str">
            <v xml:space="preserve">M     </v>
          </cell>
          <cell r="D844">
            <v>31.19</v>
          </cell>
        </row>
        <row r="845">
          <cell r="A845">
            <v>39250</v>
          </cell>
          <cell r="B845" t="str">
            <v>CABO DE COBRE, FLEXIVEL, CLASSE 4 OU 5, ISOLACAO EM PVC/A, ANTICHAMA BWF-B, COBERTURA PVC-ST1, ANTICHAMA BWF-B, 1 CONDUTOR, 0,6/1 KV, SECAO NOMINAL 500 MM2</v>
          </cell>
          <cell r="C845" t="str">
            <v xml:space="preserve">M     </v>
          </cell>
          <cell r="D845">
            <v>313.38</v>
          </cell>
        </row>
        <row r="846">
          <cell r="A846">
            <v>994</v>
          </cell>
          <cell r="B846" t="str">
            <v>CABO DE COBRE, FLEXIVEL, CLASSE 4 OU 5, ISOLACAO EM PVC/A, ANTICHAMA BWF-B, COBERTURA PVC-ST1, ANTICHAMA BWF-B, 1 CONDUTOR, 0,6/1 KV, SECAO NOMINAL 6 MM2</v>
          </cell>
          <cell r="C846" t="str">
            <v xml:space="preserve">M     </v>
          </cell>
          <cell r="D846">
            <v>4.24</v>
          </cell>
        </row>
        <row r="847">
          <cell r="A847">
            <v>977</v>
          </cell>
          <cell r="B847" t="str">
            <v>CABO DE COBRE, FLEXIVEL, CLASSE 4 OU 5, ISOLACAO EM PVC/A, ANTICHAMA BWF-B, COBERTURA PVC-ST1, ANTICHAMA BWF-B, 1 CONDUTOR, 0,6/1 KV, SECAO NOMINAL 70 MM2</v>
          </cell>
          <cell r="C847" t="str">
            <v xml:space="preserve">M     </v>
          </cell>
          <cell r="D847">
            <v>43.21</v>
          </cell>
        </row>
        <row r="848">
          <cell r="A848">
            <v>998</v>
          </cell>
          <cell r="B848" t="str">
            <v>CABO DE COBRE, FLEXIVEL, CLASSE 4 OU 5, ISOLACAO EM PVC/A, ANTICHAMA BWF-B, COBERTURA PVC-ST1, ANTICHAMA BWF-B, 1 CONDUTOR, 0,6/1 KV, SECAO NOMINAL 95 MM2</v>
          </cell>
          <cell r="C848" t="str">
            <v xml:space="preserve">M     </v>
          </cell>
          <cell r="D848">
            <v>57.4</v>
          </cell>
        </row>
        <row r="849">
          <cell r="A849">
            <v>39251</v>
          </cell>
          <cell r="B849" t="str">
            <v>CABO DE COBRE, FLEXIVEL, CLASSE 4 OU 5, ISOLACAO EM PVC/A, ANTICHAMA BWF-B, 1 CONDUTOR, 450/750 V, SECAO NOMINAL 0,5 MM2</v>
          </cell>
          <cell r="C849" t="str">
            <v xml:space="preserve">M     </v>
          </cell>
          <cell r="D849">
            <v>0.41</v>
          </cell>
        </row>
        <row r="850">
          <cell r="A850">
            <v>1011</v>
          </cell>
          <cell r="B850" t="str">
            <v>CABO DE COBRE, FLEXIVEL, CLASSE 4 OU 5, ISOLACAO EM PVC/A, ANTICHAMA BWF-B, 1 CONDUTOR, 450/750 V, SECAO NOMINAL 0,75 MM2</v>
          </cell>
          <cell r="C850" t="str">
            <v xml:space="preserve">M     </v>
          </cell>
          <cell r="D850">
            <v>0.56999999999999995</v>
          </cell>
        </row>
        <row r="851">
          <cell r="A851">
            <v>39252</v>
          </cell>
          <cell r="B851" t="str">
            <v>CABO DE COBRE, FLEXIVEL, CLASSE 4 OU 5, ISOLACAO EM PVC/A, ANTICHAMA BWF-B, 1 CONDUTOR, 450/750 V, SECAO NOMINAL 1,0 MM2</v>
          </cell>
          <cell r="C851" t="str">
            <v xml:space="preserve">M     </v>
          </cell>
          <cell r="D851">
            <v>0.69</v>
          </cell>
        </row>
        <row r="852">
          <cell r="A852">
            <v>1013</v>
          </cell>
          <cell r="B852" t="str">
            <v>CABO DE COBRE, FLEXIVEL, CLASSE 4 OU 5, ISOLACAO EM PVC/A, ANTICHAMA BWF-B, 1 CONDUTOR, 450/750 V, SECAO NOMINAL 1,5 MM2</v>
          </cell>
          <cell r="C852" t="str">
            <v xml:space="preserve">M     </v>
          </cell>
          <cell r="D852">
            <v>0.91</v>
          </cell>
        </row>
        <row r="853">
          <cell r="A853">
            <v>980</v>
          </cell>
          <cell r="B853" t="str">
            <v>CABO DE COBRE, FLEXIVEL, CLASSE 4 OU 5, ISOLACAO EM PVC/A, ANTICHAMA BWF-B, 1 CONDUTOR, 450/750 V, SECAO NOMINAL 10 MM2</v>
          </cell>
          <cell r="C853" t="str">
            <v xml:space="preserve">M     </v>
          </cell>
          <cell r="D853">
            <v>6.23</v>
          </cell>
        </row>
        <row r="854">
          <cell r="A854">
            <v>39237</v>
          </cell>
          <cell r="B854" t="str">
            <v>CABO DE COBRE, FLEXIVEL, CLASSE 4 OU 5, ISOLACAO EM PVC/A, ANTICHAMA BWF-B, 1 CONDUTOR, 450/750 V, SECAO NOMINAL 120 MM2</v>
          </cell>
          <cell r="C854" t="str">
            <v xml:space="preserve">M     </v>
          </cell>
          <cell r="D854">
            <v>73.930000000000007</v>
          </cell>
        </row>
        <row r="855">
          <cell r="A855">
            <v>39238</v>
          </cell>
          <cell r="B855" t="str">
            <v>CABO DE COBRE, FLEXIVEL, CLASSE 4 OU 5, ISOLACAO EM PVC/A, ANTICHAMA BWF-B, 1 CONDUTOR, 450/750 V, SECAO NOMINAL 150 MM2</v>
          </cell>
          <cell r="C855" t="str">
            <v xml:space="preserve">M     </v>
          </cell>
          <cell r="D855">
            <v>92.3</v>
          </cell>
        </row>
        <row r="856">
          <cell r="A856">
            <v>979</v>
          </cell>
          <cell r="B856" t="str">
            <v>CABO DE COBRE, FLEXIVEL, CLASSE 4 OU 5, ISOLACAO EM PVC/A, ANTICHAMA BWF-B, 1 CONDUTOR, 450/750 V, SECAO NOMINAL 16 MM2</v>
          </cell>
          <cell r="C856" t="str">
            <v xml:space="preserve">M     </v>
          </cell>
          <cell r="D856">
            <v>9.61</v>
          </cell>
        </row>
        <row r="857">
          <cell r="A857">
            <v>39239</v>
          </cell>
          <cell r="B857" t="str">
            <v>CABO DE COBRE, FLEXIVEL, CLASSE 4 OU 5, ISOLACAO EM PVC/A, ANTICHAMA BWF-B, 1 CONDUTOR, 450/750 V, SECAO NOMINAL 185 MM2</v>
          </cell>
          <cell r="C857" t="str">
            <v xml:space="preserve">M     </v>
          </cell>
          <cell r="D857">
            <v>112.34</v>
          </cell>
        </row>
        <row r="858">
          <cell r="A858">
            <v>1014</v>
          </cell>
          <cell r="B858" t="str">
            <v>CABO DE COBRE, FLEXIVEL, CLASSE 4 OU 5, ISOLACAO EM PVC/A, ANTICHAMA BWF-B, 1 CONDUTOR, 450/750 V, SECAO NOMINAL 2,5 MM2</v>
          </cell>
          <cell r="C858" t="str">
            <v xml:space="preserve">M     </v>
          </cell>
          <cell r="D858">
            <v>1.46</v>
          </cell>
        </row>
        <row r="859">
          <cell r="A859">
            <v>39240</v>
          </cell>
          <cell r="B859" t="str">
            <v>CABO DE COBRE, FLEXIVEL, CLASSE 4 OU 5, ISOLACAO EM PVC/A, ANTICHAMA BWF-B, 1 CONDUTOR, 450/750 V, SECAO NOMINAL 240 MM2</v>
          </cell>
          <cell r="C859" t="str">
            <v xml:space="preserve">M     </v>
          </cell>
          <cell r="D859">
            <v>148.47999999999999</v>
          </cell>
        </row>
        <row r="860">
          <cell r="A860">
            <v>39232</v>
          </cell>
          <cell r="B860" t="str">
            <v>CABO DE COBRE, FLEXIVEL, CLASSE 4 OU 5, ISOLACAO EM PVC/A, ANTICHAMA BWF-B, 1 CONDUTOR, 450/750 V, SECAO NOMINAL 25 MM2</v>
          </cell>
          <cell r="C860" t="str">
            <v xml:space="preserve">M     </v>
          </cell>
          <cell r="D860">
            <v>15.41</v>
          </cell>
        </row>
        <row r="861">
          <cell r="A861">
            <v>39233</v>
          </cell>
          <cell r="B861" t="str">
            <v>CABO DE COBRE, FLEXIVEL, CLASSE 4 OU 5, ISOLACAO EM PVC/A, ANTICHAMA BWF-B, 1 CONDUTOR, 450/750 V, SECAO NOMINAL 35 MM2</v>
          </cell>
          <cell r="C861" t="str">
            <v xml:space="preserve">M     </v>
          </cell>
          <cell r="D861">
            <v>21.19</v>
          </cell>
        </row>
        <row r="862">
          <cell r="A862">
            <v>981</v>
          </cell>
          <cell r="B862" t="str">
            <v>CABO DE COBRE, FLEXIVEL, CLASSE 4 OU 5, ISOLACAO EM PVC/A, ANTICHAMA BWF-B, 1 CONDUTOR, 450/750 V, SECAO NOMINAL 4 MM2</v>
          </cell>
          <cell r="C862" t="str">
            <v xml:space="preserve">M     </v>
          </cell>
          <cell r="D862">
            <v>2.6</v>
          </cell>
        </row>
        <row r="863">
          <cell r="A863">
            <v>39234</v>
          </cell>
          <cell r="B863" t="str">
            <v>CABO DE COBRE, FLEXIVEL, CLASSE 4 OU 5, ISOLACAO EM PVC/A, ANTICHAMA BWF-B, 1 CONDUTOR, 450/750 V, SECAO NOMINAL 50 MM2</v>
          </cell>
          <cell r="C863" t="str">
            <v xml:space="preserve">M     </v>
          </cell>
          <cell r="D863">
            <v>31.11</v>
          </cell>
        </row>
        <row r="864">
          <cell r="A864">
            <v>982</v>
          </cell>
          <cell r="B864" t="str">
            <v>CABO DE COBRE, FLEXIVEL, CLASSE 4 OU 5, ISOLACAO EM PVC/A, ANTICHAMA BWF-B, 1 CONDUTOR, 450/750 V, SECAO NOMINAL 6 MM2</v>
          </cell>
          <cell r="C864" t="str">
            <v xml:space="preserve">M     </v>
          </cell>
          <cell r="D864">
            <v>3.65</v>
          </cell>
        </row>
        <row r="865">
          <cell r="A865">
            <v>39235</v>
          </cell>
          <cell r="B865" t="str">
            <v>CABO DE COBRE, FLEXIVEL, CLASSE 4 OU 5, ISOLACAO EM PVC/A, ANTICHAMA BWF-B, 1 CONDUTOR, 450/750 V, SECAO NOMINAL 70 MM2</v>
          </cell>
          <cell r="C865" t="str">
            <v xml:space="preserve">M     </v>
          </cell>
          <cell r="D865">
            <v>43.75</v>
          </cell>
        </row>
        <row r="866">
          <cell r="A866">
            <v>39236</v>
          </cell>
          <cell r="B866" t="str">
            <v>CABO DE COBRE, FLEXIVEL, CLASSE 4 OU 5, ISOLACAO EM PVC/A, ANTICHAMA BWF-B, 1 CONDUTOR, 450/750 V, SECAO NOMINAL 95 MM2</v>
          </cell>
          <cell r="C866" t="str">
            <v xml:space="preserve">M     </v>
          </cell>
          <cell r="D866">
            <v>57.35</v>
          </cell>
        </row>
        <row r="867">
          <cell r="A867">
            <v>876</v>
          </cell>
          <cell r="B867" t="str">
            <v>CABO DE COBRE, RIGIDO, CLASSE 2, COMPACTADO, BLINDADO, ISOLACAO EM EPR OU XLPE, COBERTURA ANTICHAMA EM PVC, PEAD OU HFFR, 1 CONDUTOR, 20/35 KV, SECAO NOMINAL 120 MM2</v>
          </cell>
          <cell r="C867" t="str">
            <v xml:space="preserve">M     </v>
          </cell>
          <cell r="D867">
            <v>148.06</v>
          </cell>
        </row>
        <row r="868">
          <cell r="A868">
            <v>877</v>
          </cell>
          <cell r="B868" t="str">
            <v>CABO DE COBRE, RIGIDO, CLASSE 2, COMPACTADO, BLINDADO, ISOLACAO EM EPR OU XLPE, COBERTURA ANTICHAMA EM PVC, PEAD OU HFFR, 1 CONDUTOR, 20/35 KV, SECAO NOMINAL 150 MM2</v>
          </cell>
          <cell r="C868" t="str">
            <v xml:space="preserve">M     </v>
          </cell>
          <cell r="D868">
            <v>174.06</v>
          </cell>
        </row>
        <row r="869">
          <cell r="A869">
            <v>882</v>
          </cell>
          <cell r="B869" t="str">
            <v>CABO DE COBRE, RIGIDO, CLASSE 2, COMPACTADO, BLINDADO, ISOLACAO EM EPR OU XLPE, COBERTURA ANTICHAMA EM PVC, PEAD OU HFFR, 1 CONDUTOR, 20/35 KV, SECAO NOMINAL 185 MM2</v>
          </cell>
          <cell r="C869" t="str">
            <v xml:space="preserve">M     </v>
          </cell>
          <cell r="D869">
            <v>189.66</v>
          </cell>
        </row>
        <row r="870">
          <cell r="A870">
            <v>878</v>
          </cell>
          <cell r="B870" t="str">
            <v>CABO DE COBRE, RIGIDO, CLASSE 2, COMPACTADO, BLINDADO, ISOLACAO EM EPR OU XLPE, COBERTURA ANTICHAMA EM PVC, PEAD OU HFFR, 1 CONDUTOR, 20/35 KV, SECAO NOMINAL 240 MM2</v>
          </cell>
          <cell r="C870" t="str">
            <v xml:space="preserve">M     </v>
          </cell>
          <cell r="D870">
            <v>235.8</v>
          </cell>
        </row>
        <row r="871">
          <cell r="A871">
            <v>879</v>
          </cell>
          <cell r="B871" t="str">
            <v>CABO DE COBRE, RIGIDO, CLASSE 2, COMPACTADO, BLINDADO, ISOLACAO EM EPR OU XLPE, COBERTURA ANTICHAMA EM PVC, PEAD OU HFFR, 1 CONDUTOR, 20/35 KV, SECAO NOMINAL 300 MM2</v>
          </cell>
          <cell r="C871" t="str">
            <v xml:space="preserve">M     </v>
          </cell>
          <cell r="D871">
            <v>277.93</v>
          </cell>
        </row>
        <row r="872">
          <cell r="A872">
            <v>880</v>
          </cell>
          <cell r="B872" t="str">
            <v>CABO DE COBRE, RIGIDO, CLASSE 2, COMPACTADO, BLINDADO, ISOLACAO EM EPR OU XLPE, COBERTURA ANTICHAMA EM PVC, PEAD OU HFFR, 1 CONDUTOR, 20/35 KV, SECAO NOMINAL 400 MM2</v>
          </cell>
          <cell r="C872" t="str">
            <v xml:space="preserve">M     </v>
          </cell>
          <cell r="D872">
            <v>327.01</v>
          </cell>
        </row>
        <row r="873">
          <cell r="A873">
            <v>873</v>
          </cell>
          <cell r="B873" t="str">
            <v>CABO DE COBRE, RIGIDO, CLASSE 2, COMPACTADO, BLINDADO, ISOLACAO EM EPR OU XLPE, COBERTURA ANTICHAMA EM PVC, PEAD OU HFFR, 1 CONDUTOR, 20/35 KV, SECAO NOMINAL 50 MM2</v>
          </cell>
          <cell r="C873" t="str">
            <v xml:space="preserve">M     </v>
          </cell>
          <cell r="D873">
            <v>99.43</v>
          </cell>
        </row>
        <row r="874">
          <cell r="A874">
            <v>881</v>
          </cell>
          <cell r="B874" t="str">
            <v>CABO DE COBRE, RIGIDO, CLASSE 2, COMPACTADO, BLINDADO, ISOLACAO EM EPR OU XLPE, COBERTURA ANTICHAMA EM PVC, PEAD OU HFFR, 1 CONDUTOR, 20/35 KV, SECAO NOMINAL 500 MM2</v>
          </cell>
          <cell r="C874" t="str">
            <v xml:space="preserve">M     </v>
          </cell>
          <cell r="D874">
            <v>446.97</v>
          </cell>
        </row>
        <row r="875">
          <cell r="A875">
            <v>874</v>
          </cell>
          <cell r="B875" t="str">
            <v>CABO DE COBRE, RIGIDO, CLASSE 2, COMPACTADO, BLINDADO, ISOLACAO EM EPR OU XLPE, COBERTURA ANTICHAMA EM PVC, PEAD OU HFFR, 1 CONDUTOR, 20/35 KV, SECAO NOMINAL 70 MM2</v>
          </cell>
          <cell r="C875" t="str">
            <v xml:space="preserve">M     </v>
          </cell>
          <cell r="D875">
            <v>118</v>
          </cell>
        </row>
        <row r="876">
          <cell r="A876">
            <v>875</v>
          </cell>
          <cell r="B876" t="str">
            <v>CABO DE COBRE, RIGIDO, CLASSE 2, COMPACTADO, BLINDADO, ISOLACAO EM EPR OU XLPE, COBERTURA ANTICHAMA EM PVC, PEAD OU HFFR, 1 CONDUTOR, 20/35 KV, SECAO NOMINAL 95 MM2</v>
          </cell>
          <cell r="C876" t="str">
            <v xml:space="preserve">M     </v>
          </cell>
          <cell r="D876">
            <v>140.79</v>
          </cell>
        </row>
        <row r="877">
          <cell r="A877">
            <v>983</v>
          </cell>
          <cell r="B877" t="str">
            <v>CABO DE COBRE, RIGIDO, CLASSE 2, ISOLACAO EM PVC/A, ANTICHAMA BWF-B, 1 CONDUTOR, 450/750 V, SECAO NOMINAL 1,5 MM2</v>
          </cell>
          <cell r="C877" t="str">
            <v xml:space="preserve">M     </v>
          </cell>
          <cell r="D877">
            <v>0.88</v>
          </cell>
        </row>
        <row r="878">
          <cell r="A878">
            <v>985</v>
          </cell>
          <cell r="B878" t="str">
            <v>CABO DE COBRE, RIGIDO, CLASSE 2, ISOLACAO EM PVC/A, ANTICHAMA BWF-B, 1 CONDUTOR, 450/750 V, SECAO NOMINAL 10 MM2</v>
          </cell>
          <cell r="C878" t="str">
            <v xml:space="preserve">M     </v>
          </cell>
          <cell r="D878">
            <v>6.61</v>
          </cell>
        </row>
        <row r="879">
          <cell r="A879">
            <v>990</v>
          </cell>
          <cell r="B879" t="str">
            <v>CABO DE COBRE, RIGIDO, CLASSE 2, ISOLACAO EM PVC/A, ANTICHAMA BWF-B, 1 CONDUTOR, 450/750 V, SECAO NOMINAL 150 MM2</v>
          </cell>
          <cell r="C879" t="str">
            <v xml:space="preserve">M     </v>
          </cell>
          <cell r="D879">
            <v>90.5</v>
          </cell>
        </row>
        <row r="880">
          <cell r="A880">
            <v>39241</v>
          </cell>
          <cell r="B880" t="str">
            <v>CABO DE COBRE, RIGIDO, CLASSE 2, ISOLACAO EM PVC/A, ANTICHAMA BWF-B, 1 CONDUTOR, 450/750 V, SECAO NOMINAL 16 MM2</v>
          </cell>
          <cell r="C880" t="str">
            <v xml:space="preserve">M     </v>
          </cell>
          <cell r="D880">
            <v>10.34</v>
          </cell>
        </row>
        <row r="881">
          <cell r="A881">
            <v>1005</v>
          </cell>
          <cell r="B881" t="str">
            <v>CABO DE COBRE, RIGIDO, CLASSE 2, ISOLACAO EM PVC/A, ANTICHAMA BWF-B, 1 CONDUTOR, 450/750 V, SECAO NOMINAL 185 MM2</v>
          </cell>
          <cell r="C881" t="str">
            <v xml:space="preserve">M     </v>
          </cell>
          <cell r="D881">
            <v>111.08</v>
          </cell>
        </row>
        <row r="882">
          <cell r="A882">
            <v>984</v>
          </cell>
          <cell r="B882" t="str">
            <v>CABO DE COBRE, RIGIDO, CLASSE 2, ISOLACAO EM PVC/A, ANTICHAMA BWF-B, 1 CONDUTOR, 450/750 V, SECAO NOMINAL 2,5 MM2</v>
          </cell>
          <cell r="C882" t="str">
            <v xml:space="preserve">M     </v>
          </cell>
          <cell r="D882">
            <v>2.2799999999999998</v>
          </cell>
        </row>
        <row r="883">
          <cell r="A883">
            <v>991</v>
          </cell>
          <cell r="B883" t="str">
            <v>CABO DE COBRE, RIGIDO, CLASSE 2, ISOLACAO EM PVC/A, ANTICHAMA BWF-B, 1 CONDUTOR, 450/750 V, SECAO NOMINAL 240 MM2</v>
          </cell>
          <cell r="C883" t="str">
            <v xml:space="preserve">M     </v>
          </cell>
          <cell r="D883">
            <v>146.78</v>
          </cell>
        </row>
        <row r="884">
          <cell r="A884">
            <v>986</v>
          </cell>
          <cell r="B884" t="str">
            <v>CABO DE COBRE, RIGIDO, CLASSE 2, ISOLACAO EM PVC/A, ANTICHAMA BWF-B, 1 CONDUTOR, 450/750 V, SECAO NOMINAL 25 MM2</v>
          </cell>
          <cell r="C884" t="str">
            <v xml:space="preserve">M     </v>
          </cell>
          <cell r="D884">
            <v>15.81</v>
          </cell>
        </row>
        <row r="885">
          <cell r="A885">
            <v>1024</v>
          </cell>
          <cell r="B885" t="str">
            <v>CABO DE COBRE, RIGIDO, CLASSE 2, ISOLACAO EM PVC/A, ANTICHAMA BWF-B, 1 CONDUTOR, 450/750 V, SECAO NOMINAL 300 MM2</v>
          </cell>
          <cell r="C885" t="str">
            <v xml:space="preserve">M     </v>
          </cell>
          <cell r="D885">
            <v>181.67</v>
          </cell>
        </row>
        <row r="886">
          <cell r="A886">
            <v>987</v>
          </cell>
          <cell r="B886" t="str">
            <v>CABO DE COBRE, RIGIDO, CLASSE 2, ISOLACAO EM PVC/A, ANTICHAMA BWF-B, 1 CONDUTOR, 450/750 V, SECAO NOMINAL 35 MM2</v>
          </cell>
          <cell r="C886" t="str">
            <v xml:space="preserve">M     </v>
          </cell>
          <cell r="D886">
            <v>21.49</v>
          </cell>
        </row>
        <row r="887">
          <cell r="A887">
            <v>1003</v>
          </cell>
          <cell r="B887" t="str">
            <v>CABO DE COBRE, RIGIDO, CLASSE 2, ISOLACAO EM PVC/A, ANTICHAMA BWF-B, 1 CONDUTOR, 450/750 V, SECAO NOMINAL 4 MM2</v>
          </cell>
          <cell r="C887" t="str">
            <v xml:space="preserve">M     </v>
          </cell>
          <cell r="D887">
            <v>3.34</v>
          </cell>
        </row>
        <row r="888">
          <cell r="A888">
            <v>992</v>
          </cell>
          <cell r="B888" t="str">
            <v>CABO DE COBRE, RIGIDO, CLASSE 2, ISOLACAO EM PVC/A, ANTICHAMA BWF-B, 1 CONDUTOR, 450/750 V, SECAO NOMINAL 400 MM2</v>
          </cell>
          <cell r="C888" t="str">
            <v xml:space="preserve">M     </v>
          </cell>
          <cell r="D888">
            <v>235.04</v>
          </cell>
        </row>
        <row r="889">
          <cell r="A889">
            <v>1007</v>
          </cell>
          <cell r="B889" t="str">
            <v>CABO DE COBRE, RIGIDO, CLASSE 2, ISOLACAO EM PVC/A, ANTICHAMA BWF-B, 1 CONDUTOR, 450/750 V, SECAO NOMINAL 50 MM2</v>
          </cell>
          <cell r="C889" t="str">
            <v xml:space="preserve">M     </v>
          </cell>
          <cell r="D889">
            <v>30.48</v>
          </cell>
        </row>
        <row r="890">
          <cell r="A890">
            <v>39242</v>
          </cell>
          <cell r="B890" t="str">
            <v>CABO DE COBRE, RIGIDO, CLASSE 2, ISOLACAO EM PVC/A, ANTICHAMA BWF-B, 1 CONDUTOR, 450/750 V, SECAO NOMINAL 500 MM2</v>
          </cell>
          <cell r="C890" t="str">
            <v xml:space="preserve">M     </v>
          </cell>
          <cell r="D890">
            <v>291.23</v>
          </cell>
        </row>
        <row r="891">
          <cell r="A891">
            <v>1008</v>
          </cell>
          <cell r="B891" t="str">
            <v>CABO DE COBRE, RIGIDO, CLASSE 2, ISOLACAO EM PVC/A, ANTICHAMA BWF-B, 1 CONDUTOR, 450/750 V, SECAO NOMINAL 6 MM2</v>
          </cell>
          <cell r="C891" t="str">
            <v xml:space="preserve">M     </v>
          </cell>
          <cell r="D891">
            <v>3.79</v>
          </cell>
        </row>
        <row r="892">
          <cell r="A892">
            <v>988</v>
          </cell>
          <cell r="B892" t="str">
            <v>CABO DE COBRE, RIGIDO, CLASSE 2, ISOLACAO EM PVC/A, ANTICHAMA BWF-B, 1 CONDUTOR, 450/750 V, SECAO NOMINAL 70 MM2</v>
          </cell>
          <cell r="C892" t="str">
            <v xml:space="preserve">M     </v>
          </cell>
          <cell r="D892">
            <v>42.1</v>
          </cell>
        </row>
        <row r="893">
          <cell r="A893">
            <v>989</v>
          </cell>
          <cell r="B893" t="str">
            <v>CABO DE COBRE, RIGIDO, CLASSE 2, ISOLACAO EM PVC/A, ANTICHAMA BWF-B, 1 CONDUTOR, 450/750 V, SECAO NOMINAL 95 MM2</v>
          </cell>
          <cell r="C893" t="str">
            <v xml:space="preserve">M     </v>
          </cell>
          <cell r="D893">
            <v>57.03</v>
          </cell>
        </row>
        <row r="894">
          <cell r="A894">
            <v>39598</v>
          </cell>
          <cell r="B894" t="str">
            <v>CABO DE PAR TRANCADO UTP, 4 PARES, CATEGORIA 5E</v>
          </cell>
          <cell r="C894" t="str">
            <v xml:space="preserve">M     </v>
          </cell>
          <cell r="D894">
            <v>1.05</v>
          </cell>
        </row>
        <row r="895">
          <cell r="A895">
            <v>39599</v>
          </cell>
          <cell r="B895" t="str">
            <v>CABO DE PAR TRANCADO UTP, 4 PARES, CATEGORIA 6</v>
          </cell>
          <cell r="C895" t="str">
            <v xml:space="preserve">M     </v>
          </cell>
          <cell r="D895">
            <v>1.59</v>
          </cell>
        </row>
        <row r="896">
          <cell r="A896">
            <v>34602</v>
          </cell>
          <cell r="B896" t="str">
            <v>CABO FLEXIVEL PVC 750 V, 2 CONDUTORES DE 1,5 MM2</v>
          </cell>
          <cell r="C896" t="str">
            <v xml:space="preserve">M     </v>
          </cell>
          <cell r="D896">
            <v>1.22</v>
          </cell>
        </row>
        <row r="897">
          <cell r="A897">
            <v>34603</v>
          </cell>
          <cell r="B897" t="str">
            <v>CABO FLEXIVEL PVC 750 V, 2 CONDUTORES DE 10,0 MM2</v>
          </cell>
          <cell r="C897" t="str">
            <v xml:space="preserve">M     </v>
          </cell>
          <cell r="D897">
            <v>5.88</v>
          </cell>
        </row>
        <row r="898">
          <cell r="A898">
            <v>34607</v>
          </cell>
          <cell r="B898" t="str">
            <v>CABO FLEXIVEL PVC 750 V, 2 CONDUTORES DE 4,0 MM2</v>
          </cell>
          <cell r="C898" t="str">
            <v xml:space="preserve">M     </v>
          </cell>
          <cell r="D898">
            <v>2.62</v>
          </cell>
        </row>
        <row r="899">
          <cell r="A899">
            <v>34609</v>
          </cell>
          <cell r="B899" t="str">
            <v>CABO FLEXIVEL PVC 750 V, 2 CONDUTORES DE 6,0 MM2</v>
          </cell>
          <cell r="C899" t="str">
            <v xml:space="preserve">M     </v>
          </cell>
          <cell r="D899">
            <v>3.93</v>
          </cell>
        </row>
        <row r="900">
          <cell r="A900">
            <v>34618</v>
          </cell>
          <cell r="B900" t="str">
            <v>CABO FLEXIVEL PVC 750 V, 3 CONDUTORES DE 1,5 MM2</v>
          </cell>
          <cell r="C900" t="str">
            <v xml:space="preserve">M     </v>
          </cell>
          <cell r="D900">
            <v>1.62</v>
          </cell>
        </row>
        <row r="901">
          <cell r="A901">
            <v>34620</v>
          </cell>
          <cell r="B901" t="str">
            <v>CABO FLEXIVEL PVC 750 V, 3 CONDUTORES DE 10,0 MM2</v>
          </cell>
          <cell r="C901" t="str">
            <v xml:space="preserve">M     </v>
          </cell>
          <cell r="D901">
            <v>8.11</v>
          </cell>
        </row>
        <row r="902">
          <cell r="A902">
            <v>34621</v>
          </cell>
          <cell r="B902" t="str">
            <v>CABO FLEXIVEL PVC 750 V, 3 CONDUTORES DE 4,0 MM2</v>
          </cell>
          <cell r="C902" t="str">
            <v xml:space="preserve">M     </v>
          </cell>
          <cell r="D902">
            <v>3.76</v>
          </cell>
        </row>
        <row r="903">
          <cell r="A903">
            <v>34622</v>
          </cell>
          <cell r="B903" t="str">
            <v>CABO FLEXIVEL PVC 750 V, 3 CONDUTORES DE 6,0 MM2</v>
          </cell>
          <cell r="C903" t="str">
            <v xml:space="preserve">M     </v>
          </cell>
          <cell r="D903">
            <v>5.33</v>
          </cell>
        </row>
        <row r="904">
          <cell r="A904">
            <v>34624</v>
          </cell>
          <cell r="B904" t="str">
            <v>CABO FLEXIVEL PVC 750 V, 4 CONDUTORES DE 1,5 MM2</v>
          </cell>
          <cell r="C904" t="str">
            <v xml:space="preserve">M     </v>
          </cell>
          <cell r="D904">
            <v>2.0699999999999998</v>
          </cell>
        </row>
        <row r="905">
          <cell r="A905">
            <v>34626</v>
          </cell>
          <cell r="B905" t="str">
            <v>CABO FLEXIVEL PVC 750 V, 4 CONDUTORES DE 10,0 MM2</v>
          </cell>
          <cell r="C905" t="str">
            <v xml:space="preserve">M     </v>
          </cell>
          <cell r="D905">
            <v>11.15</v>
          </cell>
        </row>
        <row r="906">
          <cell r="A906">
            <v>34627</v>
          </cell>
          <cell r="B906" t="str">
            <v>CABO FLEXIVEL PVC 750 V, 4 CONDUTORES DE 4,0 MM2</v>
          </cell>
          <cell r="C906" t="str">
            <v xml:space="preserve">M     </v>
          </cell>
          <cell r="D906">
            <v>4.8</v>
          </cell>
        </row>
        <row r="907">
          <cell r="A907">
            <v>34629</v>
          </cell>
          <cell r="B907" t="str">
            <v>CABO FLEXIVEL PVC 750 V, 4 CONDUTORES DE 6,0 MM2</v>
          </cell>
          <cell r="C907" t="str">
            <v xml:space="preserve">M     </v>
          </cell>
          <cell r="D907">
            <v>7.03</v>
          </cell>
        </row>
        <row r="908">
          <cell r="A908">
            <v>39257</v>
          </cell>
          <cell r="B908" t="str">
            <v>CABO MULTIPOLAR DE COBRE, FLEXIVEL, CLASSE 4 OU 5, ISOLACAO EM HEPR, COBERTURA EM PVC-ST2, ANTICHAMA BWF-B, 0,6/1 KV, 3 CONDUTORES DE 1,5 MM2</v>
          </cell>
          <cell r="C908" t="str">
            <v xml:space="preserve">M     </v>
          </cell>
          <cell r="D908">
            <v>3.98</v>
          </cell>
        </row>
        <row r="909">
          <cell r="A909">
            <v>39261</v>
          </cell>
          <cell r="B909" t="str">
            <v>CABO MULTIPOLAR DE COBRE, FLEXIVEL, CLASSE 4 OU 5, ISOLACAO EM HEPR, COBERTURA EM PVC-ST2, ANTICHAMA BWF-B, 0,6/1 KV, 3 CONDUTORES DE 10 MM2</v>
          </cell>
          <cell r="C909" t="str">
            <v xml:space="preserve">M     </v>
          </cell>
          <cell r="D909">
            <v>21.22</v>
          </cell>
        </row>
        <row r="910">
          <cell r="A910">
            <v>39268</v>
          </cell>
          <cell r="B910" t="str">
            <v>CABO MULTIPOLAR DE COBRE, FLEXIVEL, CLASSE 4 OU 5, ISOLACAO EM HEPR, COBERTURA EM PVC-ST2, ANTICHAMA BWF-B, 0,6/1 KV, 3 CONDUTORES DE 120 MM2</v>
          </cell>
          <cell r="C910" t="str">
            <v xml:space="preserve">M     </v>
          </cell>
          <cell r="D910">
            <v>244.79</v>
          </cell>
        </row>
        <row r="911">
          <cell r="A911">
            <v>39262</v>
          </cell>
          <cell r="B911" t="str">
            <v>CABO MULTIPOLAR DE COBRE, FLEXIVEL, CLASSE 4 OU 5, ISOLACAO EM HEPR, COBERTURA EM PVC-ST2, ANTICHAMA BWF-B, 0,6/1 KV, 3 CONDUTORES DE 16 MM2</v>
          </cell>
          <cell r="C911" t="str">
            <v xml:space="preserve">M     </v>
          </cell>
          <cell r="D911">
            <v>33.17</v>
          </cell>
        </row>
        <row r="912">
          <cell r="A912">
            <v>39258</v>
          </cell>
          <cell r="B912" t="str">
            <v>CABO MULTIPOLAR DE COBRE, FLEXIVEL, CLASSE 4 OU 5, ISOLACAO EM HEPR, COBERTURA EM PVC-ST2, ANTICHAMA BWF-B, 0,6/1 KV, 3 CONDUTORES DE 2,5 MM2</v>
          </cell>
          <cell r="C912" t="str">
            <v xml:space="preserve">M     </v>
          </cell>
          <cell r="D912">
            <v>5.9</v>
          </cell>
        </row>
        <row r="913">
          <cell r="A913">
            <v>39263</v>
          </cell>
          <cell r="B913" t="str">
            <v>CABO MULTIPOLAR DE COBRE, FLEXIVEL, CLASSE 4 OU 5, ISOLACAO EM HEPR, COBERTURA EM PVC-ST2, ANTICHAMA BWF-B, 0,6/1 KV, 3 CONDUTORES DE 25 MM2</v>
          </cell>
          <cell r="C913" t="str">
            <v xml:space="preserve">M     </v>
          </cell>
          <cell r="D913">
            <v>51.32</v>
          </cell>
        </row>
        <row r="914">
          <cell r="A914">
            <v>39264</v>
          </cell>
          <cell r="B914" t="str">
            <v>CABO MULTIPOLAR DE COBRE, FLEXIVEL, CLASSE 4 OU 5, ISOLACAO EM HEPR, COBERTURA EM PVC-ST2, ANTICHAMA BWF-B, 0,6/1 KV, 3 CONDUTORES DE 35 MM2</v>
          </cell>
          <cell r="C914" t="str">
            <v xml:space="preserve">M     </v>
          </cell>
          <cell r="D914">
            <v>69.5</v>
          </cell>
        </row>
        <row r="915">
          <cell r="A915">
            <v>39259</v>
          </cell>
          <cell r="B915" t="str">
            <v>CABO MULTIPOLAR DE COBRE, FLEXIVEL, CLASSE 4 OU 5, ISOLACAO EM HEPR, COBERTURA EM PVC-ST2, ANTICHAMA BWF-B, 0,6/1 KV, 3 CONDUTORES DE 4 MM2</v>
          </cell>
          <cell r="C915" t="str">
            <v xml:space="preserve">M     </v>
          </cell>
          <cell r="D915">
            <v>8.99</v>
          </cell>
        </row>
        <row r="916">
          <cell r="A916">
            <v>39265</v>
          </cell>
          <cell r="B916" t="str">
            <v>CABO MULTIPOLAR DE COBRE, FLEXIVEL, CLASSE 4 OU 5, ISOLACAO EM HEPR, COBERTURA EM PVC-ST2, ANTICHAMA BWF-B, 0,6/1 KV, 3 CONDUTORES DE 50 MM2</v>
          </cell>
          <cell r="C916" t="str">
            <v xml:space="preserve">M     </v>
          </cell>
          <cell r="D916">
            <v>102.38</v>
          </cell>
        </row>
        <row r="917">
          <cell r="A917">
            <v>39260</v>
          </cell>
          <cell r="B917" t="str">
            <v>CABO MULTIPOLAR DE COBRE, FLEXIVEL, CLASSE 4 OU 5, ISOLACAO EM HEPR, COBERTURA EM PVC-ST2, ANTICHAMA BWF-B, 0,6/1 KV, 3 CONDUTORES DE 6 MM2</v>
          </cell>
          <cell r="C917" t="str">
            <v xml:space="preserve">M     </v>
          </cell>
          <cell r="D917">
            <v>12.8</v>
          </cell>
        </row>
        <row r="918">
          <cell r="A918">
            <v>39266</v>
          </cell>
          <cell r="B918" t="str">
            <v>CABO MULTIPOLAR DE COBRE, FLEXIVEL, CLASSE 4 OU 5, ISOLACAO EM HEPR, COBERTURA EM PVC-ST2, ANTICHAMA BWF-B, 0,6/1 KV, 3 CONDUTORES DE 70 MM2</v>
          </cell>
          <cell r="C918" t="str">
            <v xml:space="preserve">M     </v>
          </cell>
          <cell r="D918">
            <v>143.66</v>
          </cell>
        </row>
        <row r="919">
          <cell r="A919">
            <v>39267</v>
          </cell>
          <cell r="B919" t="str">
            <v>CABO MULTIPOLAR DE COBRE, FLEXIVEL, CLASSE 4 OU 5, ISOLACAO EM HEPR, COBERTURA EM PVC-ST2, ANTICHAMA BWF-B, 0,6/1 KV, 3 CONDUTORES DE 95 MM2</v>
          </cell>
          <cell r="C919" t="str">
            <v xml:space="preserve">M     </v>
          </cell>
          <cell r="D919">
            <v>188.31</v>
          </cell>
        </row>
        <row r="920">
          <cell r="A920">
            <v>11901</v>
          </cell>
          <cell r="B920" t="str">
            <v>CABO TELEFONICO CCI 50, 1 PAR, USO INTERNO, SEM BLINDAGEM</v>
          </cell>
          <cell r="C920" t="str">
            <v xml:space="preserve">M     </v>
          </cell>
          <cell r="D920">
            <v>0.64</v>
          </cell>
        </row>
        <row r="921">
          <cell r="A921">
            <v>11902</v>
          </cell>
          <cell r="B921" t="str">
            <v>CABO TELEFONICO CCI 50, 2 PARES, USO INTERNO, SEM BLINDAGEM</v>
          </cell>
          <cell r="C921" t="str">
            <v xml:space="preserve">M     </v>
          </cell>
          <cell r="D921">
            <v>1.1100000000000001</v>
          </cell>
        </row>
        <row r="922">
          <cell r="A922">
            <v>11903</v>
          </cell>
          <cell r="B922" t="str">
            <v>CABO TELEFONICO CCI 50, 3 PARES, USO INTERNO, SEM BLINDAGEM</v>
          </cell>
          <cell r="C922" t="str">
            <v xml:space="preserve">M     </v>
          </cell>
          <cell r="D922">
            <v>1.72</v>
          </cell>
        </row>
        <row r="923">
          <cell r="A923">
            <v>11904</v>
          </cell>
          <cell r="B923" t="str">
            <v>CABO TELEFONICO CCI 50, 4 PARES, USO INTERNO, SEM BLINDAGEM</v>
          </cell>
          <cell r="C923" t="str">
            <v xml:space="preserve">M     </v>
          </cell>
          <cell r="D923">
            <v>2.19</v>
          </cell>
        </row>
        <row r="924">
          <cell r="A924">
            <v>11905</v>
          </cell>
          <cell r="B924" t="str">
            <v>CABO TELEFONICO CCI 50, 5 PARES, USO INTERNO, SEM BLINDAGEM</v>
          </cell>
          <cell r="C924" t="str">
            <v xml:space="preserve">M     </v>
          </cell>
          <cell r="D924">
            <v>2.95</v>
          </cell>
        </row>
        <row r="925">
          <cell r="A925">
            <v>11906</v>
          </cell>
          <cell r="B925" t="str">
            <v>CABO TELEFONICO CCI 50, 6 PARES, USO INTERNO, SEM BLINDAGEM</v>
          </cell>
          <cell r="C925" t="str">
            <v xml:space="preserve">M     </v>
          </cell>
          <cell r="D925">
            <v>3.39</v>
          </cell>
        </row>
        <row r="926">
          <cell r="A926">
            <v>11919</v>
          </cell>
          <cell r="B926" t="str">
            <v>CABO TELEFONICO CI 50, 10 PARES, USO INTERNO</v>
          </cell>
          <cell r="C926" t="str">
            <v xml:space="preserve">M     </v>
          </cell>
          <cell r="D926">
            <v>6.66</v>
          </cell>
        </row>
        <row r="927">
          <cell r="A927">
            <v>11920</v>
          </cell>
          <cell r="B927" t="str">
            <v>CABO TELEFONICO CI 50, 20 PARES, USO INTERNO</v>
          </cell>
          <cell r="C927" t="str">
            <v xml:space="preserve">M     </v>
          </cell>
          <cell r="D927">
            <v>12.91</v>
          </cell>
        </row>
        <row r="928">
          <cell r="A928">
            <v>11924</v>
          </cell>
          <cell r="B928" t="str">
            <v>CABO TELEFONICO CI 50, 200 PARES, USO INTERNO</v>
          </cell>
          <cell r="C928" t="str">
            <v xml:space="preserve">M     </v>
          </cell>
          <cell r="D928">
            <v>125.59</v>
          </cell>
        </row>
        <row r="929">
          <cell r="A929">
            <v>11921</v>
          </cell>
          <cell r="B929" t="str">
            <v>CABO TELEFONICO CI 50, 30 PARES, USO INTERNO</v>
          </cell>
          <cell r="C929" t="str">
            <v xml:space="preserve">M     </v>
          </cell>
          <cell r="D929">
            <v>17.579999999999998</v>
          </cell>
        </row>
        <row r="930">
          <cell r="A930">
            <v>11922</v>
          </cell>
          <cell r="B930" t="str">
            <v>CABO TELEFONICO CI 50, 50 PARES, USO INTERNO</v>
          </cell>
          <cell r="C930" t="str">
            <v xml:space="preserve">M     </v>
          </cell>
          <cell r="D930">
            <v>31.21</v>
          </cell>
        </row>
        <row r="931">
          <cell r="A931">
            <v>11923</v>
          </cell>
          <cell r="B931" t="str">
            <v>CABO TELEFONICO CI 50, 75 PARES, USO INTERNO</v>
          </cell>
          <cell r="C931" t="str">
            <v xml:space="preserve">M     </v>
          </cell>
          <cell r="D931">
            <v>50.98</v>
          </cell>
        </row>
        <row r="932">
          <cell r="A932">
            <v>11916</v>
          </cell>
          <cell r="B932" t="str">
            <v>CABO TELEFONICO CTP - APL - 50, 10 PARES, USO EXTERNO</v>
          </cell>
          <cell r="C932" t="str">
            <v xml:space="preserve">M     </v>
          </cell>
          <cell r="D932">
            <v>8.65</v>
          </cell>
        </row>
        <row r="933">
          <cell r="A933">
            <v>11914</v>
          </cell>
          <cell r="B933" t="str">
            <v>CABO TELEFONICO CTP - APL - 50, 100 PARES, USO EXTERNO</v>
          </cell>
          <cell r="C933" t="str">
            <v xml:space="preserve">M     </v>
          </cell>
          <cell r="D933">
            <v>62.82</v>
          </cell>
        </row>
        <row r="934">
          <cell r="A934">
            <v>11917</v>
          </cell>
          <cell r="B934" t="str">
            <v>CABO TELEFONICO CTP - APL - 50, 20 PARES, USO EXTERNO</v>
          </cell>
          <cell r="C934" t="str">
            <v xml:space="preserve">M     </v>
          </cell>
          <cell r="D934">
            <v>15.06</v>
          </cell>
        </row>
        <row r="935">
          <cell r="A935">
            <v>11918</v>
          </cell>
          <cell r="B935" t="str">
            <v>CABO TELEFONICO CTP - APL - 50, 30 PARES, USO EXTERNO</v>
          </cell>
          <cell r="C935" t="str">
            <v xml:space="preserve">M     </v>
          </cell>
          <cell r="D935">
            <v>20.43</v>
          </cell>
        </row>
        <row r="936">
          <cell r="A936">
            <v>37734</v>
          </cell>
          <cell r="B936" t="str">
            <v>CACAMBA METALICA BASCULANTE COM CAPACIDADE DE 10 M3 (INCLUI MONTAGEM, NAO INCLUI CAMINHAO)</v>
          </cell>
          <cell r="C936" t="str">
            <v xml:space="preserve">UN    </v>
          </cell>
          <cell r="D936">
            <v>45253.13</v>
          </cell>
        </row>
        <row r="937">
          <cell r="A937">
            <v>42251</v>
          </cell>
          <cell r="B937" t="str">
            <v>CACAMBA METALICA BASCULANTE COM CAPACIDADE DE 12 M3 (INCLUI MONTAGEM, NAO INCLUI CAMINHAO)</v>
          </cell>
          <cell r="C937" t="str">
            <v xml:space="preserve">UN    </v>
          </cell>
          <cell r="D937">
            <v>51387.69</v>
          </cell>
        </row>
        <row r="938">
          <cell r="A938">
            <v>37733</v>
          </cell>
          <cell r="B938" t="str">
            <v>CACAMBA METALICA BASCULANTE COM CAPACIDADE DE 6 M3 (INCLUI MONTAGEM, NAO INCLUI CAMINHAO)</v>
          </cell>
          <cell r="C938" t="str">
            <v xml:space="preserve">UN    </v>
          </cell>
          <cell r="D938">
            <v>33930.620000000003</v>
          </cell>
        </row>
        <row r="939">
          <cell r="A939">
            <v>37735</v>
          </cell>
          <cell r="B939" t="str">
            <v>CACAMBA METALICA BASCULANTE COM CAPACIDADE DE 8 M3 (INCLUI MONTAGEM, NAO INCLUI CAMINHAO)</v>
          </cell>
          <cell r="C939" t="str">
            <v xml:space="preserve">UN    </v>
          </cell>
          <cell r="D939">
            <v>40886.400000000001</v>
          </cell>
        </row>
        <row r="940">
          <cell r="A940">
            <v>5090</v>
          </cell>
          <cell r="B940" t="str">
            <v>CADEADO SIMPLES/COMUM, EM LATAO MACICO CROMADO, LARGURA DE 25 MM,  HASTE DE ACO TEMPERADO, CEMENTADO (NAO LONGA), INCLUI 2 CHAVES</v>
          </cell>
          <cell r="C940" t="str">
            <v xml:space="preserve">UN    </v>
          </cell>
          <cell r="D940">
            <v>16.579999999999998</v>
          </cell>
        </row>
        <row r="941">
          <cell r="A941">
            <v>5085</v>
          </cell>
          <cell r="B941" t="str">
            <v>CADEADO SIMPLES, EM LATAO MACICO CROMADO, LARGURA DE 35 MM,  HASTE DE ACO TEMPERADO, CEMENTADO (NAO LONGA), INCLUI 2 CHAVES</v>
          </cell>
          <cell r="C941" t="str">
            <v xml:space="preserve">UN    </v>
          </cell>
          <cell r="D941">
            <v>18.48</v>
          </cell>
        </row>
        <row r="942">
          <cell r="A942">
            <v>38374</v>
          </cell>
          <cell r="B942" t="str">
            <v>CADEIRA SUSPENSA MANUAL / BALANCIM INDIVIDUAL (NBR 14751)</v>
          </cell>
          <cell r="C942" t="str">
            <v xml:space="preserve">UN    </v>
          </cell>
          <cell r="D942">
            <v>869.95</v>
          </cell>
        </row>
        <row r="943">
          <cell r="A943">
            <v>20212</v>
          </cell>
          <cell r="B943" t="str">
            <v>CAIBRO DE MADEIRA APARELHADA *6 X 8* CM, MACARANDUBA, ANGELIM OU EQUIVALENTE DA REGIAO</v>
          </cell>
          <cell r="C943" t="str">
            <v xml:space="preserve">M     </v>
          </cell>
          <cell r="D943">
            <v>9.0399999999999991</v>
          </cell>
        </row>
        <row r="944">
          <cell r="A944">
            <v>4430</v>
          </cell>
          <cell r="B944" t="str">
            <v>CAIBRO DE MADEIRA NAO APARELHADA *5 X 6* CM, MACARANDUBA, ANGELIM OU EQUIVALENTE DA REGIAO</v>
          </cell>
          <cell r="C944" t="str">
            <v xml:space="preserve">M     </v>
          </cell>
          <cell r="D944">
            <v>5.74</v>
          </cell>
        </row>
        <row r="945">
          <cell r="A945">
            <v>4400</v>
          </cell>
          <cell r="B945" t="str">
            <v>CAIBRO DE MADEIRA NAO APARELHADA *6 X 8* CM, MACARANDUBA, ANGELIM OU EQUIVALENTE DA REGIAO</v>
          </cell>
          <cell r="C945" t="str">
            <v xml:space="preserve">M     </v>
          </cell>
          <cell r="D945">
            <v>7.25</v>
          </cell>
        </row>
        <row r="946">
          <cell r="A946">
            <v>4500</v>
          </cell>
          <cell r="B946" t="str">
            <v>CAIBRO DE MADEIRA NAO APARELHADA *7,5 X 10 CM (3 X 4 ") PINUS, MISTA OU EQUIVALENTE DA REGIAO</v>
          </cell>
          <cell r="C946" t="str">
            <v xml:space="preserve">M     </v>
          </cell>
          <cell r="D946">
            <v>18.329999999999998</v>
          </cell>
        </row>
        <row r="947">
          <cell r="A947">
            <v>4513</v>
          </cell>
          <cell r="B947" t="str">
            <v>CAIBRO DE MADEIRA NAO APARELHADA 5 X 5 CM (2 X 2 ") PINUS, MISTA OU EQUIVALENTE DA REGIAO</v>
          </cell>
          <cell r="C947" t="str">
            <v xml:space="preserve">M     </v>
          </cell>
          <cell r="D947">
            <v>4.91</v>
          </cell>
        </row>
        <row r="948">
          <cell r="A948">
            <v>4496</v>
          </cell>
          <cell r="B948" t="str">
            <v>CAIBRO DE MADEIRA NAO APARELHADA 5 X 5 CM, CEDRINHO OU EQUIVALENTE DA REGIAO</v>
          </cell>
          <cell r="C948" t="str">
            <v xml:space="preserve">M     </v>
          </cell>
          <cell r="D948">
            <v>3.89</v>
          </cell>
        </row>
        <row r="949">
          <cell r="A949">
            <v>11871</v>
          </cell>
          <cell r="B949" t="str">
            <v>CAIXA D'AGUA DE FIBRA DE VIDRO, PARA 500 LITROS, COM TAMPA</v>
          </cell>
          <cell r="C949" t="str">
            <v xml:space="preserve">UN    </v>
          </cell>
          <cell r="D949">
            <v>256</v>
          </cell>
        </row>
        <row r="950">
          <cell r="A950">
            <v>34636</v>
          </cell>
          <cell r="B950" t="str">
            <v>CAIXA D'AGUA EM POLIETILENO 1000 LITROS, COM TAMPA</v>
          </cell>
          <cell r="C950" t="str">
            <v xml:space="preserve">UN    </v>
          </cell>
          <cell r="D950">
            <v>295</v>
          </cell>
        </row>
        <row r="951">
          <cell r="A951">
            <v>34639</v>
          </cell>
          <cell r="B951" t="str">
            <v>CAIXA D'AGUA EM POLIETILENO 1500 LITROS, COM TAMPA</v>
          </cell>
          <cell r="C951" t="str">
            <v xml:space="preserve">UN    </v>
          </cell>
          <cell r="D951">
            <v>599.14</v>
          </cell>
        </row>
        <row r="952">
          <cell r="A952">
            <v>34640</v>
          </cell>
          <cell r="B952" t="str">
            <v>CAIXA D'AGUA EM POLIETILENO 2000 LITROS, COM TAMPA</v>
          </cell>
          <cell r="C952" t="str">
            <v xml:space="preserve">UN    </v>
          </cell>
          <cell r="D952">
            <v>672.99</v>
          </cell>
        </row>
        <row r="953">
          <cell r="A953">
            <v>34637</v>
          </cell>
          <cell r="B953" t="str">
            <v>CAIXA D'AGUA EM POLIETILENO 500 LITROS, COM TAMPA</v>
          </cell>
          <cell r="C953" t="str">
            <v xml:space="preserve">UN    </v>
          </cell>
          <cell r="D953">
            <v>169.37</v>
          </cell>
        </row>
        <row r="954">
          <cell r="A954">
            <v>34638</v>
          </cell>
          <cell r="B954" t="str">
            <v>CAIXA D'AGUA EM POLIETILENO 750 LITROS, COM TAMPA</v>
          </cell>
          <cell r="C954" t="str">
            <v xml:space="preserve">UN    </v>
          </cell>
          <cell r="D954">
            <v>290.45</v>
          </cell>
        </row>
        <row r="955">
          <cell r="A955">
            <v>11868</v>
          </cell>
          <cell r="B955" t="str">
            <v>CAIXA D'AGUA FIBRA DE VIDRO PARA 1000 LITROS, COM TAMPA</v>
          </cell>
          <cell r="C955" t="str">
            <v xml:space="preserve">UN    </v>
          </cell>
          <cell r="D955">
            <v>351.84</v>
          </cell>
        </row>
        <row r="956">
          <cell r="A956">
            <v>37106</v>
          </cell>
          <cell r="B956" t="str">
            <v>CAIXA D'AGUA FIBRA DE VIDRO PARA 10000 LITROS, COM TAMPA</v>
          </cell>
          <cell r="C956" t="str">
            <v xml:space="preserve">UN    </v>
          </cell>
          <cell r="D956">
            <v>3398.34</v>
          </cell>
        </row>
        <row r="957">
          <cell r="A957">
            <v>11869</v>
          </cell>
          <cell r="B957" t="str">
            <v>CAIXA D'AGUA FIBRA DE VIDRO PARA 1500 LITROS, COM TAMPA</v>
          </cell>
          <cell r="C957" t="str">
            <v xml:space="preserve">UN    </v>
          </cell>
          <cell r="D957">
            <v>570.85</v>
          </cell>
        </row>
        <row r="958">
          <cell r="A958">
            <v>37104</v>
          </cell>
          <cell r="B958" t="str">
            <v>CAIXA D'AGUA FIBRA DE VIDRO PARA 2000 LITROS, COM TAMPA</v>
          </cell>
          <cell r="C958" t="str">
            <v xml:space="preserve">UN    </v>
          </cell>
          <cell r="D958">
            <v>735.86</v>
          </cell>
        </row>
        <row r="959">
          <cell r="A959">
            <v>37105</v>
          </cell>
          <cell r="B959" t="str">
            <v>CAIXA D'AGUA FIBRA DE VIDRO PARA 5000 LITROS, COM TAMPA</v>
          </cell>
          <cell r="C959" t="str">
            <v xml:space="preserve">UN    </v>
          </cell>
          <cell r="D959">
            <v>1638.87</v>
          </cell>
        </row>
        <row r="960">
          <cell r="A960">
            <v>34641</v>
          </cell>
          <cell r="B960" t="str">
            <v>CAIXA DE ATERRAMENTO EM CONCRETO PRÃ-MOLDADO, DIAMETRO DE 0,30 M E ALTURA DE 0,35 M, SEM FUNDO E COM TAMPA</v>
          </cell>
          <cell r="C960" t="str">
            <v xml:space="preserve">UN    </v>
          </cell>
          <cell r="D960">
            <v>57.08</v>
          </cell>
        </row>
        <row r="961">
          <cell r="A961">
            <v>43434</v>
          </cell>
          <cell r="B961" t="str">
            <v>CAIXA DE CONCRETO ARMADO PRÉ-MOLDADO, COM FUNDO, DIMENSOES DE 0,30 X 0,30 X 0,30 M</v>
          </cell>
          <cell r="C961" t="str">
            <v xml:space="preserve">UN    </v>
          </cell>
          <cell r="D961">
            <v>61.71</v>
          </cell>
        </row>
        <row r="962">
          <cell r="A962">
            <v>43435</v>
          </cell>
          <cell r="B962" t="str">
            <v>CAIXA DE CONCRETO ARMADO PRÉ-MOLDADO, COM FUNDO, DIMENSOES DE 0,40 X 0,40 X 0,40 M</v>
          </cell>
          <cell r="C962" t="str">
            <v xml:space="preserve">UN    </v>
          </cell>
          <cell r="D962">
            <v>113.14</v>
          </cell>
        </row>
        <row r="963">
          <cell r="A963">
            <v>43436</v>
          </cell>
          <cell r="B963" t="str">
            <v>CAIXA DE CONCRETO ARMADO PRÉ-MOLDADO, COM FUNDO, DIMENSOES DE 0,60 X 0,60 X 0,50 M</v>
          </cell>
          <cell r="C963" t="str">
            <v xml:space="preserve">UN    </v>
          </cell>
          <cell r="D963">
            <v>198</v>
          </cell>
        </row>
        <row r="964">
          <cell r="A964">
            <v>43437</v>
          </cell>
          <cell r="B964" t="str">
            <v>CAIXA DE CONCRETO ARMADO PRÉ-MOLDADO, COM FUNDO, DIMENSOES DE 0,80 X 0,80 X 0,50 M</v>
          </cell>
          <cell r="C964" t="str">
            <v xml:space="preserve">UN    </v>
          </cell>
          <cell r="D964">
            <v>358.97</v>
          </cell>
        </row>
        <row r="965">
          <cell r="A965">
            <v>43438</v>
          </cell>
          <cell r="B965" t="str">
            <v>CAIXA DE CONCRETO ARMADO PRÉ-MOLDADO, COM FUNDO, DIMENSOES DE 1,00 X 1,00 X 0,50 M</v>
          </cell>
          <cell r="C965" t="str">
            <v xml:space="preserve">UN    </v>
          </cell>
          <cell r="D965">
            <v>642.85</v>
          </cell>
        </row>
        <row r="966">
          <cell r="A966">
            <v>43429</v>
          </cell>
          <cell r="B966" t="str">
            <v>CAIXA DE CONCRETO ARMADO PRÉ-MOLDADO, SEM FUNDO, DIMENSOES DE 0,30 X 0,30 X 0,30 M</v>
          </cell>
          <cell r="C966" t="str">
            <v xml:space="preserve">UN    </v>
          </cell>
          <cell r="D966">
            <v>49.22</v>
          </cell>
        </row>
        <row r="967">
          <cell r="A967">
            <v>43430</v>
          </cell>
          <cell r="B967" t="str">
            <v>CAIXA DE CONCRETO ARMADO PRÉ-MOLDADO, SEM FUNDO, DIMENSOES DE 0,40 X 0,40 X 0,40 M</v>
          </cell>
          <cell r="C967" t="str">
            <v xml:space="preserve">UN    </v>
          </cell>
          <cell r="D967">
            <v>81.77</v>
          </cell>
        </row>
        <row r="968">
          <cell r="A968">
            <v>43431</v>
          </cell>
          <cell r="B968" t="str">
            <v>CAIXA DE CONCRETO ARMADO PRÉ-MOLDADO, SEM FUNDO, DIMENSOES DE 0,60 X 0,60 X 0,50 M</v>
          </cell>
          <cell r="C968" t="str">
            <v xml:space="preserve">UN    </v>
          </cell>
          <cell r="D968">
            <v>158.38999999999999</v>
          </cell>
        </row>
        <row r="969">
          <cell r="A969">
            <v>43432</v>
          </cell>
          <cell r="B969" t="str">
            <v>CAIXA DE CONCRETO ARMADO PRÉ-MOLDADO, SEM FUNDO, DIMENSOES DE 0,80 X 0,80 X 0,50 M</v>
          </cell>
          <cell r="C969" t="str">
            <v xml:space="preserve">UN    </v>
          </cell>
          <cell r="D969">
            <v>329.14</v>
          </cell>
        </row>
        <row r="970">
          <cell r="A970">
            <v>43433</v>
          </cell>
          <cell r="B970" t="str">
            <v>CAIXA DE CONCRETO ARMADO PRÉ-MOLDADO, SEM FUNDO, DIMENSOES DE 1,00 X 1,00 X 0,50 M</v>
          </cell>
          <cell r="C970" t="str">
            <v xml:space="preserve">UN    </v>
          </cell>
          <cell r="D970">
            <v>518.91</v>
          </cell>
        </row>
        <row r="971">
          <cell r="A971">
            <v>43094</v>
          </cell>
          <cell r="B971" t="str">
            <v>CAIXA DE DERIVACAO PARA MEDIDOR DE ENERGIA, COM BARRAMENTO MONOFASICO, EM POLICARBONATO / TERMOPLASTICO - MODULO (PADRAO CONCESSIONARIA LOCAL)</v>
          </cell>
          <cell r="C971" t="str">
            <v xml:space="preserve">UN    </v>
          </cell>
          <cell r="D971">
            <v>190.58</v>
          </cell>
        </row>
        <row r="972">
          <cell r="A972">
            <v>43093</v>
          </cell>
          <cell r="B972" t="str">
            <v>CAIXA DE DERIVACAO PARA MEDIDOR DE ENERGIA, COM BARRAMENTO POLIFASICO, EM POLICARBONATO / TERMOPLASTICO - MODULO (PADRAO CONCESSIONARIA LOCAL)</v>
          </cell>
          <cell r="C972" t="str">
            <v xml:space="preserve">UN    </v>
          </cell>
          <cell r="D972">
            <v>202.53</v>
          </cell>
        </row>
        <row r="973">
          <cell r="A973">
            <v>1030</v>
          </cell>
          <cell r="B973" t="str">
            <v>CAIXA DE DESCARGA DE PLASTICO EXTERNA, DE *9* L, PUXADOR FIO DE NYLON, NAO INCLUSO CANO, BOLSA, ENGATE</v>
          </cell>
          <cell r="C973" t="str">
            <v xml:space="preserve">UN    </v>
          </cell>
          <cell r="D973">
            <v>33.950000000000003</v>
          </cell>
        </row>
        <row r="974">
          <cell r="A974">
            <v>11694</v>
          </cell>
          <cell r="B974" t="str">
            <v>CAIXA DE DESCARGA PLASTICA DE EMBUTIR COMPLETA, COM ESPELHO PLASTICO, CAPACIDADE 6 A 10 L, ACESSORIOS INCLUSOS</v>
          </cell>
          <cell r="C974" t="str">
            <v xml:space="preserve">UN    </v>
          </cell>
          <cell r="D974">
            <v>750.47</v>
          </cell>
        </row>
        <row r="975">
          <cell r="A975">
            <v>11881</v>
          </cell>
          <cell r="B975" t="str">
            <v>CAIXA DE GORDURA CILINDRICA EM CONCRETO SIMPLES,  PRE-MOLDADA, COM DIAMETRO DE 40 CM E ALTURA DE 45 CM, COM TAMPA</v>
          </cell>
          <cell r="C975" t="str">
            <v xml:space="preserve">UN    </v>
          </cell>
          <cell r="D975">
            <v>87.42</v>
          </cell>
        </row>
        <row r="976">
          <cell r="A976">
            <v>35277</v>
          </cell>
          <cell r="B976" t="str">
            <v>CAIXA DE GORDURA EM PVC, DIAMETRO MINIMO 300 MM, DIAMETRO DE SAIDA 100 MM, CAPACIDADE  APROXIMADA 18 LITROS, COM TAMPA</v>
          </cell>
          <cell r="C976" t="str">
            <v xml:space="preserve">UN    </v>
          </cell>
          <cell r="D976">
            <v>381.03</v>
          </cell>
        </row>
        <row r="977">
          <cell r="A977">
            <v>10521</v>
          </cell>
          <cell r="B977" t="str">
            <v>CAIXA DE INCENDIO/ABRIGO PARA MANGUEIRA, DE EMBUTIR/INTERNA, COM 75 X 45 X 17 CM, EM CHAPA DE ACO, PORTA COM VENTILACAO, VISOR COM A INSCRICAO "INCENDIO", SUPORTE/CESTA INTERNA PARA A MANGUEIRA, PINTURA ELETROSTATICA VERMELHA</v>
          </cell>
          <cell r="C977" t="str">
            <v xml:space="preserve">UN    </v>
          </cell>
          <cell r="D977">
            <v>228.13</v>
          </cell>
        </row>
        <row r="978">
          <cell r="A978">
            <v>10885</v>
          </cell>
          <cell r="B978" t="str">
            <v>CAIXA DE INCENDIO/ABRIGO PARA MANGUEIRA, DE EMBUTIR/INTERNA, COM 90 X 60 X 17 CM, EM CHAPA DE ACO, PORTA COM VENTILACAO, VISOR COM A INSCRICAO "INCENDIO", SUPORTE/CESTA INTERNA PARA A MANGUEIRA, PINTURA ELETROSTATICA VERMELHA</v>
          </cell>
          <cell r="C978" t="str">
            <v xml:space="preserve">UN    </v>
          </cell>
          <cell r="D978">
            <v>288.56</v>
          </cell>
        </row>
        <row r="979">
          <cell r="A979">
            <v>20962</v>
          </cell>
          <cell r="B979" t="str">
            <v>CAIXA DE INCENDIO/ABRIGO PARA MANGUEIRA, DE SOBREPOR/EXTERNA, COM 75 X 45 X 17 CM, EM CHAPA DE ACO, PORTA COM VENTILACAO, VISOR COM A INSCRICAO "INCENDIO", SUPORTE/CESTA INTERNA PARA A MANGUEIRA, PINTURA ELETROSTATICA VERMELHA</v>
          </cell>
          <cell r="C979" t="str">
            <v xml:space="preserve">UN    </v>
          </cell>
          <cell r="D979">
            <v>239</v>
          </cell>
        </row>
        <row r="980">
          <cell r="A980">
            <v>20963</v>
          </cell>
          <cell r="B980" t="str">
            <v>CAIXA DE INCENDIO/ABRIGO PARA MANGUEIRA, DE SOBREPOR/EXTERNA, COM 90 X 60 X 17 CM, EM CHAPA DE ACO, PORTA COM VENTILACAO, VISOR COM A INSCRICAO "INCENDIO", SUPORTE/CESTA INTERNA PARA A MANGUEIRA, PINTURA ELETROSTATICA VERMELHA</v>
          </cell>
          <cell r="C980" t="str">
            <v xml:space="preserve">UN    </v>
          </cell>
          <cell r="D980">
            <v>291.95999999999998</v>
          </cell>
        </row>
        <row r="981">
          <cell r="A981">
            <v>41627</v>
          </cell>
          <cell r="B981" t="str">
            <v>CAIXA DE INSPECAO, CONCRETO PRE MOLDADO, QUADRADA, COM TAMPA, 30 X 30 CM (L X H), E = *3* CM</v>
          </cell>
          <cell r="C981" t="str">
            <v xml:space="preserve">UN    </v>
          </cell>
          <cell r="D981">
            <v>95.14</v>
          </cell>
        </row>
        <row r="982">
          <cell r="A982">
            <v>41628</v>
          </cell>
          <cell r="B982" t="str">
            <v>CAIXA DE INSPECAO, CONCRETO PRE MOLDADO, QUADRADA, COM TAMPA, 40 X 40 CM (L X H), E = 3 CM</v>
          </cell>
          <cell r="C982" t="str">
            <v xml:space="preserve">UN    </v>
          </cell>
          <cell r="D982">
            <v>174.85</v>
          </cell>
        </row>
        <row r="983">
          <cell r="A983">
            <v>41629</v>
          </cell>
          <cell r="B983" t="str">
            <v>CAIXA DE INSPECAO, CONCRETO PRE MOLDADO, QUADRADA, COM TAMPA, 60 X 60 CM (L X H), E = 5 CM</v>
          </cell>
          <cell r="C983" t="str">
            <v xml:space="preserve">UN    </v>
          </cell>
          <cell r="D983">
            <v>222.17</v>
          </cell>
        </row>
        <row r="984">
          <cell r="A984">
            <v>2555</v>
          </cell>
          <cell r="B984" t="str">
            <v>CAIXA DE LUZ "3 X 3" EM ACO ESMALTADA</v>
          </cell>
          <cell r="C984" t="str">
            <v xml:space="preserve">UN    </v>
          </cell>
          <cell r="D984">
            <v>1.24</v>
          </cell>
        </row>
        <row r="985">
          <cell r="A985">
            <v>2556</v>
          </cell>
          <cell r="B985" t="str">
            <v>CAIXA DE LUZ "4 X 2" EM ACO ESMALTADA</v>
          </cell>
          <cell r="C985" t="str">
            <v xml:space="preserve">UN    </v>
          </cell>
          <cell r="D985">
            <v>1.28</v>
          </cell>
        </row>
        <row r="986">
          <cell r="A986">
            <v>2557</v>
          </cell>
          <cell r="B986" t="str">
            <v>CAIXA DE LUZ "4 X 4" EM ACO ESMALTADA</v>
          </cell>
          <cell r="C986" t="str">
            <v xml:space="preserve">UN    </v>
          </cell>
          <cell r="D986">
            <v>2.71</v>
          </cell>
        </row>
        <row r="987">
          <cell r="A987">
            <v>10569</v>
          </cell>
          <cell r="B987" t="str">
            <v>CAIXA DE PASSAGEM / DERIVACAO / LUZ, OCTOGONAL 4 X4, EM ACO ESMALTADA, COM FUNDO MOVEL SIMPLES (FMS)</v>
          </cell>
          <cell r="C987" t="str">
            <v xml:space="preserve">UN    </v>
          </cell>
          <cell r="D987">
            <v>2.71</v>
          </cell>
        </row>
        <row r="988">
          <cell r="A988">
            <v>39810</v>
          </cell>
          <cell r="B988" t="str">
            <v>CAIXA DE PASSAGEM ELETRICA DE PAREDE, DE EMBUTIR, EM PVC, COM TAMPA APARAFUSADA, DIMENSOES 120 X 120 X *75* MM</v>
          </cell>
          <cell r="C988" t="str">
            <v xml:space="preserve">UN    </v>
          </cell>
          <cell r="D988">
            <v>25.72</v>
          </cell>
        </row>
        <row r="989">
          <cell r="A989">
            <v>39811</v>
          </cell>
          <cell r="B989" t="str">
            <v>CAIXA DE PASSAGEM ELETRICA DE PAREDE, DE EMBUTIR, EM PVC, COM TAMPA APARAFUSADA, DIMENSOES 150 X 150 X *75* MM</v>
          </cell>
          <cell r="C989" t="str">
            <v xml:space="preserve">UN    </v>
          </cell>
          <cell r="D989">
            <v>31.46</v>
          </cell>
        </row>
        <row r="990">
          <cell r="A990">
            <v>39812</v>
          </cell>
          <cell r="B990" t="str">
            <v>CAIXA DE PASSAGEM ELETRICA DE PAREDE, DE EMBUTIR, EM PVC, COM TAMPA APARAFUSADA, DIMENSOES 200 X 200 X *90* MM</v>
          </cell>
          <cell r="C990" t="str">
            <v xml:space="preserve">UN    </v>
          </cell>
          <cell r="D990">
            <v>51.73</v>
          </cell>
        </row>
        <row r="991">
          <cell r="A991">
            <v>43096</v>
          </cell>
          <cell r="B991" t="str">
            <v>CAIXA DE PASSAGEM ELETRICA DE PAREDE, DE EMBUTIR, EM TERMOPLASTICO / PVC, COM TAMPA APARAFUSADA, DIMENSOES 400 X 400 X *120* MM</v>
          </cell>
          <cell r="C991" t="str">
            <v xml:space="preserve">UN    </v>
          </cell>
          <cell r="D991">
            <v>171.46</v>
          </cell>
        </row>
        <row r="992">
          <cell r="A992">
            <v>43102</v>
          </cell>
          <cell r="B992" t="str">
            <v>CAIXA DE PASSAGEM ELETRICA DE PAREDE, DE SOBREPOR, EM PVC, COM TAMPA APARAFUSADA, DIMENSOES 300 X 300 X *100* MM</v>
          </cell>
          <cell r="C992" t="str">
            <v xml:space="preserve">UN    </v>
          </cell>
          <cell r="D992">
            <v>104.26</v>
          </cell>
        </row>
        <row r="993">
          <cell r="A993">
            <v>43103</v>
          </cell>
          <cell r="B993" t="str">
            <v>CAIXA DE PASSAGEM ELETRICA DE PAREDE, DE SOBREPOR, EM PVC, COM TAMPA APARAFUSADA, DIMENSOES, 400 X 400 X *120* MM</v>
          </cell>
          <cell r="C993" t="str">
            <v xml:space="preserve">UN    </v>
          </cell>
          <cell r="D993">
            <v>153.52000000000001</v>
          </cell>
        </row>
        <row r="994">
          <cell r="A994">
            <v>43098</v>
          </cell>
          <cell r="B994" t="str">
            <v>CAIXA DE PASSAGEM ELETRICA DE PAREDE, DE SOBREPOR, EM TERMOPLASTICO / PVC, COM TAMPA APARAFUSA, DIMENSOES 200 X 200 X *100* MM</v>
          </cell>
          <cell r="C994" t="str">
            <v xml:space="preserve">UN    </v>
          </cell>
          <cell r="D994">
            <v>58.08</v>
          </cell>
        </row>
        <row r="995">
          <cell r="A995">
            <v>43097</v>
          </cell>
          <cell r="B995" t="str">
            <v>CAIXA DE PASSAGEM ELETRICA DE PAREDE, DE SOBREPOR, EM TERMOPLASTICO / PVC, COM TAMPA APARAFUSADA, DIMENSOES, 150 X 150 X *100* MM</v>
          </cell>
          <cell r="C995" t="str">
            <v xml:space="preserve">UN    </v>
          </cell>
          <cell r="D995">
            <v>34.409999999999997</v>
          </cell>
        </row>
        <row r="996">
          <cell r="A996">
            <v>43104</v>
          </cell>
          <cell r="B996" t="str">
            <v>CAIXA DE PASSAGEM ELETRICA, PARA PISO, EM PVC, DIMENSOES DE 3/4" A 4"</v>
          </cell>
          <cell r="C996" t="str">
            <v xml:space="preserve">UN    </v>
          </cell>
          <cell r="D996">
            <v>407.03</v>
          </cell>
        </row>
        <row r="997">
          <cell r="A997">
            <v>39771</v>
          </cell>
          <cell r="B997" t="str">
            <v>CAIXA DE PASSAGEM METALICA DE SOBREPOR COM TAMPA PARAFUSADA, DIMENSOES 20 X 20 X 10 CM</v>
          </cell>
          <cell r="C997" t="str">
            <v xml:space="preserve">UN    </v>
          </cell>
          <cell r="D997">
            <v>26.1</v>
          </cell>
        </row>
        <row r="998">
          <cell r="A998">
            <v>39772</v>
          </cell>
          <cell r="B998" t="str">
            <v>CAIXA DE PASSAGEM METALICA DE SOBREPOR COM TAMPA PARAFUSADA, DIMENSOES 30 X 30 X 10 CM</v>
          </cell>
          <cell r="C998" t="str">
            <v xml:space="preserve">UN    </v>
          </cell>
          <cell r="D998">
            <v>51.31</v>
          </cell>
        </row>
        <row r="999">
          <cell r="A999">
            <v>39773</v>
          </cell>
          <cell r="B999" t="str">
            <v>CAIXA DE PASSAGEM METALICA DE SOBREPOR COM TAMPA PARAFUSADA, DIMENSOES 40 X 40 X 15 CM</v>
          </cell>
          <cell r="C999" t="str">
            <v xml:space="preserve">UN    </v>
          </cell>
          <cell r="D999">
            <v>82.47</v>
          </cell>
        </row>
        <row r="1000">
          <cell r="A1000">
            <v>39774</v>
          </cell>
          <cell r="B1000" t="str">
            <v>CAIXA DE PASSAGEM METALICA DE SOBREPOR COM TAMPA PARAFUSADA, DIMENSOES 50 X 50 X 15 CM</v>
          </cell>
          <cell r="C1000" t="str">
            <v xml:space="preserve">UN    </v>
          </cell>
          <cell r="D1000">
            <v>123.36</v>
          </cell>
        </row>
        <row r="1001">
          <cell r="A1001">
            <v>39775</v>
          </cell>
          <cell r="B1001" t="str">
            <v>CAIXA DE PASSAGEM METALICA DE SOBREPOR COM TAMPA PARAFUSADA, DIMENSOES 60 X 60 X 20 CM</v>
          </cell>
          <cell r="C1001" t="str">
            <v xml:space="preserve">UN    </v>
          </cell>
          <cell r="D1001">
            <v>164.65</v>
          </cell>
        </row>
        <row r="1002">
          <cell r="A1002">
            <v>39776</v>
          </cell>
          <cell r="B1002" t="str">
            <v>CAIXA DE PASSAGEM METALICA DE SOBREPOR COM TAMPA PARAFUSADA, DIMENSOES 70 X 70 X 20 CM</v>
          </cell>
          <cell r="C1002" t="str">
            <v xml:space="preserve">UN    </v>
          </cell>
          <cell r="D1002">
            <v>198.98</v>
          </cell>
        </row>
        <row r="1003">
          <cell r="A1003">
            <v>39777</v>
          </cell>
          <cell r="B1003" t="str">
            <v>CAIXA DE PASSAGEM METALICA DE SOBREPOR COM TAMPA PARAFUSADA, DIMENSOES 80 X 80 X 20 CM</v>
          </cell>
          <cell r="C1003" t="str">
            <v xml:space="preserve">UN    </v>
          </cell>
          <cell r="D1003">
            <v>252.2</v>
          </cell>
        </row>
        <row r="1004">
          <cell r="A1004">
            <v>20254</v>
          </cell>
          <cell r="B1004" t="str">
            <v>CAIXA DE PASSAGEM METALICA, DE SOBREPOR, COM TAMPA APARAFUSADA, DIMENSOES 15 X 15 X *10* CM</v>
          </cell>
          <cell r="C1004" t="str">
            <v xml:space="preserve">UN    </v>
          </cell>
          <cell r="D1004">
            <v>18.3</v>
          </cell>
        </row>
        <row r="1005">
          <cell r="A1005">
            <v>20253</v>
          </cell>
          <cell r="B1005" t="str">
            <v>CAIXA DE PASSAGEM METALICA, DE SOBREPOR, COM TAMPA APARAFUSADA, DIMENSOES 35 X 35 X *12* CM</v>
          </cell>
          <cell r="C1005" t="str">
            <v xml:space="preserve">UN    </v>
          </cell>
          <cell r="D1005">
            <v>60.11</v>
          </cell>
        </row>
        <row r="1006">
          <cell r="A1006">
            <v>11247</v>
          </cell>
          <cell r="B1006" t="str">
            <v>CAIXA DE PASSAGEM/ LUZ / TELEFONIA, DE EMBUTIR,  EM CHAPA DE ACO GALVANIZADO, DIMENSOES 150 X 150 X 15 CM (PADRAO CONCESSIONARIA LOCAL)</v>
          </cell>
          <cell r="C1006" t="str">
            <v xml:space="preserve">UN    </v>
          </cell>
          <cell r="D1006">
            <v>1155.83</v>
          </cell>
        </row>
        <row r="1007">
          <cell r="A1007">
            <v>11250</v>
          </cell>
          <cell r="B1007" t="str">
            <v>CAIXA DE PASSAGEM/ LUZ / TELEFONIA, DE EMBUTIR,  EM CHAPA DE ACO GALVANIZADO, DIMENSOES 20 X 20 X *12* CM (PADRAO CONCESSIONARIA LOCAL)</v>
          </cell>
          <cell r="C1007" t="str">
            <v xml:space="preserve">UN    </v>
          </cell>
          <cell r="D1007">
            <v>49.76</v>
          </cell>
        </row>
        <row r="1008">
          <cell r="A1008">
            <v>11249</v>
          </cell>
          <cell r="B1008" t="str">
            <v>CAIXA DE PASSAGEM/ LUZ / TELEFONIA, DE EMBUTIR,  EM CHAPA DE ACO GALVANIZADO, DIMENSOES 200 X 200 X 20 CM (PADRAO CONCESSIONARIA LOCAL)</v>
          </cell>
          <cell r="C1008" t="str">
            <v xml:space="preserve">UN    </v>
          </cell>
          <cell r="D1008">
            <v>2257.7399999999998</v>
          </cell>
        </row>
        <row r="1009">
          <cell r="A1009">
            <v>11251</v>
          </cell>
          <cell r="B1009" t="str">
            <v>CAIXA DE PASSAGEM/ LUZ / TELEFONIA, DE EMBUTIR,  EM CHAPA DE ACO GALVANIZADO, DIMENSOES 40 X 40 X *12* CM (PADRAO CONCESSIONARIA LOCAL)</v>
          </cell>
          <cell r="C1009" t="str">
            <v xml:space="preserve">UN    </v>
          </cell>
          <cell r="D1009">
            <v>110.22</v>
          </cell>
        </row>
        <row r="1010">
          <cell r="A1010">
            <v>11253</v>
          </cell>
          <cell r="B1010" t="str">
            <v>CAIXA DE PASSAGEM/ LUZ / TELEFONIA, DE EMBUTIR,  EM CHAPA DE ACO GALVANIZADO, DIMENSOES 60 X 60 X *12* CM (PADRAO CONCESSIONARIA LOCAL)</v>
          </cell>
          <cell r="C1010" t="str">
            <v xml:space="preserve">UN    </v>
          </cell>
          <cell r="D1010">
            <v>182.65</v>
          </cell>
        </row>
        <row r="1011">
          <cell r="A1011">
            <v>11255</v>
          </cell>
          <cell r="B1011" t="str">
            <v>CAIXA DE PASSAGEM/ LUZ / TELEFONIA, DE EMBUTIR,  EM CHAPA DE ACO GALVANIZADO, DIMENSOES 80 X 80 X *12* CM (PADRAO CONCESSIONARIA LOCAL)</v>
          </cell>
          <cell r="C1011" t="str">
            <v xml:space="preserve">UN    </v>
          </cell>
          <cell r="D1011">
            <v>273.05</v>
          </cell>
        </row>
        <row r="1012">
          <cell r="A1012">
            <v>14055</v>
          </cell>
          <cell r="B1012" t="str">
            <v>CAIXA DE PASSAGEM/ LUZ / TELEFONIA, DE EMBUTIR, EM CHAPA DE ACO GALVANIZADO, DIMENSOES 120 X 120 X *12* CM (PADRAO CONCESSIONARIA LOCAL)</v>
          </cell>
          <cell r="C1012" t="str">
            <v xml:space="preserve">UN    </v>
          </cell>
          <cell r="D1012">
            <v>549.29</v>
          </cell>
        </row>
        <row r="1013">
          <cell r="A1013">
            <v>11256</v>
          </cell>
          <cell r="B1013" t="str">
            <v>CAIXA DE PASSAGEM/ LUZ / TELEFONIA, DE SOBREPOR,  EM CHAPA DE ACO GALVANIZADO, DIMENSOES 80 X 80 X *12* CM (PADRAO CONCESSIONARIA LOCAL)</v>
          </cell>
          <cell r="C1013" t="str">
            <v xml:space="preserve">UN    </v>
          </cell>
          <cell r="D1013">
            <v>342.03</v>
          </cell>
        </row>
        <row r="1014">
          <cell r="A1014">
            <v>1872</v>
          </cell>
          <cell r="B1014" t="str">
            <v>CAIXA DE PASSAGEM, EM PVC, DE 4" X 2", PARA ELETRODUTO FLEXIVEL CORRUGADO</v>
          </cell>
          <cell r="C1014" t="str">
            <v xml:space="preserve">UN    </v>
          </cell>
          <cell r="D1014">
            <v>1.64</v>
          </cell>
        </row>
        <row r="1015">
          <cell r="A1015">
            <v>1873</v>
          </cell>
          <cell r="B1015" t="str">
            <v>CAIXA DE PASSAGEM, EM PVC, DE 4" X 4", PARA ELETRODUTO FLEXIVEL CORRUGADO</v>
          </cell>
          <cell r="C1015" t="str">
            <v xml:space="preserve">UN    </v>
          </cell>
          <cell r="D1015">
            <v>3.26</v>
          </cell>
        </row>
        <row r="1016">
          <cell r="A1016">
            <v>39693</v>
          </cell>
          <cell r="B1016" t="str">
            <v>CAIXA DE PROTECAO EXTERNA PARA MEDIDOR HOROSAZONAL, DE BAIXA TENSAO, COM MODULO, EM CHAPA DE ACO (PADRAO DA CONCESSIONARIA LOCAL)</v>
          </cell>
          <cell r="C1016" t="str">
            <v xml:space="preserve">UN    </v>
          </cell>
          <cell r="D1016">
            <v>2148.11</v>
          </cell>
        </row>
        <row r="1017">
          <cell r="A1017">
            <v>39692</v>
          </cell>
          <cell r="B1017" t="str">
            <v>CAIXA DE PROTECAO PARA TRANSFORMADOR CORRENTE, EM CHAPA DE ACO 18 USG (PADRAO DA CONCESSIONARIA LOCAL)</v>
          </cell>
          <cell r="C1017" t="str">
            <v xml:space="preserve">UN    </v>
          </cell>
          <cell r="D1017">
            <v>687.35</v>
          </cell>
        </row>
        <row r="1018">
          <cell r="A1018">
            <v>34643</v>
          </cell>
          <cell r="B1018" t="str">
            <v>CAIXA INSPECAO EM POLIETILENO PARA ATERRAMENTO E PARA RAIOS DIAMETRO = 300 MM</v>
          </cell>
          <cell r="C1018" t="str">
            <v xml:space="preserve">UN    </v>
          </cell>
          <cell r="D1018">
            <v>12.33</v>
          </cell>
        </row>
        <row r="1019">
          <cell r="A1019">
            <v>1062</v>
          </cell>
          <cell r="B1019" t="str">
            <v>CAIXA INTERNA/EXTERNA DE MEDICAO PARA 1 MEDIDOR TRIFASICO, COM VISOR, EM CHAPA DE ACO 18 USG (PADRAO DA CONCESSIONARIA LOCAL)</v>
          </cell>
          <cell r="C1019" t="str">
            <v xml:space="preserve">UN    </v>
          </cell>
          <cell r="D1019">
            <v>217.83</v>
          </cell>
        </row>
        <row r="1020">
          <cell r="A1020">
            <v>39686</v>
          </cell>
          <cell r="B1020" t="str">
            <v>CAIXA INTERNA/EXTERNA DE MEDICAO PARA 4 MEDIDORES MONOFASICOS, COM VISOR, EM CHAPA DE ACO 18 USG (PADRAO DA CONCESSIONARIA LOCAL)</v>
          </cell>
          <cell r="C1020" t="str">
            <v xml:space="preserve">UN    </v>
          </cell>
          <cell r="D1020">
            <v>352.71</v>
          </cell>
        </row>
        <row r="1021">
          <cell r="A1021">
            <v>43095</v>
          </cell>
          <cell r="B1021" t="str">
            <v>CAIXA MODULAR PARA MEDIDOR DE ENERGIA AGRUPADA, EM POLICARBONATO /  TERMOPLASTICO, COM SUPORTE PARA DISJUNTOR (PADRAO DA CONCESSIONARIA LOCAL)</v>
          </cell>
          <cell r="C1021" t="str">
            <v xml:space="preserve">UN    </v>
          </cell>
          <cell r="D1021">
            <v>112.98</v>
          </cell>
        </row>
        <row r="1022">
          <cell r="A1022">
            <v>1871</v>
          </cell>
          <cell r="B1022" t="str">
            <v>CAIXA OCTOGONAL DE FUNDO MOVEL, EM PVC, DE 3" X 3", PARA ELETRODUTO FLEXIVEL CORRUGADO</v>
          </cell>
          <cell r="C1022" t="str">
            <v xml:space="preserve">UN    </v>
          </cell>
          <cell r="D1022">
            <v>2.94</v>
          </cell>
        </row>
        <row r="1023">
          <cell r="A1023">
            <v>12001</v>
          </cell>
          <cell r="B1023" t="str">
            <v>CAIXA OCTOGONAL DE FUNDO MOVEL, EM PVC, DE 4" X 4", PARA ELETRODUTO FLEXIVEL CORRUGADO</v>
          </cell>
          <cell r="C1023" t="str">
            <v xml:space="preserve">UN    </v>
          </cell>
          <cell r="D1023">
            <v>4.25</v>
          </cell>
        </row>
        <row r="1024">
          <cell r="A1024">
            <v>11882</v>
          </cell>
          <cell r="B1024" t="str">
            <v>CAIXA PARA HIDROMETRO CONCRETO PRE MOLDADO, *0,24 M X 0,45 M X 0,30* M (L X C X A)</v>
          </cell>
          <cell r="C1024" t="str">
            <v xml:space="preserve">UN    </v>
          </cell>
          <cell r="D1024">
            <v>62.74</v>
          </cell>
        </row>
        <row r="1025">
          <cell r="A1025">
            <v>1068</v>
          </cell>
          <cell r="B1025" t="str">
            <v>CAIXA PARA MEDICAO COLETIVA TIPO L, PADRAO BIFASICO OU TRIFASICO, PARA ATE 4 MEDIDORES, SEM BARRAMENTO E COM PORTAS INFERIOR E SUPERIOR</v>
          </cell>
          <cell r="C1025" t="str">
            <v xml:space="preserve">UN    </v>
          </cell>
          <cell r="D1025">
            <v>1436.83</v>
          </cell>
        </row>
        <row r="1026">
          <cell r="A1026">
            <v>39690</v>
          </cell>
          <cell r="B1026" t="str">
            <v>CAIXA PARA MEDICAO COLETIVA TIPO M, PADRAO BIFASICO OU TRIFASICO, PARA ATE 8 MEDIDORES, SEM BARRAMENTO E COM PORTAS INFERIOR E SUPERIOR</v>
          </cell>
          <cell r="C1026" t="str">
            <v xml:space="preserve">UN    </v>
          </cell>
          <cell r="D1026">
            <v>2410.52</v>
          </cell>
        </row>
        <row r="1027">
          <cell r="A1027">
            <v>39691</v>
          </cell>
          <cell r="B1027" t="str">
            <v>CAIXA PARA MEDICAO COLETIVA TIPO N, PADRAO BIFASICO OU TRIFASICO, PARA ATE 12 MEDIDORES, SEM BARRAMENTO E COM PORTAS INFERIOR E SUPERIOR</v>
          </cell>
          <cell r="C1027" t="str">
            <v xml:space="preserve">UN    </v>
          </cell>
          <cell r="D1027">
            <v>3031.76</v>
          </cell>
        </row>
        <row r="1028">
          <cell r="A1028">
            <v>39808</v>
          </cell>
          <cell r="B1028" t="str">
            <v>CAIXA PARA MEDIDOR MONOFASICO, EM POLICARBONATO /TERMOPLASTICO, COM DISJUNTOR (PADRAO DA CONCESSIONARIA LOCAL)</v>
          </cell>
          <cell r="C1028" t="str">
            <v xml:space="preserve">UN    </v>
          </cell>
          <cell r="D1028">
            <v>58.99</v>
          </cell>
        </row>
        <row r="1029">
          <cell r="A1029">
            <v>39809</v>
          </cell>
          <cell r="B1029" t="str">
            <v>CAIXA PARA MEDIDOR POLIFASICO, EM POLICARBONATO (TERMOPLASTICO), COM 1 DISJUNTOR</v>
          </cell>
          <cell r="C1029" t="str">
            <v xml:space="preserve">UN    </v>
          </cell>
          <cell r="D1029">
            <v>139.91</v>
          </cell>
        </row>
        <row r="1030">
          <cell r="A1030">
            <v>43439</v>
          </cell>
          <cell r="B1030" t="str">
            <v>CAIXA PRE-MOLDADA PARA BOCA DE LOBO, EM CONCRETO ARMADO, COM FCK DE 25 MPA, COM DIMENSOES 1,10 X 0,65 X 1,00 M (COMPRIMENTO X LARGURA X ALTURA)</v>
          </cell>
          <cell r="C1030" t="str">
            <v xml:space="preserve">UN    </v>
          </cell>
          <cell r="D1030">
            <v>288</v>
          </cell>
        </row>
        <row r="1031">
          <cell r="A1031">
            <v>11713</v>
          </cell>
          <cell r="B1031" t="str">
            <v>CAIXA SIFONADA PVC 150 X 150 X 50MM COM TAMPA CEGA QUADRADA BRANCA</v>
          </cell>
          <cell r="C1031" t="str">
            <v xml:space="preserve">UN    </v>
          </cell>
          <cell r="D1031">
            <v>26.77</v>
          </cell>
        </row>
        <row r="1032">
          <cell r="A1032">
            <v>11716</v>
          </cell>
          <cell r="B1032" t="str">
            <v>CAIXA SIFONADA PVC, 100 X 100 X 40 MM, COM GRELHA REDONDA BRANCA</v>
          </cell>
          <cell r="C1032" t="str">
            <v xml:space="preserve">UN    </v>
          </cell>
          <cell r="D1032">
            <v>11.43</v>
          </cell>
        </row>
        <row r="1033">
          <cell r="A1033">
            <v>5103</v>
          </cell>
          <cell r="B1033" t="str">
            <v>CAIXA SIFONADA PVC, 100 X 100 X 50 MM, COM GRELHA REDONDA BRANCA</v>
          </cell>
          <cell r="C1033" t="str">
            <v xml:space="preserve">UN    </v>
          </cell>
          <cell r="D1033">
            <v>11.59</v>
          </cell>
        </row>
        <row r="1034">
          <cell r="A1034">
            <v>11712</v>
          </cell>
          <cell r="B1034" t="str">
            <v>CAIXA SIFONADA PVC, 150 X 150 X 50 MM, COM GRELHA QUADRADA BRANCA (NBR 5688)</v>
          </cell>
          <cell r="C1034" t="str">
            <v xml:space="preserve">UN    </v>
          </cell>
          <cell r="D1034">
            <v>26.99</v>
          </cell>
        </row>
        <row r="1035">
          <cell r="A1035">
            <v>11717</v>
          </cell>
          <cell r="B1035" t="str">
            <v>CAIXA SIFONADA PVC, 150 X 150 X 50 MM, COM GRELHA REDONDA BRANCA</v>
          </cell>
          <cell r="C1035" t="str">
            <v xml:space="preserve">UN    </v>
          </cell>
          <cell r="D1035">
            <v>29.33</v>
          </cell>
        </row>
        <row r="1036">
          <cell r="A1036">
            <v>11714</v>
          </cell>
          <cell r="B1036" t="str">
            <v>CAIXA SIFONADA PVC, 150 X 185 X 75 MM, COM GRELHA QUADRADA BRANCA</v>
          </cell>
          <cell r="C1036" t="str">
            <v xml:space="preserve">UN    </v>
          </cell>
          <cell r="D1036">
            <v>36.49</v>
          </cell>
        </row>
        <row r="1037">
          <cell r="A1037">
            <v>11715</v>
          </cell>
          <cell r="B1037" t="str">
            <v>CAIXA SIFONADA PVC, 150 X 185 X 75 MM, COM TAMPA CEGA QUADRADA BRANCA</v>
          </cell>
          <cell r="C1037" t="str">
            <v xml:space="preserve">UN    </v>
          </cell>
          <cell r="D1037">
            <v>41.98</v>
          </cell>
        </row>
        <row r="1038">
          <cell r="A1038">
            <v>11880</v>
          </cell>
          <cell r="B1038" t="str">
            <v>CAIXA SIFONADA PVC, 250 X 230 X 75 MM, COM TAMPA E PORTA TAMPA QUADRADA BRANCA</v>
          </cell>
          <cell r="C1038" t="str">
            <v xml:space="preserve">UN    </v>
          </cell>
          <cell r="D1038">
            <v>75.47</v>
          </cell>
        </row>
        <row r="1039">
          <cell r="A1039">
            <v>1106</v>
          </cell>
          <cell r="B1039" t="str">
            <v>CAL HIDRATADA CH-I PARA ARGAMASSAS</v>
          </cell>
          <cell r="C1039" t="str">
            <v xml:space="preserve">KG    </v>
          </cell>
          <cell r="D1039">
            <v>0.65</v>
          </cell>
        </row>
        <row r="1040">
          <cell r="A1040">
            <v>11161</v>
          </cell>
          <cell r="B1040" t="str">
            <v>CAL HIDRATADA PARA PINTURA</v>
          </cell>
          <cell r="C1040" t="str">
            <v xml:space="preserve">KG    </v>
          </cell>
          <cell r="D1040">
            <v>1.08</v>
          </cell>
        </row>
        <row r="1041">
          <cell r="A1041">
            <v>1107</v>
          </cell>
          <cell r="B1041" t="str">
            <v>CAL VIRGEM COMUM PARA ARGAMASSAS (NBR 6453)</v>
          </cell>
          <cell r="C1041" t="str">
            <v xml:space="preserve">KG    </v>
          </cell>
          <cell r="D1041">
            <v>0.55000000000000004</v>
          </cell>
        </row>
        <row r="1042">
          <cell r="A1042">
            <v>4758</v>
          </cell>
          <cell r="B1042" t="str">
            <v>CALAFETADOR / CALAFATE</v>
          </cell>
          <cell r="C1042" t="str">
            <v xml:space="preserve">H     </v>
          </cell>
          <cell r="D1042">
            <v>18.03</v>
          </cell>
        </row>
        <row r="1043">
          <cell r="A1043">
            <v>41080</v>
          </cell>
          <cell r="B1043" t="str">
            <v>CALAFETADOR / CALAFATE (MENSALISTA)</v>
          </cell>
          <cell r="C1043" t="str">
            <v xml:space="preserve">MES   </v>
          </cell>
          <cell r="D1043">
            <v>3199.76</v>
          </cell>
        </row>
        <row r="1044">
          <cell r="A1044">
            <v>25963</v>
          </cell>
          <cell r="B1044" t="str">
            <v>CALCARIO DOLOMITICO A (POSTO PEDREIRA/FORNECEDOR, SEM FRETE)</v>
          </cell>
          <cell r="C1044" t="str">
            <v xml:space="preserve">KG    </v>
          </cell>
          <cell r="D1044">
            <v>0.11</v>
          </cell>
        </row>
        <row r="1045">
          <cell r="A1045">
            <v>4759</v>
          </cell>
          <cell r="B1045" t="str">
            <v>CALCETEIRO</v>
          </cell>
          <cell r="C1045" t="str">
            <v xml:space="preserve">H     </v>
          </cell>
          <cell r="D1045">
            <v>14.64</v>
          </cell>
        </row>
        <row r="1046">
          <cell r="A1046">
            <v>41068</v>
          </cell>
          <cell r="B1046" t="str">
            <v>CALCETEIRO  (MENSALISTA)</v>
          </cell>
          <cell r="C1046" t="str">
            <v xml:space="preserve">MES   </v>
          </cell>
          <cell r="D1046">
            <v>2597.38</v>
          </cell>
        </row>
        <row r="1047">
          <cell r="A1047">
            <v>1108</v>
          </cell>
          <cell r="B1047" t="str">
            <v>CALHA MOLDURA AMERICANA DE CHAPA DE ACO GALVANIZADA NUM 26, CORTE 33 CM</v>
          </cell>
          <cell r="C1047" t="str">
            <v xml:space="preserve">M     </v>
          </cell>
          <cell r="D1047">
            <v>23.43</v>
          </cell>
        </row>
        <row r="1048">
          <cell r="A1048">
            <v>1117</v>
          </cell>
          <cell r="B1048" t="str">
            <v>CALHA PARA AGUA FURTADA DE CHAPA DE ACO GALVANIZADA NUM 26, CORTE 40 CM</v>
          </cell>
          <cell r="C1048" t="str">
            <v xml:space="preserve">M     </v>
          </cell>
          <cell r="D1048">
            <v>23.61</v>
          </cell>
        </row>
        <row r="1049">
          <cell r="A1049">
            <v>1118</v>
          </cell>
          <cell r="B1049" t="str">
            <v>CALHA PARA AGUA FURTADA DE CHAPA DE ACO GALVANIZADA NUM 26, CORTE 50 CM</v>
          </cell>
          <cell r="C1049" t="str">
            <v xml:space="preserve">M     </v>
          </cell>
          <cell r="D1049">
            <v>27.91</v>
          </cell>
        </row>
        <row r="1050">
          <cell r="A1050">
            <v>1110</v>
          </cell>
          <cell r="B1050" t="str">
            <v>CALHA PLATIBANDA DE CHAPA DE ACO GALVANIZADA NUM 26, CORTE 45 CM</v>
          </cell>
          <cell r="C1050" t="str">
            <v xml:space="preserve">M     </v>
          </cell>
          <cell r="D1050">
            <v>27.91</v>
          </cell>
        </row>
        <row r="1051">
          <cell r="A1051">
            <v>12618</v>
          </cell>
          <cell r="B1051" t="str">
            <v>CALHA PLUVIAL DE PVC, DIAMETRO ENTRE 119 E 170 MM, COMPRIMENTO DE 3 M, PARA DRENAGEM PREDIAL</v>
          </cell>
          <cell r="C1051" t="str">
            <v xml:space="preserve">UN    </v>
          </cell>
          <cell r="D1051">
            <v>36.79</v>
          </cell>
        </row>
        <row r="1052">
          <cell r="A1052">
            <v>40784</v>
          </cell>
          <cell r="B1052" t="str">
            <v>CALHA QUADRADA DE CHAPA DE ACO GALVANIZADA NUM 24, CORTE 100 CM</v>
          </cell>
          <cell r="C1052" t="str">
            <v xml:space="preserve">M     </v>
          </cell>
          <cell r="D1052">
            <v>76.98</v>
          </cell>
        </row>
        <row r="1053">
          <cell r="A1053">
            <v>40782</v>
          </cell>
          <cell r="B1053" t="str">
            <v>CALHA QUADRADA DE CHAPA DE ACO GALVANIZADA NUM 24, CORTE 33 CM</v>
          </cell>
          <cell r="C1053" t="str">
            <v xml:space="preserve">M     </v>
          </cell>
          <cell r="D1053">
            <v>30.21</v>
          </cell>
        </row>
        <row r="1054">
          <cell r="A1054">
            <v>40783</v>
          </cell>
          <cell r="B1054" t="str">
            <v>CALHA QUADRADA DE CHAPA DE ACO GALVANIZADA NUM 24, CORTE 50 CM</v>
          </cell>
          <cell r="C1054" t="str">
            <v xml:space="preserve">M     </v>
          </cell>
          <cell r="D1054">
            <v>39.35</v>
          </cell>
        </row>
        <row r="1055">
          <cell r="A1055">
            <v>1109</v>
          </cell>
          <cell r="B1055" t="str">
            <v>CALHA QUADRADA DE CHAPA DE ACO GALVANIZADA NUM 26, CORTE 33 CM</v>
          </cell>
          <cell r="C1055" t="str">
            <v xml:space="preserve">M     </v>
          </cell>
          <cell r="D1055">
            <v>23.43</v>
          </cell>
        </row>
        <row r="1056">
          <cell r="A1056">
            <v>1119</v>
          </cell>
          <cell r="B1056" t="str">
            <v>CALHA QUADRADA DE CHAPA DE ACO GALVANIZADA NUM 28, CORTE 25 CM</v>
          </cell>
          <cell r="C1056" t="str">
            <v xml:space="preserve">M     </v>
          </cell>
          <cell r="D1056">
            <v>15.1</v>
          </cell>
        </row>
        <row r="1057">
          <cell r="A1057">
            <v>13115</v>
          </cell>
          <cell r="B1057" t="str">
            <v>CALHA/CANALETA DE CONCRETO SIMPLES, TIPO MEIA CANA, DIAMETRO DE 20 CM, PARA AGUA PLUVIAL</v>
          </cell>
          <cell r="C1057" t="str">
            <v xml:space="preserve">M     </v>
          </cell>
          <cell r="D1057">
            <v>12.16</v>
          </cell>
        </row>
        <row r="1058">
          <cell r="A1058">
            <v>10541</v>
          </cell>
          <cell r="B1058" t="str">
            <v>CALHA/CANALETA DE CONCRETO SIMPLES, TIPO MEIA CANA, DIAMETRO DE 30 CM, PARA AGUA PLUVIAL</v>
          </cell>
          <cell r="C1058" t="str">
            <v xml:space="preserve">M     </v>
          </cell>
          <cell r="D1058">
            <v>14.86</v>
          </cell>
        </row>
        <row r="1059">
          <cell r="A1059">
            <v>10542</v>
          </cell>
          <cell r="B1059" t="str">
            <v>CALHA/CANALETA DE CONCRETO SIMPLES, TIPO MEIA CANA, DIAMETRO DE 40 CM, PARA AGUA PLUVIAL</v>
          </cell>
          <cell r="C1059" t="str">
            <v xml:space="preserve">M     </v>
          </cell>
          <cell r="D1059">
            <v>19.43</v>
          </cell>
        </row>
        <row r="1060">
          <cell r="A1060">
            <v>10543</v>
          </cell>
          <cell r="B1060" t="str">
            <v>CALHA/CANALETA DE CONCRETO SIMPLES, TIPO MEIA CANA, DIAMETRO DE 50 CM, PARA AGUA PLUVIAL</v>
          </cell>
          <cell r="C1060" t="str">
            <v xml:space="preserve">M     </v>
          </cell>
          <cell r="D1060">
            <v>31.53</v>
          </cell>
        </row>
        <row r="1061">
          <cell r="A1061">
            <v>10544</v>
          </cell>
          <cell r="B1061" t="str">
            <v>CALHA/CANALETA DE CONCRETO SIMPLES, TIPO MEIA CANA, DIAMETRO DE 60 CM, PARA AGUA PLUVIAL</v>
          </cell>
          <cell r="C1061" t="str">
            <v xml:space="preserve">M     </v>
          </cell>
          <cell r="D1061">
            <v>40.78</v>
          </cell>
        </row>
        <row r="1062">
          <cell r="A1062">
            <v>10545</v>
          </cell>
          <cell r="B1062" t="str">
            <v>CALHA/CANALETA DE CONCRETO SIMPLES, TIPO MEIA CANA, DIAMETRO DE 80 CM, PARA AGUA PLUVIAL</v>
          </cell>
          <cell r="C1062" t="str">
            <v xml:space="preserve">M     </v>
          </cell>
          <cell r="D1062">
            <v>76.209999999999994</v>
          </cell>
        </row>
        <row r="1063">
          <cell r="A1063">
            <v>38365</v>
          </cell>
          <cell r="B1063" t="str">
            <v>CAMADA SEPARADORA DE FILME DE POLIETILENO 20 A 25 MICRA</v>
          </cell>
          <cell r="C1063" t="str">
            <v xml:space="preserve">M2    </v>
          </cell>
          <cell r="D1063">
            <v>1.32</v>
          </cell>
        </row>
        <row r="1064">
          <cell r="A1064">
            <v>37745</v>
          </cell>
          <cell r="B1064" t="str">
            <v>CAMINHAO TOCO, PESO BRUTO TOTAL 13000 KG, CARGA UTIL MAXIMA 7925 KG, DISTANCIA ENTRE EIXOS 4,80 M, POTENCIA 189 CV (INCLUI CABINE E CHASSI, NAO INCLUI CARROCERIA)</v>
          </cell>
          <cell r="C1064" t="str">
            <v xml:space="preserve">UN    </v>
          </cell>
          <cell r="D1064">
            <v>226000</v>
          </cell>
        </row>
        <row r="1065">
          <cell r="A1065">
            <v>37754</v>
          </cell>
          <cell r="B1065" t="str">
            <v>CAMINHAO TOCO, PESO BRUTO TOTAL 14300 KG, CARGA UTIL MAXIMA 9590 KG, DISTANCIA ENTRE EIXOS 4,76 M, POTENCIA 185 CV (INCLUI CABINE E CHASSI, NAO INCLUI CARROCERIA)</v>
          </cell>
          <cell r="C1065" t="str">
            <v xml:space="preserve">UN    </v>
          </cell>
          <cell r="D1065">
            <v>236012.65</v>
          </cell>
        </row>
        <row r="1066">
          <cell r="A1066">
            <v>37748</v>
          </cell>
          <cell r="B1066" t="str">
            <v>CAMINHAO TOCO, PESO BRUTO TOTAL 14300 KG, CARGA UTIL MAXIMA 9710 KG, DISTANCIA ENTRE EIXOS 3,56 M, POTENCIA 185 CV (INCLUI CABINE E CHASSI, NAO INCLUI CARROCERIA)</v>
          </cell>
          <cell r="C1066" t="str">
            <v xml:space="preserve">UN    </v>
          </cell>
          <cell r="D1066">
            <v>240268.03</v>
          </cell>
        </row>
        <row r="1067">
          <cell r="A1067">
            <v>37761</v>
          </cell>
          <cell r="B1067" t="str">
            <v>CAMINHAO TOCO, PESO BRUTO TOTAL 16000 KG, CARGA UTIL MAXIMA DE 10685 KG, DISTANCIA ENTRE EIXOS 4,8M, POTENCIA 189 CV (INCLUI CABINE E CHASSI, NAO INCLUI CARROCERIA)</v>
          </cell>
          <cell r="C1067" t="str">
            <v xml:space="preserve">UN    </v>
          </cell>
          <cell r="D1067">
            <v>198822.77</v>
          </cell>
        </row>
        <row r="1068">
          <cell r="A1068">
            <v>37757</v>
          </cell>
          <cell r="B1068" t="str">
            <v>CAMINHAO TOCO, PESO BRUTO TOTAL 16000 KG, CARGA UTIL MAXIMA 10600 KG, DISTANCIA ENTRE EIXOS 4,80 M, POTENCIA 275 CV (INCLUI CABINE E CHASSI, NAO INCLUI CARROCERIA)</v>
          </cell>
          <cell r="C1068" t="str">
            <v xml:space="preserve">UN    </v>
          </cell>
          <cell r="D1068">
            <v>276778.46999999997</v>
          </cell>
        </row>
        <row r="1069">
          <cell r="A1069">
            <v>37759</v>
          </cell>
          <cell r="B1069" t="str">
            <v>CAMINHAO TOCO, PESO BRUTO TOTAL 16000 KG, CARGA UTIL MAXIMA 10780 KG, DISTANCIA ENTRE EIXOS 3,56 M, POTENCIA 275 CV (INCLUI CABINE E CHASSI, NAO INCLUI CARROCERIA)</v>
          </cell>
          <cell r="C1069" t="str">
            <v xml:space="preserve">UN    </v>
          </cell>
          <cell r="D1069">
            <v>277851.27</v>
          </cell>
        </row>
        <row r="1070">
          <cell r="A1070">
            <v>37766</v>
          </cell>
          <cell r="B1070" t="str">
            <v>CAMINHAO TOCO, PESO BRUTO TOTAL 16000 KG, CARGA UTIL MAXIMA 11030 KG, DISTANCIA ENTRE EIXOS 3,56M, POTENCIA 186 CV (INCLUI CABINE E CHASSI, NAO INCLUI CARROCERIA)</v>
          </cell>
          <cell r="C1070" t="str">
            <v xml:space="preserve">UN    </v>
          </cell>
          <cell r="D1070">
            <v>277851.24</v>
          </cell>
        </row>
        <row r="1071">
          <cell r="A1071">
            <v>37752</v>
          </cell>
          <cell r="B1071" t="str">
            <v>CAMINHAO TOCO, PESO BRUTO TOTAL 16000 KG, CARGA UTIL MAXIMA 11130 KG, DISTANCIA ENTRE EIXOS 5,36 M, POTENCIA 185 CV (INCLUI CABINE E CHASSI, NAO INCLUI CARROCERIA)</v>
          </cell>
          <cell r="C1071" t="str">
            <v xml:space="preserve">UN    </v>
          </cell>
          <cell r="D1071">
            <v>251961.38</v>
          </cell>
        </row>
        <row r="1072">
          <cell r="A1072">
            <v>37760</v>
          </cell>
          <cell r="B1072" t="str">
            <v>CAMINHAO TOCO, PESO BRUTO TOTAL 16000 KG, CARGA UTIL MAXIMA 13071 KG, DISTANCIA ENTRE EIXOS 4,80 M, POTENCIA 230 CV (INCLUI CABINE E CHASSI, NAO INCLUI CARROCERIA)</v>
          </cell>
          <cell r="C1072" t="str">
            <v xml:space="preserve">UN    </v>
          </cell>
          <cell r="D1072">
            <v>265335.43</v>
          </cell>
        </row>
        <row r="1073">
          <cell r="A1073">
            <v>37765</v>
          </cell>
          <cell r="B1073" t="str">
            <v>CAMINHAO TOCO, PESO BRUTO TOTAL 8250 KG, CARGA UTIL MAXIMA 5110 KG, DISTANCIA ENTRE EIXOS 4,30 M, POTENCIA 162 CV (INCLUI CABINE E CHASSI, NAO INCLUI CARROCERIA)</v>
          </cell>
          <cell r="C1073" t="str">
            <v xml:space="preserve">UN    </v>
          </cell>
          <cell r="D1073">
            <v>185234.18</v>
          </cell>
        </row>
        <row r="1074">
          <cell r="A1074">
            <v>37746</v>
          </cell>
          <cell r="B1074" t="str">
            <v>CAMINHAO TOCO, PESO BRUTO TOTAL 9000 KG, CARGA UTIL MAXIMA 5940 KG, DISTANCIA ENTRE EIXOS 3,69 M, POTENCIA 177 CV (INCLUI CABINE E CHASSI, NAO INCLUI CARROCERIA)</v>
          </cell>
          <cell r="C1074" t="str">
            <v xml:space="preserve">UN    </v>
          </cell>
          <cell r="D1074">
            <v>203078.15</v>
          </cell>
        </row>
        <row r="1075">
          <cell r="A1075">
            <v>37750</v>
          </cell>
          <cell r="B1075" t="str">
            <v>CAMINHAO TOCO, PESO BRUTO TOTAL 9600 KG, CARGA UTIL MAXIMA 6110 KG, DISTANCIA ENTRE EIXOS 3,70 M, POTENCIA 156 CV (INCLUI CABINE E CHASSI, NAO INCLUI CARROCERIA)</v>
          </cell>
          <cell r="C1075" t="str">
            <v xml:space="preserve">UN    </v>
          </cell>
          <cell r="D1075">
            <v>202362.97</v>
          </cell>
        </row>
        <row r="1076">
          <cell r="A1076">
            <v>37753</v>
          </cell>
          <cell r="B1076" t="str">
            <v>CAMINHAO TOCO, PESO BRUTO TOTAL 9600 KG, CARGA UTIL MAXIMA 6200 KG, DISTANCIA ENTRE EIXOS 3,10 M, POTENCIA 156 CV (INCLUI CABINE E CHASSI, NAO INCLUI CARROCERIA)</v>
          </cell>
          <cell r="C1076" t="str">
            <v xml:space="preserve">UN    </v>
          </cell>
          <cell r="D1076">
            <v>201647.77</v>
          </cell>
        </row>
        <row r="1077">
          <cell r="A1077">
            <v>37756</v>
          </cell>
          <cell r="B1077" t="str">
            <v>CAMINHAO TOCO, PESO BRUTO TOTAL 9700 KG, CARGA UTIL MAXIMA 6360 KG, DISTANCIA ENTRE EIXOS 4,30 M, POTENCIA 160 CV (INCLUI CABINE E CHASSI, NAO INCLUI CARROCERIA)</v>
          </cell>
          <cell r="C1077" t="str">
            <v xml:space="preserve">UN    </v>
          </cell>
          <cell r="D1077">
            <v>198822.77</v>
          </cell>
        </row>
        <row r="1078">
          <cell r="A1078">
            <v>37755</v>
          </cell>
          <cell r="B1078" t="str">
            <v>CAMINHAO TRUCADO, PESO BRUTO TOTAL 22000 KG, CARGA UTIL MAXIMA 15350 KG, DISTANCIA ENTRE EIXOS 5,17 M, POTENCIA 238 CV (INCLUI CABINE E CHASSI, NAO INCLUI CARROCERIA)</v>
          </cell>
          <cell r="C1078" t="str">
            <v xml:space="preserve">UN    </v>
          </cell>
          <cell r="D1078">
            <v>288936.7</v>
          </cell>
        </row>
        <row r="1079">
          <cell r="A1079">
            <v>37758</v>
          </cell>
          <cell r="B1079" t="str">
            <v>CAMINHAO TRUCADO, PESO BRUTO TOTAL 23000 KG, CARGA UTIL MAXIMA 15378 KG, DISTANCIA ENTRE EIXOS 4,80 M, POTENCIA 326 CV (INCLUI CABINE E CHASSI, NAO INCLUI CARROCERIA)</v>
          </cell>
          <cell r="C1079" t="str">
            <v xml:space="preserve">UN    </v>
          </cell>
          <cell r="D1079">
            <v>326126.58</v>
          </cell>
        </row>
        <row r="1080">
          <cell r="A1080">
            <v>37747</v>
          </cell>
          <cell r="B1080" t="str">
            <v>CAMINHAO TRUCADO, PESO BRUTO TOTAL 23000 KG, CARGA UTIL MAXIMA 15935 KG, DISTANCIA ENTRE EIXOS 4,80 M, POTENCIA 230 CV (INCLUI CABINE E CHASSI, NAO INCLUI CARROCERIA)</v>
          </cell>
          <cell r="C1080" t="str">
            <v xml:space="preserve">UN    </v>
          </cell>
          <cell r="D1080">
            <v>293442.40000000002</v>
          </cell>
        </row>
        <row r="1081">
          <cell r="A1081">
            <v>37767</v>
          </cell>
          <cell r="B1081" t="str">
            <v>CAMINHAO TRUCADO, PESO BRUTO TOTAL 23000 KG, CARGA UTIL MAXIMA 15940 KG, DISTANCIA ENTRE EIXOS 3,60 M, POTENCIA 286 CV (INCLUI CABINE E CHASSI, NAO INCLUI CARROCERIA)</v>
          </cell>
          <cell r="C1081" t="str">
            <v xml:space="preserve">UN    </v>
          </cell>
          <cell r="D1081">
            <v>309677.21999999997</v>
          </cell>
        </row>
        <row r="1082">
          <cell r="A1082">
            <v>37751</v>
          </cell>
          <cell r="B1082" t="str">
            <v>CAMINHAO TRUCADO, PESO BRUTO TOTAL 23000 KG, CARGA UTIL MAXIMA 16190 KG, DISTANCIA ENTRE EIXOS 3,60 M, POTENCIA 286 CV (INCLUI CABINE E CHASSI, NAO INCLUI CARROCERIA)</v>
          </cell>
          <cell r="C1082" t="str">
            <v xml:space="preserve">UN    </v>
          </cell>
          <cell r="D1082">
            <v>309677.21999999997</v>
          </cell>
        </row>
        <row r="1083">
          <cell r="A1083">
            <v>37749</v>
          </cell>
          <cell r="B1083" t="str">
            <v>CAMINHAO TRUCADO, PESO BRUTO TOTAL 23000 KG, CARGA UTIL MAXIMA 16360 KG, CABINE ESTENDIDA, DISTANCIA ENTRE EIXOS 3,56 M, POTENCIA 275 CV (INCLUI CABINE E CHASSI, NAO INCLUI CARROCERIA)</v>
          </cell>
          <cell r="C1083" t="str">
            <v xml:space="preserve">UN    </v>
          </cell>
          <cell r="D1083">
            <v>306101.27</v>
          </cell>
        </row>
        <row r="1084">
          <cell r="A1084">
            <v>1159</v>
          </cell>
          <cell r="B1084" t="str">
            <v>CAMINHONETE COM MOTOR A DIESEL, POTENCIA *160* CV, CABINE DUPLA, 4X4</v>
          </cell>
          <cell r="C1084" t="str">
            <v xml:space="preserve">UN    </v>
          </cell>
          <cell r="D1084">
            <v>164902</v>
          </cell>
        </row>
        <row r="1085">
          <cell r="A1085">
            <v>12114</v>
          </cell>
          <cell r="B1085" t="str">
            <v>CAMPAINHA ALTA POTENCIA 110V / 220V, DIAMETRO 150 MM</v>
          </cell>
          <cell r="C1085" t="str">
            <v xml:space="preserve">UN    </v>
          </cell>
          <cell r="D1085">
            <v>81.25</v>
          </cell>
        </row>
        <row r="1086">
          <cell r="A1086">
            <v>38106</v>
          </cell>
          <cell r="B1086" t="str">
            <v>CAMPAINHA CIGARRA 127 V / 220 V (APENAS MODULO)</v>
          </cell>
          <cell r="C1086" t="str">
            <v xml:space="preserve">UN    </v>
          </cell>
          <cell r="D1086">
            <v>11.04</v>
          </cell>
        </row>
        <row r="1087">
          <cell r="A1087">
            <v>38085</v>
          </cell>
          <cell r="B1087" t="str">
            <v>CAMPAINHA CIGARRA 127 V / 220 V, CONJUNTO MONTADO PARA EMBUTIR 4" X 2" (PLACA + SUPORTE + MODULO)</v>
          </cell>
          <cell r="C1087" t="str">
            <v xml:space="preserve">UN    </v>
          </cell>
          <cell r="D1087">
            <v>13.04</v>
          </cell>
        </row>
        <row r="1088">
          <cell r="A1088">
            <v>38599</v>
          </cell>
          <cell r="B1088" t="str">
            <v>CANALETA DE CONCRETO ESTRUTURAL 14 X 19 X 29 CM, FBK 14 MPA (NBR 6136)</v>
          </cell>
          <cell r="C1088" t="str">
            <v xml:space="preserve">UN    </v>
          </cell>
          <cell r="D1088">
            <v>3.81</v>
          </cell>
        </row>
        <row r="1089">
          <cell r="A1089">
            <v>38596</v>
          </cell>
          <cell r="B1089" t="str">
            <v>CANALETA DE CONCRETO ESTRUTURAL 14 X 19 X 29 CM, FBK 4,5 MPA (NBR 6136)</v>
          </cell>
          <cell r="C1089" t="str">
            <v xml:space="preserve">UN    </v>
          </cell>
          <cell r="D1089">
            <v>3.16</v>
          </cell>
        </row>
        <row r="1090">
          <cell r="A1090">
            <v>38600</v>
          </cell>
          <cell r="B1090" t="str">
            <v>CANALETA DE CONCRETO ESTRUTURAL 14 X 19 X 39 CM, FBK 14 MPA (NBR 6136)</v>
          </cell>
          <cell r="C1090" t="str">
            <v xml:space="preserve">UN    </v>
          </cell>
          <cell r="D1090">
            <v>4.04</v>
          </cell>
        </row>
        <row r="1091">
          <cell r="A1091">
            <v>38597</v>
          </cell>
          <cell r="B1091" t="str">
            <v>CANALETA DE CONCRETO ESTRUTURAL 14 X 19 X 39 CM, FBK 4,5 MPA (NBR 6136)</v>
          </cell>
          <cell r="C1091" t="str">
            <v xml:space="preserve">UN    </v>
          </cell>
          <cell r="D1091">
            <v>3.18</v>
          </cell>
        </row>
        <row r="1092">
          <cell r="A1092">
            <v>659</v>
          </cell>
          <cell r="B1092" t="str">
            <v>CANALETA DE CONCRETO 14 X 19 X 19 CM (CLASSE C - NBR 6136)</v>
          </cell>
          <cell r="C1092" t="str">
            <v xml:space="preserve">UN    </v>
          </cell>
          <cell r="D1092">
            <v>1.83</v>
          </cell>
        </row>
        <row r="1093">
          <cell r="A1093">
            <v>660</v>
          </cell>
          <cell r="B1093" t="str">
            <v>CANALETA DE CONCRETO 19 X 19 X 19 CM (CLASSE C - NBR 6136)</v>
          </cell>
          <cell r="C1093" t="str">
            <v xml:space="preserve">UN    </v>
          </cell>
          <cell r="D1093">
            <v>2.19</v>
          </cell>
        </row>
        <row r="1094">
          <cell r="A1094">
            <v>658</v>
          </cell>
          <cell r="B1094" t="str">
            <v>CANALETA DE CONCRETO 9 X 19 X 19 CM (CLASSE C - NBR 6136)</v>
          </cell>
          <cell r="C1094" t="str">
            <v xml:space="preserve">UN    </v>
          </cell>
          <cell r="D1094">
            <v>1.23</v>
          </cell>
        </row>
        <row r="1095">
          <cell r="A1095">
            <v>38548</v>
          </cell>
          <cell r="B1095" t="str">
            <v>CANALETA ESTRUTURAL CERAMICA, 14 X 19 X 19 CM, 6,0 MPA (NBR 15270)</v>
          </cell>
          <cell r="C1095" t="str">
            <v xml:space="preserve">UN    </v>
          </cell>
          <cell r="D1095">
            <v>1.45</v>
          </cell>
        </row>
        <row r="1096">
          <cell r="A1096">
            <v>34649</v>
          </cell>
          <cell r="B1096" t="str">
            <v>CANALETA ESTRUTURAL CERAMICA, 14 X 19 X 29 CM, 6,0 MPA (NBR 15270)</v>
          </cell>
          <cell r="C1096" t="str">
            <v xml:space="preserve">UN    </v>
          </cell>
          <cell r="D1096">
            <v>1.96</v>
          </cell>
        </row>
        <row r="1097">
          <cell r="A1097">
            <v>34655</v>
          </cell>
          <cell r="B1097" t="str">
            <v>CANALETA ESTRUTURAL CERAMICA, 14 X 19 X 39 CM, 6,0 MPA (NBR 15270)</v>
          </cell>
          <cell r="C1097" t="str">
            <v xml:space="preserve">UN    </v>
          </cell>
          <cell r="D1097">
            <v>2.61</v>
          </cell>
        </row>
        <row r="1098">
          <cell r="A1098">
            <v>40607</v>
          </cell>
          <cell r="B1098" t="str">
            <v>CANOPLA ACABAMENTO CROMADO PARA INSTALACAO DE SPRINKLER, SOB FORRO, 15 MM</v>
          </cell>
          <cell r="C1098" t="str">
            <v xml:space="preserve">UN    </v>
          </cell>
          <cell r="D1098">
            <v>4.4800000000000004</v>
          </cell>
        </row>
        <row r="1099">
          <cell r="A1099">
            <v>585</v>
          </cell>
          <cell r="B1099" t="str">
            <v>CANTONEIRA "U" ALUMINIO ABAS IGUAIS 1 ", E = 3/32 "</v>
          </cell>
          <cell r="C1099" t="str">
            <v xml:space="preserve">KG    </v>
          </cell>
          <cell r="D1099">
            <v>23.7</v>
          </cell>
        </row>
        <row r="1100">
          <cell r="A1100">
            <v>4777</v>
          </cell>
          <cell r="B1100" t="str">
            <v>CANTONEIRA ACO ABAS IGUAIS (QUALQUER BITOLA), ESPESSURA ENTRE 1/8" E 1/4"</v>
          </cell>
          <cell r="C1100" t="str">
            <v xml:space="preserve">KG    </v>
          </cell>
          <cell r="D1100">
            <v>4.6900000000000004</v>
          </cell>
        </row>
        <row r="1101">
          <cell r="A1101">
            <v>587</v>
          </cell>
          <cell r="B1101" t="str">
            <v>CANTONEIRA ALUMINIO ABAS DESIGUAIS 1" X 3/4 ", E = 1/8 "</v>
          </cell>
          <cell r="C1101" t="str">
            <v xml:space="preserve">KG    </v>
          </cell>
          <cell r="D1101">
            <v>25.4</v>
          </cell>
        </row>
        <row r="1102">
          <cell r="A1102">
            <v>590</v>
          </cell>
          <cell r="B1102" t="str">
            <v>CANTONEIRA ALUMINIO ABAS DESIGUAIS 2 1/2" X 1/2 ", E = 3/16 "</v>
          </cell>
          <cell r="C1102" t="str">
            <v xml:space="preserve">KG    </v>
          </cell>
          <cell r="D1102">
            <v>24.55</v>
          </cell>
        </row>
        <row r="1103">
          <cell r="A1103">
            <v>592</v>
          </cell>
          <cell r="B1103" t="str">
            <v>CANTONEIRA ALUMINIO ABAS IGUAIS 1 ", E = 1/8 ", 25,40 X 3,17 MM (0,408 KG/M)</v>
          </cell>
          <cell r="C1103" t="str">
            <v xml:space="preserve">KG    </v>
          </cell>
          <cell r="D1103">
            <v>25.4</v>
          </cell>
        </row>
        <row r="1104">
          <cell r="A1104">
            <v>586</v>
          </cell>
          <cell r="B1104" t="str">
            <v>CANTONEIRA ALUMINIO ABAS IGUAIS 1 ", E = 3 /16 "</v>
          </cell>
          <cell r="C1104" t="str">
            <v xml:space="preserve">M     </v>
          </cell>
          <cell r="D1104">
            <v>14.93</v>
          </cell>
        </row>
        <row r="1105">
          <cell r="A1105">
            <v>591</v>
          </cell>
          <cell r="B1105" t="str">
            <v>CANTONEIRA ALUMINIO ABAS IGUAIS 1 1/2 ", E = 3/16 "</v>
          </cell>
          <cell r="C1105" t="str">
            <v xml:space="preserve">KG    </v>
          </cell>
          <cell r="D1105">
            <v>23.7</v>
          </cell>
        </row>
        <row r="1106">
          <cell r="A1106">
            <v>588</v>
          </cell>
          <cell r="B1106" t="str">
            <v>CANTONEIRA ALUMINIO ABAS IGUAIS 1 1/4 ", E = 3/16 "</v>
          </cell>
          <cell r="C1106" t="str">
            <v xml:space="preserve">M     </v>
          </cell>
          <cell r="D1106">
            <v>23.62</v>
          </cell>
        </row>
        <row r="1107">
          <cell r="A1107">
            <v>589</v>
          </cell>
          <cell r="B1107" t="str">
            <v>CANTONEIRA ALUMINIO ABAS IGUAIS 2 ", E = 1/4 "</v>
          </cell>
          <cell r="C1107" t="str">
            <v xml:space="preserve">M     </v>
          </cell>
          <cell r="D1107">
            <v>39.92</v>
          </cell>
        </row>
        <row r="1108">
          <cell r="A1108">
            <v>584</v>
          </cell>
          <cell r="B1108" t="str">
            <v>CANTONEIRA ALUMINIO ABAS IGUAIS 2 ", E = 1/8 "</v>
          </cell>
          <cell r="C1108" t="str">
            <v xml:space="preserve">M     </v>
          </cell>
          <cell r="D1108">
            <v>25.23</v>
          </cell>
        </row>
        <row r="1109">
          <cell r="A1109">
            <v>574</v>
          </cell>
          <cell r="B1109" t="str">
            <v>CANTONEIRA FERRO GALVANIZADO DE ABAS IGUAIS, 1 1/2" X 1/4" (L X E), 3,40 KG/M</v>
          </cell>
          <cell r="C1109" t="str">
            <v xml:space="preserve">M     </v>
          </cell>
          <cell r="D1109">
            <v>22.4</v>
          </cell>
        </row>
        <row r="1110">
          <cell r="A1110">
            <v>567</v>
          </cell>
          <cell r="B1110" t="str">
            <v>CANTONEIRA FERRO GALVANIZADO DE ABAS IGUAIS, 1" X 1/8" (L X E) , 1,20KG/M</v>
          </cell>
          <cell r="C1110" t="str">
            <v xml:space="preserve">M     </v>
          </cell>
          <cell r="D1110">
            <v>8.3000000000000007</v>
          </cell>
        </row>
        <row r="1111">
          <cell r="A1111">
            <v>568</v>
          </cell>
          <cell r="B1111" t="str">
            <v>CANTONEIRA FERRO GALVANIZADO DE ABAS IGUAIS, 2" X 3/8" (L X E), 6,9 KG/M</v>
          </cell>
          <cell r="C1111" t="str">
            <v xml:space="preserve">M     </v>
          </cell>
          <cell r="D1111">
            <v>50.26</v>
          </cell>
        </row>
        <row r="1112">
          <cell r="A1112">
            <v>569</v>
          </cell>
          <cell r="B1112" t="str">
            <v>CANTONEIRA FERRO GALVANIZADO DE ABAS IGUAIS, 3/4" X 1/8" (L X E)</v>
          </cell>
          <cell r="C1112" t="str">
            <v xml:space="preserve">KG    </v>
          </cell>
          <cell r="D1112">
            <v>6.99</v>
          </cell>
        </row>
        <row r="1113">
          <cell r="A1113">
            <v>1165</v>
          </cell>
          <cell r="B1113" t="str">
            <v>CAP OU TAMPAO DE FERRO GALVANIZADO, COM ROSCA BSP, DE 1 1/2"</v>
          </cell>
          <cell r="C1113" t="str">
            <v xml:space="preserve">UN    </v>
          </cell>
          <cell r="D1113">
            <v>10.73</v>
          </cell>
        </row>
        <row r="1114">
          <cell r="A1114">
            <v>1164</v>
          </cell>
          <cell r="B1114" t="str">
            <v>CAP OU TAMPAO DE FERRO GALVANIZADO, COM ROSCA BSP, DE 1 1/4"</v>
          </cell>
          <cell r="C1114" t="str">
            <v xml:space="preserve">UN    </v>
          </cell>
          <cell r="D1114">
            <v>8.69</v>
          </cell>
        </row>
        <row r="1115">
          <cell r="A1115">
            <v>1162</v>
          </cell>
          <cell r="B1115" t="str">
            <v>CAP OU TAMPAO DE FERRO GALVANIZADO, COM ROSCA BSP, DE 1/2"</v>
          </cell>
          <cell r="C1115" t="str">
            <v xml:space="preserve">UN    </v>
          </cell>
          <cell r="D1115">
            <v>3.02</v>
          </cell>
        </row>
        <row r="1116">
          <cell r="A1116">
            <v>12395</v>
          </cell>
          <cell r="B1116" t="str">
            <v>CAP OU TAMPAO DE FERRO GALVANIZADO, COM ROSCA BSP, DE 1/4"</v>
          </cell>
          <cell r="C1116" t="str">
            <v xml:space="preserve">UN    </v>
          </cell>
          <cell r="D1116">
            <v>2.94</v>
          </cell>
        </row>
        <row r="1117">
          <cell r="A1117">
            <v>1170</v>
          </cell>
          <cell r="B1117" t="str">
            <v>CAP OU TAMPAO DE FERRO GALVANIZADO, COM ROSCA BSP, DE 1"</v>
          </cell>
          <cell r="C1117" t="str">
            <v xml:space="preserve">UN    </v>
          </cell>
          <cell r="D1117">
            <v>5.7</v>
          </cell>
        </row>
        <row r="1118">
          <cell r="A1118">
            <v>1169</v>
          </cell>
          <cell r="B1118" t="str">
            <v>CAP OU TAMPAO DE FERRO GALVANIZADO, COM ROSCA BSP, DE 2 1/2"</v>
          </cell>
          <cell r="C1118" t="str">
            <v xml:space="preserve">UN    </v>
          </cell>
          <cell r="D1118">
            <v>27.97</v>
          </cell>
        </row>
        <row r="1119">
          <cell r="A1119">
            <v>1166</v>
          </cell>
          <cell r="B1119" t="str">
            <v>CAP OU TAMPAO DE FERRO GALVANIZADO, COM ROSCA BSP, DE 2"</v>
          </cell>
          <cell r="C1119" t="str">
            <v xml:space="preserve">UN    </v>
          </cell>
          <cell r="D1119">
            <v>15.51</v>
          </cell>
        </row>
        <row r="1120">
          <cell r="A1120">
            <v>1163</v>
          </cell>
          <cell r="B1120" t="str">
            <v>CAP OU TAMPAO DE FERRO GALVANIZADO, COM ROSCA BSP, DE 3/4"</v>
          </cell>
          <cell r="C1120" t="str">
            <v xml:space="preserve">UN    </v>
          </cell>
          <cell r="D1120">
            <v>3.91</v>
          </cell>
        </row>
        <row r="1121">
          <cell r="A1121">
            <v>12396</v>
          </cell>
          <cell r="B1121" t="str">
            <v>CAP OU TAMPAO DE FERRO GALVANIZADO, COM ROSCA BSP, DE 3/8"</v>
          </cell>
          <cell r="C1121" t="str">
            <v xml:space="preserve">UN    </v>
          </cell>
          <cell r="D1121">
            <v>2.94</v>
          </cell>
        </row>
        <row r="1122">
          <cell r="A1122">
            <v>1168</v>
          </cell>
          <cell r="B1122" t="str">
            <v>CAP OU TAMPAO DE FERRO GALVANIZADO, COM ROSCA BSP, DE 3"</v>
          </cell>
          <cell r="C1122" t="str">
            <v xml:space="preserve">UN    </v>
          </cell>
          <cell r="D1122">
            <v>39.880000000000003</v>
          </cell>
        </row>
        <row r="1123">
          <cell r="A1123">
            <v>1167</v>
          </cell>
          <cell r="B1123" t="str">
            <v>CAP OU TAMPAO DE FERRO GALVANIZADO, COM ROSCA BSP, DE 4"</v>
          </cell>
          <cell r="C1123" t="str">
            <v xml:space="preserve">UN    </v>
          </cell>
          <cell r="D1123">
            <v>66.709999999999994</v>
          </cell>
        </row>
        <row r="1124">
          <cell r="A1124">
            <v>36331</v>
          </cell>
          <cell r="B1124" t="str">
            <v>CAP PPR DN 20 MM, PARA AGUA QUENTE PREDIAL</v>
          </cell>
          <cell r="C1124" t="str">
            <v xml:space="preserve">UN    </v>
          </cell>
          <cell r="D1124">
            <v>1.19</v>
          </cell>
        </row>
        <row r="1125">
          <cell r="A1125">
            <v>36346</v>
          </cell>
          <cell r="B1125" t="str">
            <v>CAP PPR DN 25 MM, PARA AGUA QUENTE PREDIAL</v>
          </cell>
          <cell r="C1125" t="str">
            <v xml:space="preserve">UN    </v>
          </cell>
          <cell r="D1125">
            <v>2.04</v>
          </cell>
        </row>
        <row r="1126">
          <cell r="A1126">
            <v>1210</v>
          </cell>
          <cell r="B1126" t="str">
            <v>CAP PVC, ROSCAVEL, 1 1/2",  AGUA FRIA PREDIAL</v>
          </cell>
          <cell r="C1126" t="str">
            <v xml:space="preserve">UN    </v>
          </cell>
          <cell r="D1126">
            <v>9.15</v>
          </cell>
        </row>
        <row r="1127">
          <cell r="A1127">
            <v>1203</v>
          </cell>
          <cell r="B1127" t="str">
            <v>CAP PVC, ROSCAVEL, 1 1/4",  AGUA FRIA PREDIAL</v>
          </cell>
          <cell r="C1127" t="str">
            <v xml:space="preserve">UN    </v>
          </cell>
          <cell r="D1127">
            <v>8.8699999999999992</v>
          </cell>
        </row>
        <row r="1128">
          <cell r="A1128">
            <v>1197</v>
          </cell>
          <cell r="B1128" t="str">
            <v>CAP PVC, ROSCAVEL, 1/2", PARA AGUA FRIA PREDIAL</v>
          </cell>
          <cell r="C1128" t="str">
            <v xml:space="preserve">UN    </v>
          </cell>
          <cell r="D1128">
            <v>1.1299999999999999</v>
          </cell>
        </row>
        <row r="1129">
          <cell r="A1129">
            <v>1202</v>
          </cell>
          <cell r="B1129" t="str">
            <v>CAP PVC, ROSCAVEL, 1",  PARA AGUA FRIA PREDIAL</v>
          </cell>
          <cell r="C1129" t="str">
            <v xml:space="preserve">UN    </v>
          </cell>
          <cell r="D1129">
            <v>3.05</v>
          </cell>
        </row>
        <row r="1130">
          <cell r="A1130">
            <v>1188</v>
          </cell>
          <cell r="B1130" t="str">
            <v>CAP PVC, ROSCAVEL, 2 1/2",  AGUA FRIA PREDIAL</v>
          </cell>
          <cell r="C1130" t="str">
            <v xml:space="preserve">UN    </v>
          </cell>
          <cell r="D1130">
            <v>18.03</v>
          </cell>
        </row>
        <row r="1131">
          <cell r="A1131">
            <v>1211</v>
          </cell>
          <cell r="B1131" t="str">
            <v>CAP PVC, ROSCAVEL, 2",  AGUA FRIA PREDIAL</v>
          </cell>
          <cell r="C1131" t="str">
            <v xml:space="preserve">UN    </v>
          </cell>
          <cell r="D1131">
            <v>9.31</v>
          </cell>
        </row>
        <row r="1132">
          <cell r="A1132">
            <v>1198</v>
          </cell>
          <cell r="B1132" t="str">
            <v>CAP PVC, ROSCAVEL, 3/4",  PARA AGUA FRIA PREDIAL</v>
          </cell>
          <cell r="C1132" t="str">
            <v xml:space="preserve">UN    </v>
          </cell>
          <cell r="D1132">
            <v>1.68</v>
          </cell>
        </row>
        <row r="1133">
          <cell r="A1133">
            <v>1199</v>
          </cell>
          <cell r="B1133" t="str">
            <v>CAP PVC, ROSCAVEL, 3",  AGUA FRIA PREDIAL</v>
          </cell>
          <cell r="C1133" t="str">
            <v xml:space="preserve">UN    </v>
          </cell>
          <cell r="D1133">
            <v>23.56</v>
          </cell>
        </row>
        <row r="1134">
          <cell r="A1134">
            <v>20088</v>
          </cell>
          <cell r="B1134" t="str">
            <v>CAP PVC, SERIE R, DN 100 MM, PARA ESGOTO PREDIAL</v>
          </cell>
          <cell r="C1134" t="str">
            <v xml:space="preserve">UN    </v>
          </cell>
          <cell r="D1134">
            <v>11.08</v>
          </cell>
        </row>
        <row r="1135">
          <cell r="A1135">
            <v>20089</v>
          </cell>
          <cell r="B1135" t="str">
            <v>CAP PVC, SERIE R, DN 150 MM, PARA ESGOTO PREDIAL</v>
          </cell>
          <cell r="C1135" t="str">
            <v xml:space="preserve">UN    </v>
          </cell>
          <cell r="D1135">
            <v>52.84</v>
          </cell>
        </row>
        <row r="1136">
          <cell r="A1136">
            <v>20087</v>
          </cell>
          <cell r="B1136" t="str">
            <v>CAP PVC, SERIE R, DN 75 MM, PARA ESGOTO PREDIAL</v>
          </cell>
          <cell r="C1136" t="str">
            <v xml:space="preserve">UN    </v>
          </cell>
          <cell r="D1136">
            <v>7.98</v>
          </cell>
        </row>
        <row r="1137">
          <cell r="A1137">
            <v>1200</v>
          </cell>
          <cell r="B1137" t="str">
            <v>CAP PVC, SOLDAVEL, DN 100 MM, SERIE NORMAL, PARA ESGOTO PREDIAL</v>
          </cell>
          <cell r="C1137" t="str">
            <v xml:space="preserve">UN    </v>
          </cell>
          <cell r="D1137">
            <v>6.48</v>
          </cell>
        </row>
        <row r="1138">
          <cell r="A1138">
            <v>12909</v>
          </cell>
          <cell r="B1138" t="str">
            <v>CAP PVC, SOLDAVEL, DN 50 MM, SERIE NORMAL, PARA ESGOTO PREDIAL</v>
          </cell>
          <cell r="C1138" t="str">
            <v xml:space="preserve">UN    </v>
          </cell>
          <cell r="D1138">
            <v>2.94</v>
          </cell>
        </row>
        <row r="1139">
          <cell r="A1139">
            <v>12910</v>
          </cell>
          <cell r="B1139" t="str">
            <v>CAP PVC, SOLDAVEL, DN 75 MM, SERIE NORMAL, PARA ESGOTO PREDIAL</v>
          </cell>
          <cell r="C1139" t="str">
            <v xml:space="preserve">UN    </v>
          </cell>
          <cell r="D1139">
            <v>4.9000000000000004</v>
          </cell>
        </row>
        <row r="1140">
          <cell r="A1140">
            <v>1184</v>
          </cell>
          <cell r="B1140" t="str">
            <v>CAP PVC, SOLDAVEL, 110 MM, PARA AGUA FRIA PREDIAL</v>
          </cell>
          <cell r="C1140" t="str">
            <v xml:space="preserve">UN    </v>
          </cell>
          <cell r="D1140">
            <v>57.92</v>
          </cell>
        </row>
        <row r="1141">
          <cell r="A1141">
            <v>1191</v>
          </cell>
          <cell r="B1141" t="str">
            <v>CAP PVC, SOLDAVEL, 20 MM, PARA AGUA FRIA PREDIAL</v>
          </cell>
          <cell r="C1141" t="str">
            <v xml:space="preserve">UN    </v>
          </cell>
          <cell r="D1141">
            <v>0.82</v>
          </cell>
        </row>
        <row r="1142">
          <cell r="A1142">
            <v>1185</v>
          </cell>
          <cell r="B1142" t="str">
            <v>CAP PVC, SOLDAVEL, 25 MM, PARA AGUA FRIA PREDIAL</v>
          </cell>
          <cell r="C1142" t="str">
            <v xml:space="preserve">UN    </v>
          </cell>
          <cell r="D1142">
            <v>0.94</v>
          </cell>
        </row>
        <row r="1143">
          <cell r="A1143">
            <v>1189</v>
          </cell>
          <cell r="B1143" t="str">
            <v>CAP PVC, SOLDAVEL, 32 MM, PARA AGUA FRIA PREDIAL</v>
          </cell>
          <cell r="C1143" t="str">
            <v xml:space="preserve">UN    </v>
          </cell>
          <cell r="D1143">
            <v>1.63</v>
          </cell>
        </row>
        <row r="1144">
          <cell r="A1144">
            <v>1193</v>
          </cell>
          <cell r="B1144" t="str">
            <v>CAP PVC, SOLDAVEL, 40 MM, PARA AGUA FRIA PREDIAL</v>
          </cell>
          <cell r="C1144" t="str">
            <v xml:space="preserve">UN    </v>
          </cell>
          <cell r="D1144">
            <v>3.14</v>
          </cell>
        </row>
        <row r="1145">
          <cell r="A1145">
            <v>1194</v>
          </cell>
          <cell r="B1145" t="str">
            <v>CAP PVC, SOLDAVEL, 50 MM, PARA AGUA FRIA PREDIAL</v>
          </cell>
          <cell r="C1145" t="str">
            <v xml:space="preserve">UN    </v>
          </cell>
          <cell r="D1145">
            <v>5.94</v>
          </cell>
        </row>
        <row r="1146">
          <cell r="A1146">
            <v>1195</v>
          </cell>
          <cell r="B1146" t="str">
            <v>CAP PVC, SOLDAVEL, 60 MM, PARA AGUA FRIA PREDIAL</v>
          </cell>
          <cell r="C1146" t="str">
            <v xml:space="preserve">UN    </v>
          </cell>
          <cell r="D1146">
            <v>8.93</v>
          </cell>
        </row>
        <row r="1147">
          <cell r="A1147">
            <v>1204</v>
          </cell>
          <cell r="B1147" t="str">
            <v>CAP PVC, SOLDAVEL, 75 MM, PARA AGUA FRIA PREDIAL</v>
          </cell>
          <cell r="C1147" t="str">
            <v xml:space="preserve">UN    </v>
          </cell>
          <cell r="D1147">
            <v>16.239999999999998</v>
          </cell>
        </row>
        <row r="1148">
          <cell r="A1148">
            <v>1205</v>
          </cell>
          <cell r="B1148" t="str">
            <v>CAP PVC, SOLDAVEL, 85 MM, PARA AGUA FRIA PREDIAL</v>
          </cell>
          <cell r="C1148" t="str">
            <v xml:space="preserve">UN    </v>
          </cell>
          <cell r="D1148">
            <v>38.53</v>
          </cell>
        </row>
        <row r="1149">
          <cell r="A1149">
            <v>1207</v>
          </cell>
          <cell r="B1149" t="str">
            <v>CAP, PVC PBA, JE, DN 100 / DE 110 MM,  PARA REDE DE AGUA (NBR 10351)</v>
          </cell>
          <cell r="C1149" t="str">
            <v xml:space="preserve">UN    </v>
          </cell>
          <cell r="D1149">
            <v>23.92</v>
          </cell>
        </row>
        <row r="1150">
          <cell r="A1150">
            <v>1206</v>
          </cell>
          <cell r="B1150" t="str">
            <v>CAP, PVC PBA, JE, DN 50 / DE 60 MM,  PARA REDE DE AGUA (NBR 10351)</v>
          </cell>
          <cell r="C1150" t="str">
            <v xml:space="preserve">UN    </v>
          </cell>
          <cell r="D1150">
            <v>6</v>
          </cell>
        </row>
        <row r="1151">
          <cell r="A1151">
            <v>1183</v>
          </cell>
          <cell r="B1151" t="str">
            <v>CAP, PVC PBA, JE, DN 75 / DE 85 MM,  PARA REDE DE AGUA (NBR 10351)</v>
          </cell>
          <cell r="C1151" t="str">
            <v xml:space="preserve">UN    </v>
          </cell>
          <cell r="D1151">
            <v>15.62</v>
          </cell>
        </row>
        <row r="1152">
          <cell r="A1152">
            <v>42685</v>
          </cell>
          <cell r="B1152" t="str">
            <v>CAP, PVC, JE, OCRE, DN 150 MM (CONEXAO PARA TUBO COLETOR DE ESGOTO)</v>
          </cell>
          <cell r="C1152" t="str">
            <v xml:space="preserve">UN    </v>
          </cell>
          <cell r="D1152">
            <v>40.270000000000003</v>
          </cell>
        </row>
        <row r="1153">
          <cell r="A1153">
            <v>42686</v>
          </cell>
          <cell r="B1153" t="str">
            <v>CAP, PVC, JE, OCRE, DN 200 MM (CONEXAO PARA TUBO COLETOR DE ESGOTO)</v>
          </cell>
          <cell r="C1153" t="str">
            <v xml:space="preserve">UN    </v>
          </cell>
          <cell r="D1153">
            <v>62.7</v>
          </cell>
        </row>
        <row r="1154">
          <cell r="A1154">
            <v>12894</v>
          </cell>
          <cell r="B1154" t="str">
            <v>CAPA PARA CHUVA EM PVC COM FORRO DE POLIESTER, COM CAPUZ (AMARELA OU AZUL)</v>
          </cell>
          <cell r="C1154" t="str">
            <v xml:space="preserve">UN    </v>
          </cell>
          <cell r="D1154">
            <v>15.66</v>
          </cell>
        </row>
        <row r="1155">
          <cell r="A1155">
            <v>12895</v>
          </cell>
          <cell r="B1155" t="str">
            <v>CAPACETE DE SEGURANCA ABA FRONTAL COM SUSPENSAO DE POLIETILENO, SEM JUGULAR (CLASSE B)</v>
          </cell>
          <cell r="C1155" t="str">
            <v xml:space="preserve">UN    </v>
          </cell>
          <cell r="D1155">
            <v>12.05</v>
          </cell>
        </row>
        <row r="1156">
          <cell r="A1156">
            <v>1631</v>
          </cell>
          <cell r="B1156" t="str">
            <v>CAPACITOR TRIFASICO, POTENCIA 2,5 KVAR, TENSAO 220 V, FORNECIDO COM CAPA PROTETORA, RESISTOR INTERNO A UNIDADE CAPACITIVA</v>
          </cell>
          <cell r="C1156" t="str">
            <v xml:space="preserve">UN    </v>
          </cell>
          <cell r="D1156">
            <v>128.28</v>
          </cell>
        </row>
        <row r="1157">
          <cell r="A1157">
            <v>1633</v>
          </cell>
          <cell r="B1157" t="str">
            <v>CAPACITOR TRIFASICO, POTENCIA 5 KVAR, TENSAO 220 V, FORNECIDO COM CAPA PROTETORA, RESISTOR INTERNO A UNIDADE CAPACITIVA</v>
          </cell>
          <cell r="C1157" t="str">
            <v xml:space="preserve">UN    </v>
          </cell>
          <cell r="D1157">
            <v>217.96</v>
          </cell>
        </row>
        <row r="1158">
          <cell r="A1158">
            <v>10818</v>
          </cell>
          <cell r="B1158" t="str">
            <v>CAPIM BRAQUIARIA DECUMBENS/ BRAQUIARINHA, VC *70*% MINIMO</v>
          </cell>
          <cell r="C1158" t="str">
            <v xml:space="preserve">KG    </v>
          </cell>
          <cell r="D1158">
            <v>26.28</v>
          </cell>
        </row>
        <row r="1159">
          <cell r="A1159">
            <v>39359</v>
          </cell>
          <cell r="B1159" t="str">
            <v>CARENAGEM /TAMPA, EM PLASTICO, COR BRANCA, UTILIZADO EM KIT CHASSI METALICO PARA INSTALACAO HIDRAULICA DE CUBA SIMPLES SEM MAQUINA DE LAVAR ROUPA, LARGURA *355* MM X ALTURA *670* MM (COM FUROS E DEMAIS ENCAIXES)</v>
          </cell>
          <cell r="C1159" t="str">
            <v xml:space="preserve">UN    </v>
          </cell>
          <cell r="D1159">
            <v>23.68</v>
          </cell>
        </row>
        <row r="1160">
          <cell r="A1160">
            <v>39360</v>
          </cell>
          <cell r="B1160" t="str">
            <v>CARENAGEM /TAMPA, EM PLASTICO, COR BRANCA, UTILIZADO EM KIT CHASSI METALICO PARA INSTALACAO HIDRAULICA DE TANQUE COM MAQUINA DE LAVAR ROUPA, LARGURA *360* MM X ALTURA *470* MM (COM FUROS E DEMAIS ENCAIXES)</v>
          </cell>
          <cell r="C1160" t="str">
            <v xml:space="preserve">UN    </v>
          </cell>
          <cell r="D1160">
            <v>21.52</v>
          </cell>
        </row>
        <row r="1161">
          <cell r="A1161">
            <v>10710</v>
          </cell>
          <cell r="B1161" t="str">
            <v>CARPETE DE NYLON EM MANTA PARA TRAFEGO COMERCIAL PESADO, E = 6 A 7 MM (INSTALADO)</v>
          </cell>
          <cell r="C1161" t="str">
            <v xml:space="preserve">M2    </v>
          </cell>
          <cell r="D1161">
            <v>90.98</v>
          </cell>
        </row>
        <row r="1162">
          <cell r="A1162">
            <v>10709</v>
          </cell>
          <cell r="B1162" t="str">
            <v>CARPETE DE NYLON EM MANTA PARA TRAFEGO COMERCIAL PESADO, E = 9 A 10 MM (INSTALADO)</v>
          </cell>
          <cell r="C1162" t="str">
            <v xml:space="preserve">M2    </v>
          </cell>
          <cell r="D1162">
            <v>111.77</v>
          </cell>
        </row>
        <row r="1163">
          <cell r="A1163">
            <v>39636</v>
          </cell>
          <cell r="B1163" t="str">
            <v>CARPETE DE NYLON EM PLACAS 50 X 50 CM PARA TRAFEGO COMERCIAL PESADO, E = 6,5 MM (INSTALADO)</v>
          </cell>
          <cell r="C1163" t="str">
            <v xml:space="preserve">M2    </v>
          </cell>
          <cell r="D1163">
            <v>114.13</v>
          </cell>
        </row>
        <row r="1164">
          <cell r="A1164">
            <v>10708</v>
          </cell>
          <cell r="B1164" t="str">
            <v>CARPETE DE POLIESTER EM MANTA PARA TRAFEGO COMERCIAL PESADO, E = 4 A 5 MM (INSTALADO)</v>
          </cell>
          <cell r="C1164" t="str">
            <v xml:space="preserve">M2    </v>
          </cell>
          <cell r="D1164">
            <v>35.22</v>
          </cell>
        </row>
        <row r="1165">
          <cell r="A1165">
            <v>39635</v>
          </cell>
          <cell r="B1165" t="str">
            <v>CARPETE DE POLIPROPILENO EM MANTA PARA TRAFEGO COMERCIAL MEDIO, E = 5 A 6 MM (INSTALADO)</v>
          </cell>
          <cell r="C1165" t="str">
            <v xml:space="preserve">M2    </v>
          </cell>
          <cell r="D1165">
            <v>59.96</v>
          </cell>
        </row>
        <row r="1166">
          <cell r="A1166">
            <v>6117</v>
          </cell>
          <cell r="B1166" t="str">
            <v>CARPINTEIRO AUXILIAR</v>
          </cell>
          <cell r="C1166" t="str">
            <v xml:space="preserve">H     </v>
          </cell>
          <cell r="D1166">
            <v>11.66</v>
          </cell>
        </row>
        <row r="1167">
          <cell r="A1167">
            <v>40913</v>
          </cell>
          <cell r="B1167" t="str">
            <v>CARPINTEIRO AUXILIAR (MENSALISTA)</v>
          </cell>
          <cell r="C1167" t="str">
            <v xml:space="preserve">MES   </v>
          </cell>
          <cell r="D1167">
            <v>2069.31</v>
          </cell>
        </row>
        <row r="1168">
          <cell r="A1168">
            <v>1214</v>
          </cell>
          <cell r="B1168" t="str">
            <v>CARPINTEIRO DE ESQUADRIAS</v>
          </cell>
          <cell r="C1168" t="str">
            <v xml:space="preserve">H     </v>
          </cell>
          <cell r="D1168">
            <v>16.149999999999999</v>
          </cell>
        </row>
        <row r="1169">
          <cell r="A1169">
            <v>40915</v>
          </cell>
          <cell r="B1169" t="str">
            <v>CARPINTEIRO DE ESQUADRIAS (MENSALISTA)</v>
          </cell>
          <cell r="C1169" t="str">
            <v xml:space="preserve">MES   </v>
          </cell>
          <cell r="D1169">
            <v>2867.93</v>
          </cell>
        </row>
        <row r="1170">
          <cell r="A1170">
            <v>1213</v>
          </cell>
          <cell r="B1170" t="str">
            <v>CARPINTEIRO DE FORMAS</v>
          </cell>
          <cell r="C1170" t="str">
            <v xml:space="preserve">H     </v>
          </cell>
          <cell r="D1170">
            <v>14.81</v>
          </cell>
        </row>
        <row r="1171">
          <cell r="A1171">
            <v>40914</v>
          </cell>
          <cell r="B1171" t="str">
            <v>CARPINTEIRO DE FORMAS (MENSALISTA)</v>
          </cell>
          <cell r="C1171" t="str">
            <v xml:space="preserve">MES   </v>
          </cell>
          <cell r="D1171">
            <v>2626.51</v>
          </cell>
        </row>
        <row r="1172">
          <cell r="A1172">
            <v>5091</v>
          </cell>
          <cell r="B1172" t="str">
            <v>CARRANCA PARA JANELA VENEZIANA DE ABRIR, EM LATAO CROMADO, SIMPLES, PARA APARAFUSAR NA PAREDE</v>
          </cell>
          <cell r="C1172" t="str">
            <v xml:space="preserve">UN    </v>
          </cell>
          <cell r="D1172">
            <v>16.190000000000001</v>
          </cell>
        </row>
        <row r="1173">
          <cell r="A1173">
            <v>14615</v>
          </cell>
          <cell r="B1173" t="str">
            <v>CARRINHO COM 2 PNEUS PARA TRANSPORTAR TUBO CONCRETO, ALTURA ATE 1,0 M E DIAMETRO ATE 1000MM, COM ESTRUTURA EM PERFIL OU TUBO METALICO</v>
          </cell>
          <cell r="C1173" t="str">
            <v xml:space="preserve">UN    </v>
          </cell>
          <cell r="D1173">
            <v>3542.6</v>
          </cell>
        </row>
        <row r="1174">
          <cell r="A1174">
            <v>2711</v>
          </cell>
          <cell r="B1174" t="str">
            <v>CARRINHO DE MAO DE ACO CAPACIDADE 50 A 60 L, PNEU COM CAMARA</v>
          </cell>
          <cell r="C1174" t="str">
            <v xml:space="preserve">UN    </v>
          </cell>
          <cell r="D1174">
            <v>120</v>
          </cell>
        </row>
        <row r="1175">
          <cell r="A1175">
            <v>37727</v>
          </cell>
          <cell r="B1175" t="str">
            <v>CARROCERIA FIXA ABERTA DE MADEIRA PARA TRANSPORTE GERAL DE CARGA SECA DIMENSOES APROXIMADAS 2,25 X 4,10 X 0,50 M (INCLUI MONTAGEM, NAO INCLUI CAMINHAO)</v>
          </cell>
          <cell r="C1175" t="str">
            <v xml:space="preserve">UN    </v>
          </cell>
          <cell r="D1175">
            <v>10548</v>
          </cell>
        </row>
        <row r="1176">
          <cell r="A1176">
            <v>37728</v>
          </cell>
          <cell r="B1176" t="str">
            <v>CARROCERIA FIXA ABERTA DE MADEIRA PARA TRANSPORTE GERAL DE CARGA SECA DIMENSOES APROXIMADAS 2,5 X 5,5 X 0,50 M (INCLUI MONTAGEM, NAO INCLUI CAMINHAO)</v>
          </cell>
          <cell r="C1176" t="str">
            <v xml:space="preserve">UN    </v>
          </cell>
          <cell r="D1176">
            <v>14309.87</v>
          </cell>
        </row>
        <row r="1177">
          <cell r="A1177">
            <v>37729</v>
          </cell>
          <cell r="B1177" t="str">
            <v>CARROCERIA FIXA ABERTA DE MADEIRA PARA TRANSPORTE GERAL DE CARGA SECA DIMENSOES APROXIMADAS 2,5 X 6,00 X 0,50 M (INCLUI MONTAGEM, NAO INCLUI CAMINHAO)</v>
          </cell>
          <cell r="C1177" t="str">
            <v xml:space="preserve">UN    </v>
          </cell>
          <cell r="D1177">
            <v>15490.07</v>
          </cell>
        </row>
        <row r="1178">
          <cell r="A1178">
            <v>37730</v>
          </cell>
          <cell r="B1178" t="str">
            <v>CARROCERIA FIXA ABERTA DE MADEIRA PARA TRANSPORTE GERAL DE CARGA SECA DIMENSOES APROXIMADAS 2,5 X 6,5 X 0,50 M (INCLUI MONTAGEM, NAO INCLUI CAMINHAO)</v>
          </cell>
          <cell r="C1178" t="str">
            <v xml:space="preserve">UN    </v>
          </cell>
          <cell r="D1178">
            <v>16670.259999999998</v>
          </cell>
        </row>
        <row r="1179">
          <cell r="A1179">
            <v>37731</v>
          </cell>
          <cell r="B1179" t="str">
            <v>CARROCERIA FIXA ABERTA DE MADEIRA PARA TRANSPORTE GERAL DE CARGA SECA DIMENSOES APROXIMADAS 2,5 X 7,00 X 0,50 M (INCLUI MONTAGEM, NAO INCLUI CAMINHAO)</v>
          </cell>
          <cell r="C1179" t="str">
            <v xml:space="preserve">UN    </v>
          </cell>
          <cell r="D1179">
            <v>17850.46</v>
          </cell>
        </row>
        <row r="1180">
          <cell r="A1180">
            <v>37732</v>
          </cell>
          <cell r="B1180" t="str">
            <v>CARROCERIA FIXA ABERTA DE MADEIRA PARA TRANSPORTE GERAL DE CARGA SECA DIMENSOES APROXIMADAS 2,5 X 7,5 X 0,50 M (INCLUI MONTAGEM, NAO INCLUI CAMINHAO)</v>
          </cell>
          <cell r="C1180" t="str">
            <v xml:space="preserve">UN    </v>
          </cell>
          <cell r="D1180">
            <v>20358.37</v>
          </cell>
        </row>
        <row r="1181">
          <cell r="A1181">
            <v>42250</v>
          </cell>
          <cell r="B1181" t="str">
            <v>CARVAO ANTRACITO PARA FILTRO, GRAO VARIANDO DE 0,8 ATE 1,1 MM, COEFICIENTE DE UNIFORMIDADE MENOR QUE 1,7 MM</v>
          </cell>
          <cell r="C1181" t="str">
            <v xml:space="preserve">T     </v>
          </cell>
          <cell r="D1181">
            <v>2138.77</v>
          </cell>
        </row>
        <row r="1182">
          <cell r="A1182">
            <v>42256</v>
          </cell>
          <cell r="B1182" t="str">
            <v>CARVAO ANTRACITO PARA FILTRO, GRAO VARIANDO DE 0,8 ATE 1,1 MM, COEFICIENTE DE UNIFORMIDADE MENOR QUE 1,7 MM (DISTRIBUIDOR)</v>
          </cell>
          <cell r="C1182" t="str">
            <v xml:space="preserve">KG    </v>
          </cell>
          <cell r="D1182">
            <v>4.4800000000000004</v>
          </cell>
        </row>
        <row r="1183">
          <cell r="A1183">
            <v>4743</v>
          </cell>
          <cell r="B1183" t="str">
            <v>CASCALHO DE CAVA</v>
          </cell>
          <cell r="C1183" t="str">
            <v xml:space="preserve">M3    </v>
          </cell>
          <cell r="D1183">
            <v>37.090000000000003</v>
          </cell>
        </row>
        <row r="1184">
          <cell r="A1184">
            <v>4744</v>
          </cell>
          <cell r="B1184" t="str">
            <v>CASCALHO DE RIO</v>
          </cell>
          <cell r="C1184" t="str">
            <v xml:space="preserve">M3    </v>
          </cell>
          <cell r="D1184">
            <v>48.48</v>
          </cell>
        </row>
        <row r="1185">
          <cell r="A1185">
            <v>4745</v>
          </cell>
          <cell r="B1185" t="str">
            <v>CASCALHO LAVADO</v>
          </cell>
          <cell r="C1185" t="str">
            <v xml:space="preserve">M3    </v>
          </cell>
          <cell r="D1185">
            <v>64.959999999999994</v>
          </cell>
        </row>
        <row r="1186">
          <cell r="A1186">
            <v>36496</v>
          </cell>
          <cell r="B1186" t="str">
            <v>CAVALETE PARA TALHA COM ESTRUTURA EM TUBO METALICO ALTURA MINIMA 3,2 M EQUIPADO COM RODAS DE BORRACHA PARA MOVIMENTACAO DE TUBOS DE CONCRETO NA CENTRAL DE PREMOLDADOS COM CAPACIDADE DE CARGA DE 3 TONELADAS</v>
          </cell>
          <cell r="C1186" t="str">
            <v xml:space="preserve">UN    </v>
          </cell>
          <cell r="D1186">
            <v>8994.59</v>
          </cell>
        </row>
        <row r="1187">
          <cell r="A1187">
            <v>10630</v>
          </cell>
          <cell r="B1187" t="str">
            <v>CAVALO MECANICO TRACAO 4X2, PESO BRUTO TOTAL COMBINADO 49000 KG, CAPACIDADE MAXIMA DE TRACAO *66000* KG, POTENCIA *360* CV (INCLUI CABINE E CHASSI, NAO INCLUI SEMIRREBOQUE)</v>
          </cell>
          <cell r="C1187" t="str">
            <v xml:space="preserve">UN    </v>
          </cell>
          <cell r="D1187">
            <v>459227</v>
          </cell>
        </row>
        <row r="1188">
          <cell r="A1188">
            <v>37762</v>
          </cell>
          <cell r="B1188" t="str">
            <v>CAVALO MECANICO TRACAO 4X2, PESO BRUTO TOTAL 16000 KG, CAPACIDADE MAXIMA DE TRACAO *36000* KG, DISTANCIA ENTRE EIXOS *3,56* M, POTENCIA *286* CV (INCLUI CABINE E CHASSI, NAO INCLUI SEMIRREBOQUE)</v>
          </cell>
          <cell r="C1188" t="str">
            <v xml:space="preserve">UN    </v>
          </cell>
          <cell r="D1188">
            <v>393850.98</v>
          </cell>
        </row>
        <row r="1189">
          <cell r="A1189">
            <v>37763</v>
          </cell>
          <cell r="B1189" t="str">
            <v>CAVALO MECANICO TRACAO 4X2, PESO BRUTO TOTAL 16000 KG, CAPACIDADE MAXIMA DE TRACAO *45000* KG, DISTANCIA ENTRE EIXOS *3,56* M, POTENCIA *330* CV (INCLUI CABINE E CHASSI, NAO INCLUI SEMIRREBOQUE)</v>
          </cell>
          <cell r="C1189" t="str">
            <v xml:space="preserve">UN    </v>
          </cell>
          <cell r="D1189">
            <v>398634.57</v>
          </cell>
        </row>
        <row r="1190">
          <cell r="A1190">
            <v>41992</v>
          </cell>
          <cell r="B1190" t="str">
            <v>CAVALO MECANICO TRACAO 4X2, PESO BRUTO TOTAL 16000 KG, CAPACIDADE MAXIMA DE TRACAO *80000* KG, POTENCIA *380* CV (INCLUI CABINE E CHASSI, NAO INCLUI SEMIRREBOQUE)</v>
          </cell>
          <cell r="C1190" t="str">
            <v xml:space="preserve">UN    </v>
          </cell>
          <cell r="D1190">
            <v>453167.79</v>
          </cell>
        </row>
        <row r="1191">
          <cell r="A1191">
            <v>13215</v>
          </cell>
          <cell r="B1191" t="str">
            <v>CAVALO MECANICO TRACAO 6X2, PESO BRUTO TOTAL COMBINADO 56000 KG, CAPACIDADE MAXIMA DE TRACAO *66000* KG, POTENCIA *360* CV (INCLUI CABINE E CHASSI, NAO INCLUI SEMIRREBOQUE)</v>
          </cell>
          <cell r="C1191" t="str">
            <v xml:space="preserve">UN    </v>
          </cell>
          <cell r="D1191">
            <v>555696.59</v>
          </cell>
        </row>
        <row r="1192">
          <cell r="A1192">
            <v>4235</v>
          </cell>
          <cell r="B1192" t="str">
            <v>CAVOUQUEIRO OU OPERADOR DE PERFURATRIZ / ROMPEDOR</v>
          </cell>
          <cell r="C1192" t="str">
            <v xml:space="preserve">H     </v>
          </cell>
          <cell r="D1192">
            <v>8.8000000000000007</v>
          </cell>
        </row>
        <row r="1193">
          <cell r="A1193">
            <v>40976</v>
          </cell>
          <cell r="B1193" t="str">
            <v>CAVOUQUEIRO OU OPERADOR DE PERFURATRIZ / ROMPEDOR (MENSALISTA)</v>
          </cell>
          <cell r="C1193" t="str">
            <v xml:space="preserve">MES   </v>
          </cell>
          <cell r="D1193">
            <v>1562.97</v>
          </cell>
        </row>
        <row r="1194">
          <cell r="A1194">
            <v>39013</v>
          </cell>
          <cell r="B1194" t="str">
            <v>CENTRALIZADOR DE BARRA DE ACO (CHUMBADOR TIPO CARAMBOLA), PARA ACO ATE 20 MM</v>
          </cell>
          <cell r="C1194" t="str">
            <v xml:space="preserve">UN    </v>
          </cell>
          <cell r="D1194">
            <v>0.91</v>
          </cell>
        </row>
        <row r="1195">
          <cell r="A1195">
            <v>43091</v>
          </cell>
          <cell r="B1195" t="str">
            <v>CENTRO DE MEDICAO AGRUPADA, EM POLICARBONATO / PVC, COM 12 MEDIDORES E PROTECAO GERAL (INCLUI BARRAMENTO, DISJUNTORES E ACESSORIOS DE FIXACAO) (PADRAO CONCESSIONARIA LOCAL)</v>
          </cell>
          <cell r="C1195" t="str">
            <v xml:space="preserve">UN    </v>
          </cell>
          <cell r="D1195">
            <v>4719.25</v>
          </cell>
        </row>
        <row r="1196">
          <cell r="A1196">
            <v>43092</v>
          </cell>
          <cell r="B1196" t="str">
            <v>CENTRO DE MEDICAO AGRUPADA, EM POLICARBONATO / PVC, COM 16 MEDIDORES E PROTECAO GERAL (INCLUI BARRAMENTO, DISJUNTORES E ACESSORIOS DE FIXACAO) (PADRAO CONCESSIONARIA LOCAL)</v>
          </cell>
          <cell r="C1196" t="str">
            <v xml:space="preserve">UN    </v>
          </cell>
          <cell r="D1196">
            <v>6292.33</v>
          </cell>
        </row>
        <row r="1197">
          <cell r="A1197">
            <v>43089</v>
          </cell>
          <cell r="B1197" t="str">
            <v>CENTRO DE MEDICAO AGRUPADA, EM POLICARBONATO / PVC, COM 4 MEDIDORES E PROTECAO GERAL (INCLUI BARRAMENTO, DISJUNTORES E ACESSORIOS DE FIXACAO) (PADRAO CONCESSIONARIA LOCAL)</v>
          </cell>
          <cell r="C1197" t="str">
            <v xml:space="preserve">UN    </v>
          </cell>
          <cell r="D1197">
            <v>1096.6199999999999</v>
          </cell>
        </row>
        <row r="1198">
          <cell r="A1198">
            <v>43090</v>
          </cell>
          <cell r="B1198" t="str">
            <v>CENTRO DE MEDICAO AGRUPADA, EM POLICARBONATO / PVC, COM 8 MEDIDORES E PROTECAO GERAL (INCLUI BARRAMENTO, DISJUNTORES E ACESSORIOS DE FIXACAO) (PADRAO CONCESSIONARIA LOCAL)</v>
          </cell>
          <cell r="C1198" t="str">
            <v xml:space="preserve">UN    </v>
          </cell>
          <cell r="D1198">
            <v>2420.12</v>
          </cell>
        </row>
        <row r="1199">
          <cell r="A1199">
            <v>41967</v>
          </cell>
          <cell r="B1199" t="str">
            <v>CERA  LIQUIDA</v>
          </cell>
          <cell r="C1199" t="str">
            <v xml:space="preserve">L     </v>
          </cell>
          <cell r="D1199">
            <v>7.27</v>
          </cell>
        </row>
        <row r="1200">
          <cell r="A1200">
            <v>12760</v>
          </cell>
          <cell r="B1200" t="str">
            <v>CHAPA ACO INOX AISI 304 NUMERO 4 (E = 6 MM), ACABAMENTO NUMERO 1 (LAMINADO A QUENTE, FOSCO)</v>
          </cell>
          <cell r="C1200" t="str">
            <v xml:space="preserve">M2    </v>
          </cell>
          <cell r="D1200">
            <v>1064.1400000000001</v>
          </cell>
        </row>
        <row r="1201">
          <cell r="A1201">
            <v>12759</v>
          </cell>
          <cell r="B1201" t="str">
            <v>CHAPA ACO INOX AISI 304 NUMERO 9 (E = 4 MM), ACABAMENTO NUMERO 1 (LAMINADO A QUENTE, FOSCO)</v>
          </cell>
          <cell r="C1201" t="str">
            <v xml:space="preserve">M2    </v>
          </cell>
          <cell r="D1201">
            <v>709.42</v>
          </cell>
        </row>
        <row r="1202">
          <cell r="A1202">
            <v>43105</v>
          </cell>
          <cell r="B1202" t="str">
            <v>CHAPA DE ACO CARBONO GALVANIZADA, PERFURADA (GRADE FUROS) E = 1,5 MM, DIAMETRO DO FURO = 9,52 MM (FUROS ALTERNADOS HORIZ.)</v>
          </cell>
          <cell r="C1202" t="str">
            <v xml:space="preserve">KG    </v>
          </cell>
          <cell r="D1202">
            <v>30.47</v>
          </cell>
        </row>
        <row r="1203">
          <cell r="A1203">
            <v>40424</v>
          </cell>
          <cell r="B1203" t="str">
            <v>CHAPA DE ACO CARBONO LAMINADO A QUENTE, QUALIDADE ESTRUTURAL, BITOLA 3/16", E =4,75 MM (37,29 KG/M2)</v>
          </cell>
          <cell r="C1203" t="str">
            <v xml:space="preserve">KG    </v>
          </cell>
          <cell r="D1203">
            <v>7.74</v>
          </cell>
        </row>
        <row r="1204">
          <cell r="A1204">
            <v>1325</v>
          </cell>
          <cell r="B1204" t="str">
            <v>CHAPA DE ACO FINA A FRIO BITOLA MSG 20, E = 0,90 MM (7,20 KG/M2)</v>
          </cell>
          <cell r="C1204" t="str">
            <v xml:space="preserve">KG    </v>
          </cell>
          <cell r="D1204">
            <v>8.48</v>
          </cell>
        </row>
        <row r="1205">
          <cell r="A1205">
            <v>1327</v>
          </cell>
          <cell r="B1205" t="str">
            <v>CHAPA DE ACO FINA A FRIO BITOLA MSG 24, E = 0,60 MM (4,80 KG/M2)</v>
          </cell>
          <cell r="C1205" t="str">
            <v xml:space="preserve">KG    </v>
          </cell>
          <cell r="D1205">
            <v>9.0299999999999994</v>
          </cell>
        </row>
        <row r="1206">
          <cell r="A1206">
            <v>1328</v>
          </cell>
          <cell r="B1206" t="str">
            <v>CHAPA DE ACO FINA A FRIO BITOLA MSG 26, E = 0,45 MM (3,60 KG/M2)</v>
          </cell>
          <cell r="C1206" t="str">
            <v xml:space="preserve">KG    </v>
          </cell>
          <cell r="D1206">
            <v>8.5</v>
          </cell>
        </row>
        <row r="1207">
          <cell r="A1207">
            <v>1321</v>
          </cell>
          <cell r="B1207" t="str">
            <v>CHAPA DE ACO FINA A QUENTE BITOLA MSG 13, E = 2,25 MM (18,00 KG/M2)</v>
          </cell>
          <cell r="C1207" t="str">
            <v xml:space="preserve">KG    </v>
          </cell>
          <cell r="D1207">
            <v>7.87</v>
          </cell>
        </row>
        <row r="1208">
          <cell r="A1208">
            <v>1318</v>
          </cell>
          <cell r="B1208" t="str">
            <v>CHAPA DE ACO FINA A QUENTE BITOLA MSG 14, E = 2,00 MM (16,0 KG/M2)</v>
          </cell>
          <cell r="C1208" t="str">
            <v xml:space="preserve">KG    </v>
          </cell>
          <cell r="D1208">
            <v>7.88</v>
          </cell>
        </row>
        <row r="1209">
          <cell r="A1209">
            <v>1322</v>
          </cell>
          <cell r="B1209" t="str">
            <v>CHAPA DE ACO FINA A QUENTE BITOLA MSG 16, E = 1,50 MM (12,00 KG/M2)</v>
          </cell>
          <cell r="C1209" t="str">
            <v xml:space="preserve">KG    </v>
          </cell>
          <cell r="D1209">
            <v>8.32</v>
          </cell>
        </row>
        <row r="1210">
          <cell r="A1210">
            <v>1323</v>
          </cell>
          <cell r="B1210" t="str">
            <v>CHAPA DE ACO FINA A QUENTE BITOLA MSG 18, E = 1,20 MM (9,60 KG/M2)</v>
          </cell>
          <cell r="C1210" t="str">
            <v xml:space="preserve">KG    </v>
          </cell>
          <cell r="D1210">
            <v>8.32</v>
          </cell>
        </row>
        <row r="1211">
          <cell r="A1211">
            <v>1319</v>
          </cell>
          <cell r="B1211" t="str">
            <v>CHAPA DE ACO FINA A QUENTE BITOLA MSG 3/16 ", E = 4,75 MM (38,00 KG/M2)</v>
          </cell>
          <cell r="C1211" t="str">
            <v xml:space="preserve">KG    </v>
          </cell>
          <cell r="D1211">
            <v>7.01</v>
          </cell>
        </row>
        <row r="1212">
          <cell r="A1212">
            <v>11026</v>
          </cell>
          <cell r="B1212" t="str">
            <v>CHAPA DE ACO GALVANIZADA BITOLA GSG 14, E = 1,95 MM (15,60 KG/M2)</v>
          </cell>
          <cell r="C1212" t="str">
            <v xml:space="preserve">KG    </v>
          </cell>
          <cell r="D1212">
            <v>9.64</v>
          </cell>
        </row>
        <row r="1213">
          <cell r="A1213">
            <v>11027</v>
          </cell>
          <cell r="B1213" t="str">
            <v>CHAPA DE ACO GALVANIZADA BITOLA GSG 16, E = 1,55 MM (12,40 KG/M2)</v>
          </cell>
          <cell r="C1213" t="str">
            <v xml:space="preserve">KG    </v>
          </cell>
          <cell r="D1213">
            <v>10.039999999999999</v>
          </cell>
        </row>
        <row r="1214">
          <cell r="A1214">
            <v>11046</v>
          </cell>
          <cell r="B1214" t="str">
            <v>CHAPA DE ACO GALVANIZADA BITOLA GSG 18, E = 1,25 MM (10,00 KG/M2)</v>
          </cell>
          <cell r="C1214" t="str">
            <v xml:space="preserve">KG    </v>
          </cell>
          <cell r="D1214">
            <v>9.61</v>
          </cell>
        </row>
        <row r="1215">
          <cell r="A1215">
            <v>11047</v>
          </cell>
          <cell r="B1215" t="str">
            <v>CHAPA DE ACO GALVANIZADA BITOLA GSG 19, E = 1,11 MM (8,88 KG/M2)</v>
          </cell>
          <cell r="C1215" t="str">
            <v xml:space="preserve">KG    </v>
          </cell>
          <cell r="D1215">
            <v>10.48</v>
          </cell>
        </row>
        <row r="1216">
          <cell r="A1216">
            <v>43668</v>
          </cell>
          <cell r="B1216" t="str">
            <v>CHAPA DE ACO GALVANIZADA BITOLA GSG 20, E = 0,95 MM (7,60 KG/M2)</v>
          </cell>
          <cell r="C1216" t="str">
            <v xml:space="preserve">KG    </v>
          </cell>
          <cell r="D1216">
            <v>9.25</v>
          </cell>
        </row>
        <row r="1217">
          <cell r="A1217">
            <v>11049</v>
          </cell>
          <cell r="B1217" t="str">
            <v>CHAPA DE ACO GALVANIZADA BITOLA GSG 22, E = 0,80 MM (6,40 KG/M2)</v>
          </cell>
          <cell r="C1217" t="str">
            <v xml:space="preserve">KG    </v>
          </cell>
          <cell r="D1217">
            <v>10.02</v>
          </cell>
        </row>
        <row r="1218">
          <cell r="A1218">
            <v>43106</v>
          </cell>
          <cell r="B1218" t="str">
            <v>CHAPA DE ACO GALVANIZADA BITOLA GSG 24, E = 0,64 (5,12 KG/M2)</v>
          </cell>
          <cell r="C1218" t="str">
            <v xml:space="preserve">KG    </v>
          </cell>
          <cell r="D1218">
            <v>10.08</v>
          </cell>
        </row>
        <row r="1219">
          <cell r="A1219">
            <v>11051</v>
          </cell>
          <cell r="B1219" t="str">
            <v>CHAPA DE ACO GALVANIZADA BITOLA GSG 26, E = 0,50 MM (4,00 KG/M2)</v>
          </cell>
          <cell r="C1219" t="str">
            <v xml:space="preserve">KG    </v>
          </cell>
          <cell r="D1219">
            <v>10.52</v>
          </cell>
        </row>
        <row r="1220">
          <cell r="A1220">
            <v>11061</v>
          </cell>
          <cell r="B1220" t="str">
            <v>CHAPA DE ACO GALVANIZADA BITOLA GSG 30, E = 0,35 MM (2,80 KG/M2)</v>
          </cell>
          <cell r="C1220" t="str">
            <v xml:space="preserve">KG    </v>
          </cell>
          <cell r="D1220">
            <v>12.62</v>
          </cell>
        </row>
        <row r="1221">
          <cell r="A1221">
            <v>43667</v>
          </cell>
          <cell r="B1221" t="str">
            <v>CHAPA DE ACO GROSSA, ASTM A36, E = 1 " (25,40 MM) 199,18 KG/M2</v>
          </cell>
          <cell r="C1221" t="str">
            <v xml:space="preserve">KG    </v>
          </cell>
          <cell r="D1221">
            <v>9.17</v>
          </cell>
        </row>
        <row r="1222">
          <cell r="A1222">
            <v>1333</v>
          </cell>
          <cell r="B1222" t="str">
            <v>CHAPA DE ACO GROSSA, ASTM A36, E = 1/2 " (12,70 MM) 99,59 KG/M2</v>
          </cell>
          <cell r="C1222" t="str">
            <v xml:space="preserve">KG    </v>
          </cell>
          <cell r="D1222">
            <v>7.64</v>
          </cell>
        </row>
        <row r="1223">
          <cell r="A1223">
            <v>1330</v>
          </cell>
          <cell r="B1223" t="str">
            <v>CHAPA DE ACO GROSSA, ASTM A36, E = 1/4 " (6,35 MM) 49,79 KG/M2</v>
          </cell>
          <cell r="C1223" t="str">
            <v xml:space="preserve">KG    </v>
          </cell>
          <cell r="D1223">
            <v>7.57</v>
          </cell>
        </row>
        <row r="1224">
          <cell r="A1224">
            <v>10957</v>
          </cell>
          <cell r="B1224" t="str">
            <v>CHAPA DE ACO GROSSA, ASTM A36, E = 3/4 " (19,05 MM) 149,39 KG/M2</v>
          </cell>
          <cell r="C1224" t="str">
            <v xml:space="preserve">KG    </v>
          </cell>
          <cell r="D1224">
            <v>8.73</v>
          </cell>
        </row>
        <row r="1225">
          <cell r="A1225">
            <v>1332</v>
          </cell>
          <cell r="B1225" t="str">
            <v>CHAPA DE ACO GROSSA, ASTM A36, E = 3/8 " (9,53 MM) 74,69 KG/M2</v>
          </cell>
          <cell r="C1225" t="str">
            <v xml:space="preserve">KG    </v>
          </cell>
          <cell r="D1225">
            <v>7.76</v>
          </cell>
        </row>
        <row r="1226">
          <cell r="A1226">
            <v>1334</v>
          </cell>
          <cell r="B1226" t="str">
            <v>CHAPA DE ACO GROSSA, ASTM A36, E = 5/8 " (15,88 MM) 124,49 KG/M2</v>
          </cell>
          <cell r="C1226" t="str">
            <v xml:space="preserve">KG    </v>
          </cell>
          <cell r="D1226">
            <v>8.61</v>
          </cell>
        </row>
        <row r="1227">
          <cell r="A1227">
            <v>1335</v>
          </cell>
          <cell r="B1227" t="str">
            <v>CHAPA DE ACO GROSSA, ASTM A36, E = 7/8 " (22,23 MM) 174,28 KG/M2</v>
          </cell>
          <cell r="C1227" t="str">
            <v xml:space="preserve">KG    </v>
          </cell>
          <cell r="D1227">
            <v>8.89</v>
          </cell>
        </row>
        <row r="1228">
          <cell r="A1228">
            <v>40425</v>
          </cell>
          <cell r="B1228" t="str">
            <v>CHAPA DE ACO GROSSA, SAE 1020, BITOLA 1/4", E = 6,35 MM (49,85 KG/M2)</v>
          </cell>
          <cell r="C1228" t="str">
            <v xml:space="preserve">KG    </v>
          </cell>
          <cell r="D1228">
            <v>7.61</v>
          </cell>
        </row>
        <row r="1229">
          <cell r="A1229">
            <v>1337</v>
          </cell>
          <cell r="B1229" t="str">
            <v>CHAPA DE ACO XADREZ PARA PISOS, E = 1/4 " (6,30 MM) 54,53 KG/M2</v>
          </cell>
          <cell r="C1229" t="str">
            <v xml:space="preserve">KG    </v>
          </cell>
          <cell r="D1229">
            <v>8.73</v>
          </cell>
        </row>
        <row r="1230">
          <cell r="A1230">
            <v>39416</v>
          </cell>
          <cell r="B1230" t="str">
            <v>CHAPA DE GESSO ACARTONADO, RESISTENTE A UMIDADE (RU), COR VERDE, E = 12,5 MM, 1200 X 1800 MM (L X C)</v>
          </cell>
          <cell r="C1230" t="str">
            <v xml:space="preserve">M2    </v>
          </cell>
          <cell r="D1230">
            <v>28.52</v>
          </cell>
        </row>
        <row r="1231">
          <cell r="A1231">
            <v>39417</v>
          </cell>
          <cell r="B1231" t="str">
            <v>CHAPA DE GESSO ACARTONADO, RESISTENTE A UMIDADE (RU), COR VERDE, E = 12,5 MM, 1200 X 2400 MM (L X C)</v>
          </cell>
          <cell r="C1231" t="str">
            <v xml:space="preserve">M2    </v>
          </cell>
          <cell r="D1231">
            <v>29.9</v>
          </cell>
        </row>
        <row r="1232">
          <cell r="A1232">
            <v>39414</v>
          </cell>
          <cell r="B1232" t="str">
            <v>CHAPA DE GESSO ACARTONADO, RESISTENTE AO FOGO (RF), COR ROSA, E = 12,5 MM, 1200 X 1800 MM (L X C)</v>
          </cell>
          <cell r="C1232" t="str">
            <v xml:space="preserve">M2    </v>
          </cell>
          <cell r="D1232">
            <v>26.78</v>
          </cell>
        </row>
        <row r="1233">
          <cell r="A1233">
            <v>39415</v>
          </cell>
          <cell r="B1233" t="str">
            <v>CHAPA DE GESSO ACARTONADO, RESISTENTE AO FOGO (RF), COR ROSA, E = 12,5 MM, 1200 X 2400 MM (L X C)</v>
          </cell>
          <cell r="C1233" t="str">
            <v xml:space="preserve">M2    </v>
          </cell>
          <cell r="D1233">
            <v>28.38</v>
          </cell>
        </row>
        <row r="1234">
          <cell r="A1234">
            <v>39412</v>
          </cell>
          <cell r="B1234" t="str">
            <v>CHAPA DE GESSO ACARTONADO, STANDARD (ST), COR BRANCA, E = 12,5 MM, 1200 X 1800 MM (L X C)</v>
          </cell>
          <cell r="C1234" t="str">
            <v xml:space="preserve">M2    </v>
          </cell>
          <cell r="D1234">
            <v>20.16</v>
          </cell>
        </row>
        <row r="1235">
          <cell r="A1235">
            <v>39413</v>
          </cell>
          <cell r="B1235" t="str">
            <v>CHAPA DE GESSO ACARTONADO, STANDARD (ST), COR BRANCA, E = 12,5 MM, 1200 X 2400 MM (L X C)</v>
          </cell>
          <cell r="C1235" t="str">
            <v xml:space="preserve">M2    </v>
          </cell>
          <cell r="D1235">
            <v>19.97</v>
          </cell>
        </row>
        <row r="1236">
          <cell r="A1236">
            <v>1338</v>
          </cell>
          <cell r="B1236" t="str">
            <v>CHAPA DE LAMINADO MELAMINICO, LISO BRILHANTE, DE *1,25 X 3,08* M, E = 0,8 MM</v>
          </cell>
          <cell r="C1236" t="str">
            <v xml:space="preserve">M2    </v>
          </cell>
          <cell r="D1236">
            <v>30.19</v>
          </cell>
        </row>
        <row r="1237">
          <cell r="A1237">
            <v>1340</v>
          </cell>
          <cell r="B1237" t="str">
            <v>CHAPA DE LAMINADO MELAMINICO, LISO FOSCO, DE *1,25 X 3,08* M, E = 0,8 MM</v>
          </cell>
          <cell r="C1237" t="str">
            <v xml:space="preserve">M2    </v>
          </cell>
          <cell r="D1237">
            <v>34.9</v>
          </cell>
        </row>
        <row r="1238">
          <cell r="A1238">
            <v>1341</v>
          </cell>
          <cell r="B1238" t="str">
            <v>CHAPA DE LAMINADO MELAMINICO, TEXTURIZADO, DE *1,25 X 3,08* M, E = 0,8 MM</v>
          </cell>
          <cell r="C1238" t="str">
            <v xml:space="preserve">M2    </v>
          </cell>
          <cell r="D1238">
            <v>33.61</v>
          </cell>
        </row>
        <row r="1239">
          <cell r="A1239">
            <v>11134</v>
          </cell>
          <cell r="B1239" t="str">
            <v>CHAPA DE MADEIRA COMPENSADA NAVAL (COM COLA FENOLICA), E = 10 MM, DE *1,60 X 2,20* M</v>
          </cell>
          <cell r="C1239" t="str">
            <v xml:space="preserve">M2    </v>
          </cell>
          <cell r="D1239">
            <v>27.23</v>
          </cell>
        </row>
        <row r="1240">
          <cell r="A1240">
            <v>11135</v>
          </cell>
          <cell r="B1240" t="str">
            <v>CHAPA DE MADEIRA COMPENSADA NAVAL (COM COLA FENOLICA), E = 12 MM, DE *1,60 X 2,20* M</v>
          </cell>
          <cell r="C1240" t="str">
            <v xml:space="preserve">M2    </v>
          </cell>
          <cell r="D1240">
            <v>33.19</v>
          </cell>
        </row>
        <row r="1241">
          <cell r="A1241">
            <v>11136</v>
          </cell>
          <cell r="B1241" t="str">
            <v>CHAPA DE MADEIRA COMPENSADA NAVAL (COM COLA FENOLICA), E = 15 MM, DE *1,60 X 2,20* M</v>
          </cell>
          <cell r="C1241" t="str">
            <v xml:space="preserve">M2    </v>
          </cell>
          <cell r="D1241">
            <v>35.9</v>
          </cell>
        </row>
        <row r="1242">
          <cell r="A1242">
            <v>34743</v>
          </cell>
          <cell r="B1242" t="str">
            <v>CHAPA DE MADEIRA COMPENSADA NAVAL (COM COLA FENOLICA), E = 18 MM, DE *1,60 X 2,20* M</v>
          </cell>
          <cell r="C1242" t="str">
            <v xml:space="preserve">M2    </v>
          </cell>
          <cell r="D1242">
            <v>45.71</v>
          </cell>
        </row>
        <row r="1243">
          <cell r="A1243">
            <v>11137</v>
          </cell>
          <cell r="B1243" t="str">
            <v>CHAPA DE MADEIRA COMPENSADA NAVAL (COM COLA FENOLICA), E = 20 MM, DE *1,60 X 2,20* M</v>
          </cell>
          <cell r="C1243" t="str">
            <v xml:space="preserve">M2    </v>
          </cell>
          <cell r="D1243">
            <v>50.97</v>
          </cell>
        </row>
        <row r="1244">
          <cell r="A1244">
            <v>34745</v>
          </cell>
          <cell r="B1244" t="str">
            <v>CHAPA DE MADEIRA COMPENSADA NAVAL (COM COLA FENOLICA), E = 25 MM, DE *1,60 X 2,20* M</v>
          </cell>
          <cell r="C1244" t="str">
            <v xml:space="preserve">M2    </v>
          </cell>
          <cell r="D1244">
            <v>58.09</v>
          </cell>
        </row>
        <row r="1245">
          <cell r="A1245">
            <v>34746</v>
          </cell>
          <cell r="B1245" t="str">
            <v>CHAPA DE MADEIRA COMPENSADA NAVAL (COM COLA FENOLICA), E = 4 MM, DE *1,60 X 2,20* M</v>
          </cell>
          <cell r="C1245" t="str">
            <v xml:space="preserve">M2    </v>
          </cell>
          <cell r="D1245">
            <v>14.96</v>
          </cell>
        </row>
        <row r="1246">
          <cell r="A1246">
            <v>1360</v>
          </cell>
          <cell r="B1246" t="str">
            <v>CHAPA DE MADEIRA COMPENSADA NAVAL (COM COLA FENOLICA), E = 6 MM, DE *1,60 X 2,20* M</v>
          </cell>
          <cell r="C1246" t="str">
            <v xml:space="preserve">M2    </v>
          </cell>
          <cell r="D1246">
            <v>18.48</v>
          </cell>
        </row>
        <row r="1247">
          <cell r="A1247">
            <v>1346</v>
          </cell>
          <cell r="B1247" t="str">
            <v>CHAPA DE MADEIRA COMPENSADA PLASTIFICADA PARA FORMA DE CONCRETO, DE 2,20 x 1,10 M, E = 10 MM</v>
          </cell>
          <cell r="C1247" t="str">
            <v xml:space="preserve">M2    </v>
          </cell>
          <cell r="D1247">
            <v>25.93</v>
          </cell>
        </row>
        <row r="1248">
          <cell r="A1248">
            <v>1345</v>
          </cell>
          <cell r="B1248" t="str">
            <v>CHAPA DE MADEIRA COMPENSADA PLASTIFICADA PARA FORMA DE CONCRETO, DE 2,20 x 1,10 M, E = 18 MM</v>
          </cell>
          <cell r="C1248" t="str">
            <v xml:space="preserve">M2    </v>
          </cell>
          <cell r="D1248">
            <v>42.02</v>
          </cell>
        </row>
        <row r="1249">
          <cell r="A1249">
            <v>1347</v>
          </cell>
          <cell r="B1249" t="str">
            <v>CHAPA DE MADEIRA COMPENSADA PLASTIFICADA PARA FORMA DE CONCRETO, DE 2,20 X 1,10 M, E = 12 MM</v>
          </cell>
          <cell r="C1249" t="str">
            <v xml:space="preserve">M2    </v>
          </cell>
          <cell r="D1249">
            <v>30.99</v>
          </cell>
        </row>
        <row r="1250">
          <cell r="A1250">
            <v>1355</v>
          </cell>
          <cell r="B1250" t="str">
            <v>CHAPA DE MADEIRA COMPENSADA RESINADA PARA FORMA DE CONCRETO, DE *2,2 X 1,1* M, E = 14 MM</v>
          </cell>
          <cell r="C1250" t="str">
            <v xml:space="preserve">M2    </v>
          </cell>
          <cell r="D1250">
            <v>22.98</v>
          </cell>
        </row>
        <row r="1251">
          <cell r="A1251">
            <v>1358</v>
          </cell>
          <cell r="B1251" t="str">
            <v>CHAPA DE MADEIRA COMPENSADA RESINADA PARA FORMA DE CONCRETO, DE *2,2 X 1,1* M, E = 17 MM</v>
          </cell>
          <cell r="C1251" t="str">
            <v xml:space="preserve">M2    </v>
          </cell>
          <cell r="D1251">
            <v>26.62</v>
          </cell>
        </row>
        <row r="1252">
          <cell r="A1252">
            <v>34659</v>
          </cell>
          <cell r="B1252" t="str">
            <v>CHAPA DE MDF BRANCO LISO 1 FACE, E = 12 MM, DE *2,75 X 1,85* M</v>
          </cell>
          <cell r="C1252" t="str">
            <v xml:space="preserve">M2    </v>
          </cell>
          <cell r="D1252">
            <v>26.25</v>
          </cell>
        </row>
        <row r="1253">
          <cell r="A1253">
            <v>34514</v>
          </cell>
          <cell r="B1253" t="str">
            <v>CHAPA DE MDF BRANCO LISO 1 FACE, E = 15 MM, DE *2,75 X 1,85* M</v>
          </cell>
          <cell r="C1253" t="str">
            <v xml:space="preserve">M2    </v>
          </cell>
          <cell r="D1253">
            <v>29.08</v>
          </cell>
        </row>
        <row r="1254">
          <cell r="A1254">
            <v>34660</v>
          </cell>
          <cell r="B1254" t="str">
            <v>CHAPA DE MDF BRANCO LISO 1 FACE, E = 18 MM, DE *2,75 X 1,85* M</v>
          </cell>
          <cell r="C1254" t="str">
            <v xml:space="preserve">M2    </v>
          </cell>
          <cell r="D1254">
            <v>36.9</v>
          </cell>
        </row>
        <row r="1255">
          <cell r="A1255">
            <v>34661</v>
          </cell>
          <cell r="B1255" t="str">
            <v>CHAPA DE MDF BRANCO LISO 1 FACE, E = 25 MM, DE *2,75 X 1,85* M</v>
          </cell>
          <cell r="C1255" t="str">
            <v xml:space="preserve">M2    </v>
          </cell>
          <cell r="D1255">
            <v>53</v>
          </cell>
        </row>
        <row r="1256">
          <cell r="A1256">
            <v>34667</v>
          </cell>
          <cell r="B1256" t="str">
            <v>CHAPA DE MDF BRANCO LISO 1 FACE, E = 6 MM, DE *2,75 X 1,85* M</v>
          </cell>
          <cell r="C1256" t="str">
            <v xml:space="preserve">M2    </v>
          </cell>
          <cell r="D1256">
            <v>19.190000000000001</v>
          </cell>
        </row>
        <row r="1257">
          <cell r="A1257">
            <v>34668</v>
          </cell>
          <cell r="B1257" t="str">
            <v>CHAPA DE MDF BRANCO LISO 1 FACE, E = 9 MM, DE *2,75 X 1,85* M</v>
          </cell>
          <cell r="C1257" t="str">
            <v xml:space="preserve">M2    </v>
          </cell>
          <cell r="D1257">
            <v>25.08</v>
          </cell>
        </row>
        <row r="1258">
          <cell r="A1258">
            <v>34741</v>
          </cell>
          <cell r="B1258" t="str">
            <v>CHAPA DE MDF BRANCO LISO 2 FACES, E = 12 MM, DE *2,75 X 1,85* M</v>
          </cell>
          <cell r="C1258" t="str">
            <v xml:space="preserve">M2    </v>
          </cell>
          <cell r="D1258">
            <v>27.6</v>
          </cell>
        </row>
        <row r="1259">
          <cell r="A1259">
            <v>34664</v>
          </cell>
          <cell r="B1259" t="str">
            <v>CHAPA DE MDF BRANCO LISO 2 FACES, E = 15 MM, DE *2,75 X 1,85* M</v>
          </cell>
          <cell r="C1259" t="str">
            <v xml:space="preserve">M2    </v>
          </cell>
          <cell r="D1259">
            <v>30.12</v>
          </cell>
        </row>
        <row r="1260">
          <cell r="A1260">
            <v>34665</v>
          </cell>
          <cell r="B1260" t="str">
            <v>CHAPA DE MDF BRANCO LISO 2 FACES, E = 18 MM, DE *2,75 X 1,85* M</v>
          </cell>
          <cell r="C1260" t="str">
            <v xml:space="preserve">M2    </v>
          </cell>
          <cell r="D1260">
            <v>37.39</v>
          </cell>
        </row>
        <row r="1261">
          <cell r="A1261">
            <v>34666</v>
          </cell>
          <cell r="B1261" t="str">
            <v>CHAPA DE MDF BRANCO LISO 2 FACES, E = 25 MM, DE *2,75 X 1,85* M</v>
          </cell>
          <cell r="C1261" t="str">
            <v xml:space="preserve">M2    </v>
          </cell>
          <cell r="D1261">
            <v>56.47</v>
          </cell>
        </row>
        <row r="1262">
          <cell r="A1262">
            <v>34669</v>
          </cell>
          <cell r="B1262" t="str">
            <v>CHAPA DE MDF BRANCO LISO 2 FACES, E = 6 MM, DE *2,75 X 1,85* M</v>
          </cell>
          <cell r="C1262" t="str">
            <v xml:space="preserve">M2    </v>
          </cell>
          <cell r="D1262">
            <v>20.7</v>
          </cell>
        </row>
        <row r="1263">
          <cell r="A1263">
            <v>34670</v>
          </cell>
          <cell r="B1263" t="str">
            <v>CHAPA DE MDF BRANCO LISO 2 FACES, E = 9 MM, DE *2,75 X 1,85* M</v>
          </cell>
          <cell r="C1263" t="str">
            <v xml:space="preserve">M2    </v>
          </cell>
          <cell r="D1263">
            <v>25.32</v>
          </cell>
        </row>
        <row r="1264">
          <cell r="A1264">
            <v>34671</v>
          </cell>
          <cell r="B1264" t="str">
            <v>CHAPA DE MDF CRU, E = 12 MM, DE *2,75 X 1,85* M</v>
          </cell>
          <cell r="C1264" t="str">
            <v xml:space="preserve">M2    </v>
          </cell>
          <cell r="D1264">
            <v>21.14</v>
          </cell>
        </row>
        <row r="1265">
          <cell r="A1265">
            <v>34672</v>
          </cell>
          <cell r="B1265" t="str">
            <v>CHAPA DE MDF CRU, E = 15 MM, DE *2,75 X 1,85* M</v>
          </cell>
          <cell r="C1265" t="str">
            <v xml:space="preserve">M2    </v>
          </cell>
          <cell r="D1265">
            <v>22.29</v>
          </cell>
        </row>
        <row r="1266">
          <cell r="A1266">
            <v>34673</v>
          </cell>
          <cell r="B1266" t="str">
            <v>CHAPA DE MDF CRU, E = 18 MM, DE *2,75 X 1,85* M</v>
          </cell>
          <cell r="C1266" t="str">
            <v xml:space="preserve">M2    </v>
          </cell>
          <cell r="D1266">
            <v>27.2</v>
          </cell>
        </row>
        <row r="1267">
          <cell r="A1267">
            <v>34674</v>
          </cell>
          <cell r="B1267" t="str">
            <v>CHAPA DE MDF CRU, E = 20 MM, DE *2,75 X 1,85* M</v>
          </cell>
          <cell r="C1267" t="str">
            <v xml:space="preserve">M2    </v>
          </cell>
          <cell r="D1267">
            <v>36.159999999999997</v>
          </cell>
        </row>
        <row r="1268">
          <cell r="A1268">
            <v>34675</v>
          </cell>
          <cell r="B1268" t="str">
            <v>CHAPA DE MDF CRU, E = 25 MM, DE *2,75 X 1,85* M</v>
          </cell>
          <cell r="C1268" t="str">
            <v xml:space="preserve">M2    </v>
          </cell>
          <cell r="D1268">
            <v>44.09</v>
          </cell>
        </row>
        <row r="1269">
          <cell r="A1269">
            <v>34676</v>
          </cell>
          <cell r="B1269" t="str">
            <v>CHAPA DE MDF CRU, E = 6 MM, DE *2,75 X 1,85* M</v>
          </cell>
          <cell r="C1269" t="str">
            <v xml:space="preserve">M2    </v>
          </cell>
          <cell r="D1269">
            <v>12.69</v>
          </cell>
        </row>
        <row r="1270">
          <cell r="A1270">
            <v>34677</v>
          </cell>
          <cell r="B1270" t="str">
            <v>CHAPA DE MDF CRU, E = 9 MM, DE *2,75 X 1,85* M</v>
          </cell>
          <cell r="C1270" t="str">
            <v xml:space="preserve">M2    </v>
          </cell>
          <cell r="D1270">
            <v>17.059999999999999</v>
          </cell>
        </row>
        <row r="1271">
          <cell r="A1271">
            <v>43126</v>
          </cell>
          <cell r="B1271" t="str">
            <v>CHAPA EM ACO GALVANIZADO PARA STEEL DECK, COM NERVURAS TRAPEZOIDAIS, LARGURA UTIL DE 915 MM E ESPESSURA DE 0,80 MM</v>
          </cell>
          <cell r="C1271" t="str">
            <v xml:space="preserve">M2    </v>
          </cell>
          <cell r="D1271">
            <v>65.16</v>
          </cell>
        </row>
        <row r="1272">
          <cell r="A1272">
            <v>43124</v>
          </cell>
          <cell r="B1272" t="str">
            <v>CHAPA EM ACO GALVANIZADO PARA STEEL DECK, COM NERVURAS TRAPEZOIDAIS, LARGURA UTIL DE 915 MM E ESPESSURA DE 0,95 MM</v>
          </cell>
          <cell r="C1272" t="str">
            <v xml:space="preserve">M2    </v>
          </cell>
          <cell r="D1272">
            <v>76.08</v>
          </cell>
        </row>
        <row r="1273">
          <cell r="A1273">
            <v>43125</v>
          </cell>
          <cell r="B1273" t="str">
            <v>CHAPA EM ACO GALVANIZADO PARA STEEL DECK, COM NERVURAS TRAPEZOIDAIS, LARGURA UTIL DE 915 MM E ESPESSURA DE 1,25 MM</v>
          </cell>
          <cell r="C1273" t="str">
            <v xml:space="preserve">M2    </v>
          </cell>
          <cell r="D1273">
            <v>98.67</v>
          </cell>
        </row>
        <row r="1274">
          <cell r="A1274">
            <v>40623</v>
          </cell>
          <cell r="B1274" t="str">
            <v>CHAPA PARA EMENDA DE VIGA, EM ACO GROSSO, QUALIDADE ESTRUTURAL, BITOLA 3/16 ", E= 4,75 MM, 4 FUROS, LARGURA 45 MM, COMPRIMENTO 500 MM</v>
          </cell>
          <cell r="C1274" t="str">
            <v xml:space="preserve">PAR   </v>
          </cell>
          <cell r="D1274">
            <v>84.99</v>
          </cell>
        </row>
        <row r="1275">
          <cell r="A1275">
            <v>43701</v>
          </cell>
          <cell r="B1275" t="str">
            <v>CHAPA/BOBINA LISA EM ALUMINIO, LIGA 1.200 - H14, QUALQUER ESPESSURA, QUALQUER LARGURA</v>
          </cell>
          <cell r="C1275" t="str">
            <v xml:space="preserve">KG    </v>
          </cell>
          <cell r="D1275">
            <v>26.83</v>
          </cell>
        </row>
        <row r="1276">
          <cell r="A1276">
            <v>12083</v>
          </cell>
          <cell r="B1276" t="str">
            <v>CHAVE BLINDADA TRIPOLAR PARA MOTORES, DO TIPO FACA, COM PORTA FUSIVEL DO TIPO CARTUCHO, CORRENTE NOMINAL DE 100 A, TENSAO NOMINAL DE 250 V</v>
          </cell>
          <cell r="C1276" t="str">
            <v xml:space="preserve">UN    </v>
          </cell>
          <cell r="D1276">
            <v>635.83000000000004</v>
          </cell>
        </row>
        <row r="1277">
          <cell r="A1277">
            <v>12081</v>
          </cell>
          <cell r="B1277" t="str">
            <v>CHAVE BLINDADA TRIPOLAR PARA MOTORES, DO TIPO FACA, COM PORTA FUSIVEL DO TIPO CARTUCHO, CORRENTE NOMINAL DE 30 A, TENSAO NOMINAL DE 250 V</v>
          </cell>
          <cell r="C1277" t="str">
            <v xml:space="preserve">UN    </v>
          </cell>
          <cell r="D1277">
            <v>215.02</v>
          </cell>
        </row>
        <row r="1278">
          <cell r="A1278">
            <v>12082</v>
          </cell>
          <cell r="B1278" t="str">
            <v>CHAVE BLINDADA TRIPOLAR PARA MOTORES, DO TIPO FACA, COM PORTA FUSIVEL DO TIPO CARTUCHO, CORRENTE NOMINAL DE 60 A, TENSAO NOMINAL DE 250 V</v>
          </cell>
          <cell r="C1278" t="str">
            <v xml:space="preserve">UN    </v>
          </cell>
          <cell r="D1278">
            <v>337.93</v>
          </cell>
        </row>
        <row r="1279">
          <cell r="A1279">
            <v>13354</v>
          </cell>
          <cell r="B1279" t="str">
            <v>CHAVE DE PARTIDA DIRETA TRIFASICA, COM CAIXA TERMOPLASTICA, COM FUSIVEL DE 25 A, PARA MOTOR COM POTENCIA DE 7,5 CV E TENSAO DE 380 V</v>
          </cell>
          <cell r="C1279" t="str">
            <v xml:space="preserve">UN    </v>
          </cell>
          <cell r="D1279">
            <v>504.7</v>
          </cell>
        </row>
        <row r="1280">
          <cell r="A1280">
            <v>14057</v>
          </cell>
          <cell r="B1280" t="str">
            <v>CHAVE DE PARTIDA DIRETA TRIFASICA, COM CAIXA TERMOPLASTICA, COM FUSIVEL DE 35 A, PARA MOTOR COM POTENCIA DE 5 CV E TENSAO DE 220 V</v>
          </cell>
          <cell r="C1280" t="str">
            <v xml:space="preserve">UN    </v>
          </cell>
          <cell r="D1280">
            <v>281.77999999999997</v>
          </cell>
        </row>
        <row r="1281">
          <cell r="A1281">
            <v>14058</v>
          </cell>
          <cell r="B1281" t="str">
            <v>CHAVE DE PARTIDA DIRETA TRIFASICA, COM CAIXA TERMOPLASTICA, COM FUSIVEL DE 63 A, PARA MOTOR COM POTENCIA DE 10 CV E TENSAO DE 220 V</v>
          </cell>
          <cell r="C1281" t="str">
            <v xml:space="preserve">UN    </v>
          </cell>
          <cell r="D1281">
            <v>444.51</v>
          </cell>
        </row>
        <row r="1282">
          <cell r="A1282">
            <v>20971</v>
          </cell>
          <cell r="B1282" t="str">
            <v>CHAVE DUPLA PARA CONEXOES TIPO STORZ, ENGATE RAPIDO 1 1/2" X 2 1/2", EM LATAO, PARA INSTALACAO PREDIAL COMBATE A INCENDIO</v>
          </cell>
          <cell r="C1282" t="str">
            <v xml:space="preserve">UN    </v>
          </cell>
          <cell r="D1282">
            <v>12.4</v>
          </cell>
        </row>
        <row r="1283">
          <cell r="A1283">
            <v>5047</v>
          </cell>
          <cell r="B1283" t="str">
            <v>CHAVE FUSIVEL PARA REDES DE DISTRIBUICAO, TENSAO DE 15,0 KV, CORRENTE NOMINAL DO PORTA FUSIVEL DE 100 A, CAPACIDADE DE INTERRUPCAO SIMETRICA DE 7,10 KA, CAPACIDADE DE INTERRUPCAO ASSIMETRICA 10,00 KA</v>
          </cell>
          <cell r="C1283" t="str">
            <v xml:space="preserve">UN    </v>
          </cell>
          <cell r="D1283">
            <v>302.85000000000002</v>
          </cell>
        </row>
        <row r="1284">
          <cell r="A1284">
            <v>13369</v>
          </cell>
          <cell r="B1284" t="str">
            <v>CHAVE SECCIONADORA-FUSIVEL BLINDADA TRIPOLAR, ABERTURA COM CARGA, PARA FUSIVEL NH00, CORRENTE NOMINAL DE 160 A, TENSAO DE 500 V</v>
          </cell>
          <cell r="C1284" t="str">
            <v xml:space="preserve">UN    </v>
          </cell>
          <cell r="D1284">
            <v>328.51</v>
          </cell>
        </row>
        <row r="1285">
          <cell r="A1285">
            <v>13370</v>
          </cell>
          <cell r="B1285" t="str">
            <v>CHAVE SECCIONADORA-FUSIVEL BLINDADA TRIPOLAR, ABERTURA COM CARGA, PARA FUSIVEL NH01, CORRENTE NOMINAL DE 250 A, TENSAO DE 500 V</v>
          </cell>
          <cell r="C1285" t="str">
            <v xml:space="preserve">UN    </v>
          </cell>
          <cell r="D1285">
            <v>455.39</v>
          </cell>
        </row>
        <row r="1286">
          <cell r="A1286">
            <v>13279</v>
          </cell>
          <cell r="B1286" t="str">
            <v>CHUMBADOR DE ACO TIPO PARABOLT, * 5/8" X 200* MM,  COM PORCA E ARRUELA</v>
          </cell>
          <cell r="C1286" t="str">
            <v xml:space="preserve">KG    </v>
          </cell>
          <cell r="D1286">
            <v>14.34</v>
          </cell>
        </row>
        <row r="1287">
          <cell r="A1287">
            <v>11977</v>
          </cell>
          <cell r="B1287" t="str">
            <v>CHUMBADOR DE ACO, DIAMETRO 1/2", COMPRIMENTO 75 MM</v>
          </cell>
          <cell r="C1287" t="str">
            <v xml:space="preserve">UN    </v>
          </cell>
          <cell r="D1287">
            <v>7.43</v>
          </cell>
        </row>
        <row r="1288">
          <cell r="A1288">
            <v>11975</v>
          </cell>
          <cell r="B1288" t="str">
            <v>CHUMBADOR DE ACO, DIAMETRO 5/8", COMPRIMENTO 6", COM PORCA</v>
          </cell>
          <cell r="C1288" t="str">
            <v xml:space="preserve">UN    </v>
          </cell>
          <cell r="D1288">
            <v>16.29</v>
          </cell>
        </row>
        <row r="1289">
          <cell r="A1289">
            <v>39746</v>
          </cell>
          <cell r="B1289" t="str">
            <v>CHUMBADOR DE ACO, 1" X 600 MM, PARA POSTES DE ACO COM BASE, INCLUSO PORCA E ARRUELA</v>
          </cell>
          <cell r="C1289" t="str">
            <v xml:space="preserve">UN    </v>
          </cell>
          <cell r="D1289">
            <v>181.27</v>
          </cell>
        </row>
        <row r="1290">
          <cell r="A1290">
            <v>11976</v>
          </cell>
          <cell r="B1290" t="str">
            <v>CHUMBADOR, DIAMETRO 1/4" COM PARAFUSO 1/4" X 40 MM</v>
          </cell>
          <cell r="C1290" t="str">
            <v xml:space="preserve">UN    </v>
          </cell>
          <cell r="D1290">
            <v>0.83</v>
          </cell>
        </row>
        <row r="1291">
          <cell r="A1291">
            <v>1368</v>
          </cell>
          <cell r="B1291" t="str">
            <v>CHUVEIRO COMUM EM PLASTICO BRANCO, COM CANO, 3 TEMPERATURAS, 5500 W (110/220 V)</v>
          </cell>
          <cell r="C1291" t="str">
            <v xml:space="preserve">UN    </v>
          </cell>
          <cell r="D1291">
            <v>63.75</v>
          </cell>
        </row>
        <row r="1292">
          <cell r="A1292">
            <v>1367</v>
          </cell>
          <cell r="B1292" t="str">
            <v>CHUVEIRO COMUM EM PLASTICO CROMADO, COM CANO, 4 TEMPERATURAS (110/220 V)</v>
          </cell>
          <cell r="C1292" t="str">
            <v xml:space="preserve">UN    </v>
          </cell>
          <cell r="D1292">
            <v>206.21</v>
          </cell>
        </row>
        <row r="1293">
          <cell r="A1293">
            <v>7608</v>
          </cell>
          <cell r="B1293" t="str">
            <v>CHUVEIRO PLASTICO BRANCO SIMPLES 5 '' PARA ACOPLAR EM HASTE 1/2 ", AGUA FRIA</v>
          </cell>
          <cell r="C1293" t="str">
            <v xml:space="preserve">UN    </v>
          </cell>
          <cell r="D1293">
            <v>4.6399999999999997</v>
          </cell>
        </row>
        <row r="1294">
          <cell r="A1294">
            <v>41900</v>
          </cell>
          <cell r="B1294" t="str">
            <v>CIMENTO ASFALTICO DE PETROLEO A GRANEL (CAP) 30/45 (COLETADO CAIXA NA ANP ACRESCIDO DE ICMS)</v>
          </cell>
          <cell r="C1294" t="str">
            <v xml:space="preserve">KG    </v>
          </cell>
          <cell r="D1294">
            <v>3.23</v>
          </cell>
        </row>
        <row r="1295">
          <cell r="A1295">
            <v>41899</v>
          </cell>
          <cell r="B1295" t="str">
            <v>CIMENTO ASFALTICO DE PETROLEO A GRANEL (CAP) 50/70 (COLETADO CAIXA NA ANP ACRESCIDO DE ICMS)</v>
          </cell>
          <cell r="C1295" t="str">
            <v xml:space="preserve">T     </v>
          </cell>
          <cell r="D1295">
            <v>3199.87</v>
          </cell>
        </row>
        <row r="1296">
          <cell r="A1296">
            <v>1380</v>
          </cell>
          <cell r="B1296" t="str">
            <v>CIMENTO BRANCO</v>
          </cell>
          <cell r="C1296" t="str">
            <v xml:space="preserve">KG    </v>
          </cell>
          <cell r="D1296">
            <v>2.91</v>
          </cell>
        </row>
        <row r="1297">
          <cell r="A1297">
            <v>1375</v>
          </cell>
          <cell r="B1297" t="str">
            <v>CIMENTO IMPERMEABILIZANTE DE PEGA ULTRARRAPIDA PARA TAMPONAMENTOS</v>
          </cell>
          <cell r="C1297" t="str">
            <v xml:space="preserve">KG    </v>
          </cell>
          <cell r="D1297">
            <v>11.87</v>
          </cell>
        </row>
        <row r="1298">
          <cell r="A1298">
            <v>1379</v>
          </cell>
          <cell r="B1298" t="str">
            <v>CIMENTO PORTLAND COMPOSTO CP II-32</v>
          </cell>
          <cell r="C1298" t="str">
            <v xml:space="preserve">KG    </v>
          </cell>
          <cell r="D1298">
            <v>0.49</v>
          </cell>
        </row>
        <row r="1299">
          <cell r="A1299">
            <v>10511</v>
          </cell>
          <cell r="B1299" t="str">
            <v>CIMENTO PORTLAND COMPOSTO CP II-32 (SACO DE 50 KG)</v>
          </cell>
          <cell r="C1299" t="str">
            <v xml:space="preserve">50KG  </v>
          </cell>
          <cell r="D1299">
            <v>24.85</v>
          </cell>
        </row>
        <row r="1300">
          <cell r="A1300">
            <v>13284</v>
          </cell>
          <cell r="B1300" t="str">
            <v>CIMENTO PORTLAND DE ALTO FORNO (AF) CP III-32</v>
          </cell>
          <cell r="C1300" t="str">
            <v xml:space="preserve">KG    </v>
          </cell>
          <cell r="D1300">
            <v>0.42</v>
          </cell>
        </row>
        <row r="1301">
          <cell r="A1301">
            <v>25974</v>
          </cell>
          <cell r="B1301" t="str">
            <v>CIMENTO PORTLAND ESTRUTURAL BRANCO CPB-32</v>
          </cell>
          <cell r="C1301" t="str">
            <v xml:space="preserve">KG    </v>
          </cell>
          <cell r="D1301">
            <v>1.66</v>
          </cell>
        </row>
        <row r="1302">
          <cell r="A1302">
            <v>1382</v>
          </cell>
          <cell r="B1302" t="str">
            <v>CIMENTO PORTLAND POZOLANICO CP IV- 32</v>
          </cell>
          <cell r="C1302" t="str">
            <v xml:space="preserve">50KG  </v>
          </cell>
          <cell r="D1302">
            <v>23.94</v>
          </cell>
        </row>
        <row r="1303">
          <cell r="A1303">
            <v>34753</v>
          </cell>
          <cell r="B1303" t="str">
            <v>CIMENTO PORTLAND POZOLANICO CP IV-32</v>
          </cell>
          <cell r="C1303" t="str">
            <v xml:space="preserve">KG    </v>
          </cell>
          <cell r="D1303">
            <v>0.47</v>
          </cell>
        </row>
        <row r="1304">
          <cell r="A1304">
            <v>420</v>
          </cell>
          <cell r="B1304" t="str">
            <v>CINTA CIRCULAR EM ACO GALVANIZADO DE 150 MM DE DIAMETRO PARA FIXACAO DE CAIXA MEDICAO, INCLUI PARAFUSOS E PORCAS</v>
          </cell>
          <cell r="C1304" t="str">
            <v xml:space="preserve">UN    </v>
          </cell>
          <cell r="D1304">
            <v>20.309999999999999</v>
          </cell>
        </row>
        <row r="1305">
          <cell r="A1305">
            <v>12327</v>
          </cell>
          <cell r="B1305" t="str">
            <v>CINTA CIRCULAR EM ACO GALVANIZADO DE 210 MM DE DIAMETRO PARA INSTALACAO DE TRANSFORMADOR EM POSTE DE CONCRETO</v>
          </cell>
          <cell r="C1305" t="str">
            <v xml:space="preserve">UN    </v>
          </cell>
          <cell r="D1305">
            <v>24.19</v>
          </cell>
        </row>
        <row r="1306">
          <cell r="A1306">
            <v>36148</v>
          </cell>
          <cell r="B1306" t="str">
            <v>CINTURAO DE SEGURANCA TIPO PARAQUEDISTA, FIVELA EM ACO, AJUSTE NO SUSPENSARIO, CINTURA E PERNAS</v>
          </cell>
          <cell r="C1306" t="str">
            <v xml:space="preserve">UN    </v>
          </cell>
          <cell r="D1306">
            <v>57.84</v>
          </cell>
        </row>
        <row r="1307">
          <cell r="A1307">
            <v>12329</v>
          </cell>
          <cell r="B1307" t="str">
            <v>COBRE ELETROLITICO EM BARRA OU CHAPA</v>
          </cell>
          <cell r="C1307" t="str">
            <v xml:space="preserve">KG    </v>
          </cell>
          <cell r="D1307">
            <v>84.38</v>
          </cell>
        </row>
        <row r="1308">
          <cell r="A1308">
            <v>1339</v>
          </cell>
          <cell r="B1308" t="str">
            <v>COLA A BASE DE RESINA SINTETICA PARA CHAPA DE LAMINADO MELAMINICO</v>
          </cell>
          <cell r="C1308" t="str">
            <v xml:space="preserve">KG    </v>
          </cell>
          <cell r="D1308">
            <v>30.27</v>
          </cell>
        </row>
        <row r="1309">
          <cell r="A1309">
            <v>11849</v>
          </cell>
          <cell r="B1309" t="str">
            <v>COLA BRANCA BASE PVA</v>
          </cell>
          <cell r="C1309" t="str">
            <v xml:space="preserve">L     </v>
          </cell>
          <cell r="D1309">
            <v>8.6</v>
          </cell>
        </row>
        <row r="1310">
          <cell r="A1310">
            <v>37418</v>
          </cell>
          <cell r="B1310" t="str">
            <v>COLAR DE TOMADA EM POLIPROPILENO, PP, COM PARAFUSOS, PARA PEAD, 63 X 1/2" - LIGACAO PREDIAL DE AGUA</v>
          </cell>
          <cell r="C1310" t="str">
            <v xml:space="preserve">UN    </v>
          </cell>
          <cell r="D1310">
            <v>15.12</v>
          </cell>
        </row>
        <row r="1311">
          <cell r="A1311">
            <v>37419</v>
          </cell>
          <cell r="B1311" t="str">
            <v>COLAR DE TOMADA EM POLIPROPILENO, PP, COM PARAFUSOS, PARA PEAD, 63 X 3/4" - LIGACAO PREDIAL DE AGUA</v>
          </cell>
          <cell r="C1311" t="str">
            <v xml:space="preserve">UN    </v>
          </cell>
          <cell r="D1311">
            <v>15.53</v>
          </cell>
        </row>
        <row r="1312">
          <cell r="A1312">
            <v>1427</v>
          </cell>
          <cell r="B1312" t="str">
            <v>COLAR TOMADA PVC, COM TRAVAS, SAIDA COM ROSCA, DE 110 MM X 1/2" OU 110 MM X 3/4", PARA LIGACAO PREDIAL DE AGUA</v>
          </cell>
          <cell r="C1312" t="str">
            <v xml:space="preserve">UN    </v>
          </cell>
          <cell r="D1312">
            <v>14.07</v>
          </cell>
        </row>
        <row r="1313">
          <cell r="A1313">
            <v>1402</v>
          </cell>
          <cell r="B1313" t="str">
            <v>COLAR TOMADA PVC, COM TRAVAS, SAIDA COM ROSCA, DE 32 MM X 1/2" OU 32 MM X 3/4", PARA LIGACAO PREDIAL DE AGUA</v>
          </cell>
          <cell r="C1313" t="str">
            <v xml:space="preserve">UN    </v>
          </cell>
          <cell r="D1313">
            <v>4.87</v>
          </cell>
        </row>
        <row r="1314">
          <cell r="A1314">
            <v>1420</v>
          </cell>
          <cell r="B1314" t="str">
            <v>COLAR TOMADA PVC, COM TRAVAS, SAIDA COM ROSCA, DE 40 MM X 1/2" OU 40 MM X 3/4", PARA LIGACAO PREDIAL DE AGUA</v>
          </cell>
          <cell r="C1314" t="str">
            <v xml:space="preserve">UN    </v>
          </cell>
          <cell r="D1314">
            <v>6.26</v>
          </cell>
        </row>
        <row r="1315">
          <cell r="A1315">
            <v>1419</v>
          </cell>
          <cell r="B1315" t="str">
            <v>COLAR TOMADA PVC, COM TRAVAS, SAIDA COM ROSCA, DE 50 MM X 1/2" OU 50 MM X 3/4", PARA LIGACAO PREDIAL DE AGUA</v>
          </cell>
          <cell r="C1315" t="str">
            <v xml:space="preserve">UN    </v>
          </cell>
          <cell r="D1315">
            <v>7.56</v>
          </cell>
        </row>
        <row r="1316">
          <cell r="A1316">
            <v>1414</v>
          </cell>
          <cell r="B1316" t="str">
            <v>COLAR TOMADA PVC, COM TRAVAS, SAIDA COM ROSCA, DE 60 MM X 1/2" OU 60 MM X 3/4", PARA LIGACAO PREDIAL DE AGUA</v>
          </cell>
          <cell r="C1316" t="str">
            <v xml:space="preserve">UN    </v>
          </cell>
          <cell r="D1316">
            <v>7.4</v>
          </cell>
        </row>
        <row r="1317">
          <cell r="A1317">
            <v>1413</v>
          </cell>
          <cell r="B1317" t="str">
            <v>COLAR TOMADA PVC, COM TRAVAS, SAIDA COM ROSCA, DE 75 MM X 1/2" OU 75 MM X 3/4", PARA LIGACAO PREDIAL DE AGUA</v>
          </cell>
          <cell r="C1317" t="str">
            <v xml:space="preserve">UN    </v>
          </cell>
          <cell r="D1317">
            <v>10.93</v>
          </cell>
        </row>
        <row r="1318">
          <cell r="A1318">
            <v>1412</v>
          </cell>
          <cell r="B1318" t="str">
            <v>COLAR TOMADA PVC, COM TRAVAS, SAIDA COM ROSCA, DE 85 MM X 1/2" OU 85 MM X 3/4", PARA LIGACAO PREDIAL DE AGUA</v>
          </cell>
          <cell r="C1318" t="str">
            <v xml:space="preserve">UN    </v>
          </cell>
          <cell r="D1318">
            <v>9.26</v>
          </cell>
        </row>
        <row r="1319">
          <cell r="A1319">
            <v>1411</v>
          </cell>
          <cell r="B1319" t="str">
            <v>COLAR TOMADA PVC, COM TRAVAS, SAIDA ROSCAVEL COM BUCHA DE LATAO, DE 110 MM X 1/2" OU 110 MM X 3/4", PARA LIGACAO PREDIAL DE AGUA</v>
          </cell>
          <cell r="C1319" t="str">
            <v xml:space="preserve">UN    </v>
          </cell>
          <cell r="D1319">
            <v>16.84</v>
          </cell>
        </row>
        <row r="1320">
          <cell r="A1320">
            <v>1406</v>
          </cell>
          <cell r="B1320" t="str">
            <v>COLAR TOMADA PVC, COM TRAVAS, SAIDA ROSCAVEL COM BUCHA DE LATAO, DE 60 MM X 1/2" OU 60 MM X 3/4", PARA LIGACAO PREDIAL DE AGUA</v>
          </cell>
          <cell r="C1320" t="str">
            <v xml:space="preserve">UN    </v>
          </cell>
          <cell r="D1320">
            <v>11.17</v>
          </cell>
        </row>
        <row r="1321">
          <cell r="A1321">
            <v>1407</v>
          </cell>
          <cell r="B1321" t="str">
            <v>COLAR TOMADA PVC, COM TRAVAS, SAIDA ROSCAVEL COM BUCHA DE LATAO, DE 75 MM X 1/2" OU 75 MM X 3/4", PARA LIGACAO PREDIAL DE AGUA</v>
          </cell>
          <cell r="C1321" t="str">
            <v xml:space="preserve">UN    </v>
          </cell>
          <cell r="D1321">
            <v>13.93</v>
          </cell>
        </row>
        <row r="1322">
          <cell r="A1322">
            <v>1404</v>
          </cell>
          <cell r="B1322" t="str">
            <v>COLAR TOMADA PVC, COM TRAVAS, SAIDA ROSCAVEL COM BUCHA DE LATAO, DE 85 MM X 1/2" OU 85 MM X 3/4", PARA LIGACAO PREDIAL DE AGUA</v>
          </cell>
          <cell r="C1322" t="str">
            <v xml:space="preserve">UN    </v>
          </cell>
          <cell r="D1322">
            <v>14.81</v>
          </cell>
        </row>
        <row r="1323">
          <cell r="A1323">
            <v>11281</v>
          </cell>
          <cell r="B1323" t="str">
            <v>COMPACTADOR DE SOLO A PERCUSSAO (SOQUETE), COM MOTOR GASOLINA DE 4 TEMPOS, PESO ENTRE 55 E 65 KG, FORCA DE IMPACTO DE 1.000 A 1.500 KGF, FREQUENCIA DE 600 A 700 GOLPES POR MINUTO, VELOCIDADE DE TRABALHO ENTRE 10 E 15 M/MIN, POTENCIA ENTRE 2,00 E 3,00 HP</v>
          </cell>
          <cell r="C1323" t="str">
            <v xml:space="preserve">UN    </v>
          </cell>
          <cell r="D1323">
            <v>7805</v>
          </cell>
        </row>
        <row r="1324">
          <cell r="A1324">
            <v>1442</v>
          </cell>
          <cell r="B1324" t="str">
            <v>COMPACTADOR DE SOLO TIPO PLACA VIBRATORIA REVERSIVEL, A GASOLINA, 4 TEMPOS, PESO DE 125 A 150 KG, FORCA CENTRIFUGA DE 2500 A 2800 KGF, LARG. TRABALHO DE 400 A 450 MM, FREQ VIBRACAO DE 4300 A 4500 RPM, VELOC. TRABALHO DE 15 A 20 M/MIN, POT. DE 5,5 A 6,0 HP</v>
          </cell>
          <cell r="C1324" t="str">
            <v xml:space="preserve">UN    </v>
          </cell>
          <cell r="D1324">
            <v>6552.24</v>
          </cell>
        </row>
        <row r="1325">
          <cell r="A1325">
            <v>13457</v>
          </cell>
          <cell r="B1325" t="str">
            <v>COMPACTADOR DE SOLO TIPO PLACA VIBRATORIA REVERSIVEL, A GASOLINA, 4 TEMPOS, PESO DE 150 A 175 KG, FORCA CENTRIFUGA DE 2800 A 3100 KGF, LARG. TRABALHO DE 450 A 520 MM, FREQ VIBRACAO DE 4000 A 4300 RPM, VELOC. TRABALHO DE 15 A 20 M/MIN, POT. DE 6,0 A 7,0 HP</v>
          </cell>
          <cell r="C1325" t="str">
            <v xml:space="preserve">UN    </v>
          </cell>
          <cell r="D1325">
            <v>5655.79</v>
          </cell>
        </row>
        <row r="1326">
          <cell r="A1326">
            <v>40699</v>
          </cell>
          <cell r="B132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26" t="str">
            <v xml:space="preserve">UN    </v>
          </cell>
          <cell r="D1326">
            <v>4372.1400000000003</v>
          </cell>
        </row>
        <row r="1327">
          <cell r="A1327">
            <v>40701</v>
          </cell>
          <cell r="B132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27" t="str">
            <v xml:space="preserve">UN    </v>
          </cell>
          <cell r="D1327">
            <v>77305.52</v>
          </cell>
        </row>
        <row r="1328">
          <cell r="A1328">
            <v>40700</v>
          </cell>
          <cell r="B132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28" t="str">
            <v xml:space="preserve">UN    </v>
          </cell>
          <cell r="D1328">
            <v>10177.780000000001</v>
          </cell>
        </row>
        <row r="1329">
          <cell r="A1329">
            <v>13458</v>
          </cell>
          <cell r="B1329" t="str">
            <v>COMPACTADOR DE SOLOS DE PERCURSAO (SOQUETE) COM MOTOR A GASOLINA 4 TEMPOS DE 4 HP (4 CV)</v>
          </cell>
          <cell r="C1329" t="str">
            <v xml:space="preserve">UN    </v>
          </cell>
          <cell r="D1329">
            <v>9671.41</v>
          </cell>
        </row>
        <row r="1330">
          <cell r="A1330">
            <v>36524</v>
          </cell>
          <cell r="B1330" t="str">
            <v>COMPRESSOR DE AR ESTACIONARIO, VAZAO 620 PCM, PRESSAO EFETIVA DE TRABALHO 109 PSI, MOTOR ELETRICO, POTENCIA 127 CV</v>
          </cell>
          <cell r="C1330" t="str">
            <v xml:space="preserve">UN    </v>
          </cell>
          <cell r="D1330">
            <v>102126.26</v>
          </cell>
        </row>
        <row r="1331">
          <cell r="A1331">
            <v>36526</v>
          </cell>
          <cell r="B1331" t="str">
            <v>COMPRESSOR DE AR REBOCAVEL VAZAO 400 PCM, PRESSAO EFETIVA DE TRABALHO 102 PSI, MOTOR DIESEL, POTENCIA 110 CV</v>
          </cell>
          <cell r="C1331" t="str">
            <v xml:space="preserve">UN    </v>
          </cell>
          <cell r="D1331">
            <v>82297.5</v>
          </cell>
        </row>
        <row r="1332">
          <cell r="A1332">
            <v>36523</v>
          </cell>
          <cell r="B1332" t="str">
            <v>COMPRESSOR DE AR REBOCAVEL VAZAO 748 PCM, PRESSAO EFETIVA DE TRABALHO 102 PSI, MOTOR DIESEL, POTENCIA 210 CV</v>
          </cell>
          <cell r="C1332" t="str">
            <v xml:space="preserve">UN    </v>
          </cell>
          <cell r="D1332">
            <v>176187.85</v>
          </cell>
        </row>
        <row r="1333">
          <cell r="A1333">
            <v>36527</v>
          </cell>
          <cell r="B1333" t="str">
            <v>COMPRESSOR DE AR REBOCAVEL VAZAO 860 PCM, PRESSAO EFETIVA DE TRABALHO 102 PSI, MOTOR DIESEL, POTENCIA 250 CV</v>
          </cell>
          <cell r="C1333" t="str">
            <v xml:space="preserve">UN    </v>
          </cell>
          <cell r="D1333">
            <v>191376.29</v>
          </cell>
        </row>
        <row r="1334">
          <cell r="A1334">
            <v>13803</v>
          </cell>
          <cell r="B1334" t="str">
            <v>COMPRESSOR DE AR REBOCAVEL, VAZAO *89* PCM, PRESSAO EFETIVA DE TRABALHO *102* PSI, MOTOR DIESEL, POTENCIA *20* CV</v>
          </cell>
          <cell r="C1334" t="str">
            <v xml:space="preserve">UN    </v>
          </cell>
          <cell r="D1334">
            <v>69200</v>
          </cell>
        </row>
        <row r="1335">
          <cell r="A1335">
            <v>38642</v>
          </cell>
          <cell r="B1335" t="str">
            <v>COMPRESSOR DE AR REBOCAVEL, VAZAO 152 PCM, PRESSAO EFETIVA DE TRABALHO 102 PSI, MOTOR DIESEL, POTENCIA 31,5 KW</v>
          </cell>
          <cell r="C1335" t="str">
            <v xml:space="preserve">UN    </v>
          </cell>
          <cell r="D1335">
            <v>44557.31</v>
          </cell>
        </row>
        <row r="1336">
          <cell r="A1336">
            <v>36522</v>
          </cell>
          <cell r="B1336" t="str">
            <v>COMPRESSOR DE AR REBOCAVEL, VAZAO 189 PCM, PRESSAO EFETIVA DE TRABALHO 102 PSI, MOTOR DIESEL, POTENCIA 63 CV</v>
          </cell>
          <cell r="C1336" t="str">
            <v xml:space="preserve">UN    </v>
          </cell>
          <cell r="D1336">
            <v>51819.62</v>
          </cell>
        </row>
        <row r="1337">
          <cell r="A1337">
            <v>36525</v>
          </cell>
          <cell r="B1337" t="str">
            <v>COMPRESSOR DE AR REBOCAVEL, VAZAO 250 PCM, PRESSAO EFETIVA DE TRABALHO 102 PSI, MOTOR DIESEL, POTENCIA 81 CV</v>
          </cell>
          <cell r="C1337" t="str">
            <v xml:space="preserve">UN    </v>
          </cell>
          <cell r="D1337">
            <v>69398.570000000007</v>
          </cell>
        </row>
        <row r="1338">
          <cell r="A1338">
            <v>41991</v>
          </cell>
          <cell r="B1338" t="str">
            <v>COMPRESSOR DE AR, VAZAO DE 10 PCM, RESERVATORIO 100 L, PRESSAO DE TRABALHO ENTRE 6,9 E 9,7 BAR,  POTENCIA 2 HP, TENSAO 110/220 V (COLETADO CAIXA)</v>
          </cell>
          <cell r="C1338" t="str">
            <v xml:space="preserve">UN    </v>
          </cell>
          <cell r="D1338">
            <v>2564.37</v>
          </cell>
        </row>
        <row r="1339">
          <cell r="A1339">
            <v>34348</v>
          </cell>
          <cell r="B1339" t="str">
            <v>CONCERTINA CLIPADA (DUPLA) EM ACO GALVANIZADO DE ALTA RESISTENCIA, COM ESPIRAL DE 300 MM, D = 2,76 MM</v>
          </cell>
          <cell r="C1339" t="str">
            <v xml:space="preserve">M     </v>
          </cell>
          <cell r="D1339">
            <v>14.24</v>
          </cell>
        </row>
        <row r="1340">
          <cell r="A1340">
            <v>34347</v>
          </cell>
          <cell r="B1340" t="str">
            <v>CONCERTINA SIMPLES EM ACO GALVANIZADO DE ALTA RESISTENCIA, COM ESPIRAL DE 300 MM, D = 2,76 MM</v>
          </cell>
          <cell r="C1340" t="str">
            <v xml:space="preserve">M     </v>
          </cell>
          <cell r="D1340">
            <v>10.18</v>
          </cell>
        </row>
        <row r="1341">
          <cell r="A1341">
            <v>11146</v>
          </cell>
          <cell r="B1341" t="str">
            <v>CONCRETO AUTOADENSAVEL (CAA) CLASSE DE RESISTENCIA C15, ESPALHAMENTO SF2, INCLUI SERVICO DE BOMBEAMENTO (NBR 15823)</v>
          </cell>
          <cell r="C1341" t="str">
            <v xml:space="preserve">M3    </v>
          </cell>
          <cell r="D1341">
            <v>419.51</v>
          </cell>
        </row>
        <row r="1342">
          <cell r="A1342">
            <v>11147</v>
          </cell>
          <cell r="B1342" t="str">
            <v>CONCRETO AUTOADENSAVEL (CAA) CLASSE DE RESISTENCIA C20, ESPALHAMENTO SF2, INCLUI SERVICO DE BOMBEAMENTO (NBR 15823)</v>
          </cell>
          <cell r="C1342" t="str">
            <v xml:space="preserve">M3    </v>
          </cell>
          <cell r="D1342">
            <v>435.93</v>
          </cell>
        </row>
        <row r="1343">
          <cell r="A1343">
            <v>34872</v>
          </cell>
          <cell r="B1343" t="str">
            <v>CONCRETO AUTOADENSAVEL (CAA) CLASSE DE RESISTENCIA C25, ESPALHAMENTO SF2, INCLUI SERVICO DE BOMBEAMENTO (NBR 15823)</v>
          </cell>
          <cell r="C1343" t="str">
            <v xml:space="preserve">M3    </v>
          </cell>
          <cell r="D1343">
            <v>440.83</v>
          </cell>
        </row>
        <row r="1344">
          <cell r="A1344">
            <v>34491</v>
          </cell>
          <cell r="B1344" t="str">
            <v>CONCRETO AUTOADENSAVEL (CAA) CLASSE DE RESISTENCIA C30, ESPALHAMENTO SF2, INCLUI SERVICO DE BOMBEAMENTO (NBR 15823)</v>
          </cell>
          <cell r="C1344" t="str">
            <v xml:space="preserve">M3    </v>
          </cell>
          <cell r="D1344">
            <v>453.61</v>
          </cell>
        </row>
        <row r="1345">
          <cell r="A1345">
            <v>34770</v>
          </cell>
          <cell r="B1345" t="str">
            <v>CONCRETO BETUMINOSO USINADO A QUENTE (CBUQ) PARA PAVIMENTACAO ASFALTICA, PADRAO DNIT, FAIXA C, COM CAP 30/45 - AQUISICAO POSTO USINA</v>
          </cell>
          <cell r="C1345" t="str">
            <v xml:space="preserve">T     </v>
          </cell>
          <cell r="D1345">
            <v>320.27999999999997</v>
          </cell>
        </row>
        <row r="1346">
          <cell r="A1346">
            <v>1518</v>
          </cell>
          <cell r="B1346" t="str">
            <v>CONCRETO BETUMINOSO USINADO A QUENTE (CBUQ) PARA PAVIMENTACAO ASFALTICA, PADRAO DNIT, FAIXA C, COM CAP 50/70 - AQUISICAO POSTO USINA</v>
          </cell>
          <cell r="C1346" t="str">
            <v xml:space="preserve">T     </v>
          </cell>
          <cell r="D1346">
            <v>326.52</v>
          </cell>
        </row>
        <row r="1347">
          <cell r="A1347">
            <v>41965</v>
          </cell>
          <cell r="B1347" t="str">
            <v>CONCRETO BETUMINOSO USINADO A QUENTE (CBUQ) PARA PAVIMENTACAO ASFALTICA, PADRAO DNIT, PARA BINDER, COM CAP 50/70 - AQUISICAO POSTO USINA</v>
          </cell>
          <cell r="C1347" t="str">
            <v xml:space="preserve">T     </v>
          </cell>
          <cell r="D1347">
            <v>316.33</v>
          </cell>
        </row>
        <row r="1348">
          <cell r="A1348">
            <v>34492</v>
          </cell>
          <cell r="B1348" t="str">
            <v>CONCRETO USINADO BOMBEAVEL, CLASSE DE RESISTENCIA C20, COM BRITA 0 E 1, SLUMP = 100 +/- 20 MM, EXCLUI SERVICO DE BOMBEAMENTO (NBR 8953)</v>
          </cell>
          <cell r="C1348" t="str">
            <v xml:space="preserve">M3    </v>
          </cell>
          <cell r="D1348">
            <v>372.82</v>
          </cell>
        </row>
        <row r="1349">
          <cell r="A1349">
            <v>1524</v>
          </cell>
          <cell r="B1349" t="str">
            <v>CONCRETO USINADO BOMBEAVEL, CLASSE DE RESISTENCIA C20, COM BRITA 0 E 1, SLUMP = 100 +/- 20 MM, INCLUI SERVICO DE BOMBEAMENTO (NBR 8953)</v>
          </cell>
          <cell r="C1349" t="str">
            <v xml:space="preserve">M3    </v>
          </cell>
          <cell r="D1349">
            <v>402.5</v>
          </cell>
        </row>
        <row r="1350">
          <cell r="A1350">
            <v>38404</v>
          </cell>
          <cell r="B1350" t="str">
            <v>CONCRETO USINADO BOMBEAVEL, CLASSE DE RESISTENCIA C20, COM BRITA 0 E 1, SLUMP = 130 +/- 20 MM, EXCLUI SERVICO DE BOMBEAMENTO (NBR 8953)</v>
          </cell>
          <cell r="C1350" t="str">
            <v xml:space="preserve">M3    </v>
          </cell>
          <cell r="D1350">
            <v>386.17</v>
          </cell>
        </row>
        <row r="1351">
          <cell r="A1351">
            <v>39849</v>
          </cell>
          <cell r="B1351" t="str">
            <v>CONCRETO USINADO BOMBEAVEL, CLASSE DE RESISTENCIA C20, COM BRITA 0 E 1, SLUMP = 190 +/- 20 MM, INCLUI SERVICO DE BOMBEAMENTO (NBR 8953)</v>
          </cell>
          <cell r="C1351" t="str">
            <v xml:space="preserve">M3    </v>
          </cell>
          <cell r="D1351">
            <v>442.55</v>
          </cell>
        </row>
        <row r="1352">
          <cell r="A1352">
            <v>38464</v>
          </cell>
          <cell r="B1352" t="str">
            <v>CONCRETO USINADO BOMBEAVEL, CLASSE DE RESISTENCIA C20, COM BRITA 0, SLUMP = 220 +/- 20 MM, INCLUI SERVICO DE BOMBEAMENTO (NBR 8953)</v>
          </cell>
          <cell r="C1352" t="str">
            <v xml:space="preserve">M3    </v>
          </cell>
          <cell r="D1352">
            <v>448.97</v>
          </cell>
        </row>
        <row r="1353">
          <cell r="A1353">
            <v>34493</v>
          </cell>
          <cell r="B1353" t="str">
            <v>CONCRETO USINADO BOMBEAVEL, CLASSE DE RESISTENCIA C25, COM BRITA 0 E 1, SLUMP = 100 +/- 20 MM, EXCLUI SERVICO DE BOMBEAMENTO (NBR 8953)</v>
          </cell>
          <cell r="C1353" t="str">
            <v xml:space="preserve">M3    </v>
          </cell>
          <cell r="D1353">
            <v>383.33</v>
          </cell>
        </row>
        <row r="1354">
          <cell r="A1354">
            <v>1527</v>
          </cell>
          <cell r="B1354" t="str">
            <v>CONCRETO USINADO BOMBEAVEL, CLASSE DE RESISTENCIA C25, COM BRITA 0 E 1, SLUMP = 100 +/- 20 MM, INCLUI SERVICO DE BOMBEAMENTO (NBR 8953)</v>
          </cell>
          <cell r="C1354" t="str">
            <v xml:space="preserve">M3    </v>
          </cell>
          <cell r="D1354">
            <v>415.27</v>
          </cell>
        </row>
        <row r="1355">
          <cell r="A1355">
            <v>38405</v>
          </cell>
          <cell r="B1355" t="str">
            <v>CONCRETO USINADO BOMBEAVEL, CLASSE DE RESISTENCIA C25, COM BRITA 0 E 1, SLUMP = 130 +/- 20 MM, EXCLUI SERVICO DE BOMBEAMENTO (NBR 8953)</v>
          </cell>
          <cell r="C1355" t="str">
            <v xml:space="preserve">M3    </v>
          </cell>
          <cell r="D1355">
            <v>398.08</v>
          </cell>
        </row>
        <row r="1356">
          <cell r="A1356">
            <v>38408</v>
          </cell>
          <cell r="B1356" t="str">
            <v>CONCRETO USINADO BOMBEAVEL, CLASSE DE RESISTENCIA C25, COM BRITA 0 E 1, SLUMP = 190 +/- 20 MM, EXCLUI SERVICO DE BOMBEAMENTO (NBR 8953)</v>
          </cell>
          <cell r="C1356" t="str">
            <v xml:space="preserve">M3    </v>
          </cell>
          <cell r="D1356">
            <v>440.64</v>
          </cell>
        </row>
        <row r="1357">
          <cell r="A1357">
            <v>34494</v>
          </cell>
          <cell r="B1357" t="str">
            <v>CONCRETO USINADO BOMBEAVEL, CLASSE DE RESISTENCIA C30, COM BRITA 0 E 1, SLUMP = 100 +/- 20 MM, EXCLUI SERVICO DE BOMBEAMENTO (NBR 8953)</v>
          </cell>
          <cell r="C1357" t="str">
            <v xml:space="preserve">M3    </v>
          </cell>
          <cell r="D1357">
            <v>396.11</v>
          </cell>
        </row>
        <row r="1358">
          <cell r="A1358">
            <v>1525</v>
          </cell>
          <cell r="B1358" t="str">
            <v>CONCRETO USINADO BOMBEAVEL, CLASSE DE RESISTENCIA C30, COM BRITA 0 E 1, SLUMP = 100 +/- 20 MM, INCLUI SERVICO DE BOMBEAMENTO (NBR 8953)</v>
          </cell>
          <cell r="C1358" t="str">
            <v xml:space="preserve">M3    </v>
          </cell>
          <cell r="D1358">
            <v>428.05</v>
          </cell>
        </row>
        <row r="1359">
          <cell r="A1359">
            <v>38406</v>
          </cell>
          <cell r="B1359" t="str">
            <v>CONCRETO USINADO BOMBEAVEL, CLASSE DE RESISTENCIA C30, COM BRITA 0 E 1, SLUMP = 130 +/- 20 MM, EXCLUI SERVICO DE BOMBEAMENTO (NBR 8953)</v>
          </cell>
          <cell r="C1359" t="str">
            <v xml:space="preserve">M3    </v>
          </cell>
          <cell r="D1359">
            <v>420.35</v>
          </cell>
        </row>
        <row r="1360">
          <cell r="A1360">
            <v>38409</v>
          </cell>
          <cell r="B1360" t="str">
            <v>CONCRETO USINADO BOMBEAVEL, CLASSE DE RESISTENCIA C30, COM BRITA 0 E 1, SLUMP = 190 +/- 20 MM, EXCLUI SERVICO DE BOMBEAMENTO (NBR 8953)</v>
          </cell>
          <cell r="C1360" t="str">
            <v xml:space="preserve">M3    </v>
          </cell>
          <cell r="D1360">
            <v>443.64</v>
          </cell>
        </row>
        <row r="1361">
          <cell r="A1361">
            <v>43360</v>
          </cell>
          <cell r="B1361" t="str">
            <v>CONCRETO USINADO BOMBEAVEL, CLASSE DE RESISTENCIA C30, COM BRITA 0 E 1, SLUMP = 220 +/- 30 MM, EXCLUI SERVICO DE BOMBEAMENTO (NBR 8953)</v>
          </cell>
          <cell r="C1361" t="str">
            <v xml:space="preserve">M3    </v>
          </cell>
          <cell r="D1361">
            <v>462.59</v>
          </cell>
        </row>
        <row r="1362">
          <cell r="A1362">
            <v>34495</v>
          </cell>
          <cell r="B1362" t="str">
            <v>CONCRETO USINADO BOMBEAVEL, CLASSE DE RESISTENCIA C35, COM BRITA 0 E 1, SLUMP = 100 +/- 20 MM, EXCLUI SERVICO DE BOMBEAMENTO (NBR 8953)</v>
          </cell>
          <cell r="C1362" t="str">
            <v xml:space="preserve">M3    </v>
          </cell>
          <cell r="D1362">
            <v>408.88</v>
          </cell>
        </row>
        <row r="1363">
          <cell r="A1363">
            <v>11145</v>
          </cell>
          <cell r="B1363" t="str">
            <v>CONCRETO USINADO BOMBEAVEL, CLASSE DE RESISTENCIA C35, COM BRITA 0 E 1, SLUMP = 100 +/- 20 MM, INCLUI SERVICO DE BOMBEAMENTO (NBR 8953)</v>
          </cell>
          <cell r="C1363" t="str">
            <v xml:space="preserve">M3    </v>
          </cell>
          <cell r="D1363">
            <v>440.83</v>
          </cell>
        </row>
        <row r="1364">
          <cell r="A1364">
            <v>34496</v>
          </cell>
          <cell r="B1364" t="str">
            <v>CONCRETO USINADO BOMBEAVEL, CLASSE DE RESISTENCIA C40, COM BRITA 0 E 1, SLUMP = 100 +/- 20 MM, EXCLUI SERVICO DE BOMBEAMENTO (NBR 8953)</v>
          </cell>
          <cell r="C1364" t="str">
            <v xml:space="preserve">M3    </v>
          </cell>
          <cell r="D1364">
            <v>426.54</v>
          </cell>
        </row>
        <row r="1365">
          <cell r="A1365">
            <v>34479</v>
          </cell>
          <cell r="B1365" t="str">
            <v>CONCRETO USINADO BOMBEAVEL, CLASSE DE RESISTENCIA C40, COM BRITA 0 E 1, SLUMP = 100 +/- 20 MM, INCLUI SERVICO DE BOMBEAMENTO (NBR 8953)</v>
          </cell>
          <cell r="C1365" t="str">
            <v xml:space="preserve">M3    </v>
          </cell>
          <cell r="D1365">
            <v>453.61</v>
          </cell>
        </row>
        <row r="1366">
          <cell r="A1366">
            <v>34481</v>
          </cell>
          <cell r="B1366" t="str">
            <v>CONCRETO USINADO BOMBEAVEL, CLASSE DE RESISTENCIA C45, COM BRITA 0 E 1, SLUMP = 100 +/- 20 MM, INCLUI SERVICO DE BOMBEAMENTO (NBR 8953)</v>
          </cell>
          <cell r="C1366" t="str">
            <v xml:space="preserve">M3    </v>
          </cell>
          <cell r="D1366">
            <v>473.96</v>
          </cell>
        </row>
        <row r="1367">
          <cell r="A1367">
            <v>34483</v>
          </cell>
          <cell r="B1367" t="str">
            <v>CONCRETO USINADO BOMBEAVEL, CLASSE DE RESISTENCIA C50, COM BRITA 0 E 1, SLUMP = 100 +/- 20 MM, INCLUI SERVICO DE BOMBEAMENTO (NBR 8953)</v>
          </cell>
          <cell r="C1367" t="str">
            <v xml:space="preserve">M3    </v>
          </cell>
          <cell r="D1367">
            <v>506.4</v>
          </cell>
        </row>
        <row r="1368">
          <cell r="A1368">
            <v>34485</v>
          </cell>
          <cell r="B1368" t="str">
            <v>CONCRETO USINADO BOMBEAVEL, CLASSE DE RESISTENCIA C60, COM BRITA 0 E 1, SLUMP = 100 +/- 20 MM, INCLUI SERVICO DE BOMBEAMENTO (NBR 8953)</v>
          </cell>
          <cell r="C1368" t="str">
            <v xml:space="preserve">M3    </v>
          </cell>
          <cell r="D1368">
            <v>541.54</v>
          </cell>
        </row>
        <row r="1369">
          <cell r="A1369">
            <v>14041</v>
          </cell>
          <cell r="B1369" t="str">
            <v>CONCRETO USINADO CONVENCIONAL (NAO BOMBEAVEL) CLASSE DE RESISTENCIA C10, COM BRITA 1 E 2, SLUMP = 80 MM +/- 10 MM (NBR 8953)</v>
          </cell>
          <cell r="C1369" t="str">
            <v xml:space="preserve">M3    </v>
          </cell>
          <cell r="D1369">
            <v>352.02</v>
          </cell>
        </row>
        <row r="1370">
          <cell r="A1370">
            <v>1523</v>
          </cell>
          <cell r="B1370" t="str">
            <v>CONCRETO USINADO CONVENCIONAL (NAO BOMBEAVEL) CLASSE DE RESISTENCIA C15, COM BRITA 1 E 2, SLUMP = 80 MM +/- 10 MM (NBR 8953)</v>
          </cell>
          <cell r="C1370" t="str">
            <v xml:space="preserve">M3    </v>
          </cell>
          <cell r="D1370">
            <v>357.77</v>
          </cell>
        </row>
        <row r="1371">
          <cell r="A1371">
            <v>14052</v>
          </cell>
          <cell r="B1371" t="str">
            <v>CONDULETE DE ALUMINIO TIPO B, PARA ELETRODUTO ROSCAVEL DE 1/2", COM TAMPA CEGA</v>
          </cell>
          <cell r="C1371" t="str">
            <v xml:space="preserve">UN    </v>
          </cell>
          <cell r="D1371">
            <v>8.07</v>
          </cell>
        </row>
        <row r="1372">
          <cell r="A1372">
            <v>14054</v>
          </cell>
          <cell r="B1372" t="str">
            <v>CONDULETE DE ALUMINIO TIPO B, PARA ELETRODUTO ROSCAVEL DE 1", COM TAMPA CEGA</v>
          </cell>
          <cell r="C1372" t="str">
            <v xml:space="preserve">UN    </v>
          </cell>
          <cell r="D1372">
            <v>10.5</v>
          </cell>
        </row>
        <row r="1373">
          <cell r="A1373">
            <v>14053</v>
          </cell>
          <cell r="B1373" t="str">
            <v>CONDULETE DE ALUMINIO TIPO B, PARA ELETRODUTO ROSCAVEL DE 3/4", COM TAMPA CEGA</v>
          </cell>
          <cell r="C1373" t="str">
            <v xml:space="preserve">UN    </v>
          </cell>
          <cell r="D1373">
            <v>8.1999999999999993</v>
          </cell>
        </row>
        <row r="1374">
          <cell r="A1374">
            <v>2558</v>
          </cell>
          <cell r="B1374" t="str">
            <v>CONDULETE DE ALUMINIO TIPO C, PARA ELETRODUTO ROSCAVEL DE 1/2", COM TAMPA CEGA</v>
          </cell>
          <cell r="C1374" t="str">
            <v xml:space="preserve">UN    </v>
          </cell>
          <cell r="D1374">
            <v>6.17</v>
          </cell>
        </row>
        <row r="1375">
          <cell r="A1375">
            <v>2560</v>
          </cell>
          <cell r="B1375" t="str">
            <v>CONDULETE DE ALUMINIO TIPO C, PARA ELETRODUTO ROSCAVEL DE 1", COM TAMPA CEGA</v>
          </cell>
          <cell r="C1375" t="str">
            <v xml:space="preserve">UN    </v>
          </cell>
          <cell r="D1375">
            <v>10.86</v>
          </cell>
        </row>
        <row r="1376">
          <cell r="A1376">
            <v>2559</v>
          </cell>
          <cell r="B1376" t="str">
            <v>CONDULETE DE ALUMINIO TIPO C, PARA ELETRODUTO ROSCAVEL DE 3/4", COM TAMPA CEGA</v>
          </cell>
          <cell r="C1376" t="str">
            <v xml:space="preserve">UN    </v>
          </cell>
          <cell r="D1376">
            <v>8.69</v>
          </cell>
        </row>
        <row r="1377">
          <cell r="A1377">
            <v>2592</v>
          </cell>
          <cell r="B1377" t="str">
            <v>CONDULETE DE ALUMINIO TIPO C, PARA ELETRODUTO ROSCAVEL DE 4", COM TAMPA CEGA</v>
          </cell>
          <cell r="C1377" t="str">
            <v xml:space="preserve">UN    </v>
          </cell>
          <cell r="D1377">
            <v>144.06</v>
          </cell>
        </row>
        <row r="1378">
          <cell r="A1378">
            <v>2566</v>
          </cell>
          <cell r="B1378" t="str">
            <v>CONDULETE DE ALUMINIO TIPO E, PARA ELETRODUTO ROSCAVEL DE 1  1/4", COM TAMPA CEGA</v>
          </cell>
          <cell r="C1378" t="str">
            <v xml:space="preserve">UN    </v>
          </cell>
          <cell r="D1378">
            <v>14.49</v>
          </cell>
        </row>
        <row r="1379">
          <cell r="A1379">
            <v>2589</v>
          </cell>
          <cell r="B1379" t="str">
            <v>CONDULETE DE ALUMINIO TIPO E, PARA ELETRODUTO ROSCAVEL DE 1 1/2", COM TAMPA CEGA</v>
          </cell>
          <cell r="C1379" t="str">
            <v xml:space="preserve">UN    </v>
          </cell>
          <cell r="D1379">
            <v>19.27</v>
          </cell>
        </row>
        <row r="1380">
          <cell r="A1380">
            <v>2591</v>
          </cell>
          <cell r="B1380" t="str">
            <v>CONDULETE DE ALUMINIO TIPO E, PARA ELETRODUTO ROSCAVEL DE 1/2", COM TAMPA CEGA</v>
          </cell>
          <cell r="C1380" t="str">
            <v xml:space="preserve">UN    </v>
          </cell>
          <cell r="D1380">
            <v>7.03</v>
          </cell>
        </row>
        <row r="1381">
          <cell r="A1381">
            <v>2590</v>
          </cell>
          <cell r="B1381" t="str">
            <v>CONDULETE DE ALUMINIO TIPO E, PARA ELETRODUTO ROSCAVEL DE 1", COM TAMPA CEGA</v>
          </cell>
          <cell r="C1381" t="str">
            <v xml:space="preserve">UN    </v>
          </cell>
          <cell r="D1381">
            <v>11.82</v>
          </cell>
        </row>
        <row r="1382">
          <cell r="A1382">
            <v>2567</v>
          </cell>
          <cell r="B1382" t="str">
            <v>CONDULETE DE ALUMINIO TIPO E, PARA ELETRODUTO ROSCAVEL DE 2", COM TAMPA CEGA</v>
          </cell>
          <cell r="C1382" t="str">
            <v xml:space="preserve">UN    </v>
          </cell>
          <cell r="D1382">
            <v>28.26</v>
          </cell>
        </row>
        <row r="1383">
          <cell r="A1383">
            <v>2565</v>
          </cell>
          <cell r="B1383" t="str">
            <v>CONDULETE DE ALUMINIO TIPO E, PARA ELETRODUTO ROSCAVEL DE 3/4", COM TAMPA CEGA</v>
          </cell>
          <cell r="C1383" t="str">
            <v xml:space="preserve">UN    </v>
          </cell>
          <cell r="D1383">
            <v>7.04</v>
          </cell>
        </row>
        <row r="1384">
          <cell r="A1384">
            <v>2568</v>
          </cell>
          <cell r="B1384" t="str">
            <v>CONDULETE DE ALUMINIO TIPO E, PARA ELETRODUTO ROSCAVEL DE 3", COM TAMPA CEGA</v>
          </cell>
          <cell r="C1384" t="str">
            <v xml:space="preserve">UN    </v>
          </cell>
          <cell r="D1384">
            <v>78.489999999999995</v>
          </cell>
        </row>
        <row r="1385">
          <cell r="A1385">
            <v>2594</v>
          </cell>
          <cell r="B1385" t="str">
            <v>CONDULETE DE ALUMINIO TIPO E, PARA ELETRODUTO ROSCAVEL DE 4", COM TAMPA CEGA</v>
          </cell>
          <cell r="C1385" t="str">
            <v xml:space="preserve">UN    </v>
          </cell>
          <cell r="D1385">
            <v>130.75</v>
          </cell>
        </row>
        <row r="1386">
          <cell r="A1386">
            <v>2587</v>
          </cell>
          <cell r="B1386" t="str">
            <v>CONDULETE DE ALUMINIO TIPO LR, PARA ELETRODUTO ROSCAVEL DE 1 1/2", COM TAMPA CEGA</v>
          </cell>
          <cell r="C1386" t="str">
            <v xml:space="preserve">UN    </v>
          </cell>
          <cell r="D1386">
            <v>22.28</v>
          </cell>
        </row>
        <row r="1387">
          <cell r="A1387">
            <v>2588</v>
          </cell>
          <cell r="B1387" t="str">
            <v>CONDULETE DE ALUMINIO TIPO LR, PARA ELETRODUTO ROSCAVEL DE 1 1/4", COM TAMPA CEGA</v>
          </cell>
          <cell r="C1387" t="str">
            <v xml:space="preserve">UN    </v>
          </cell>
          <cell r="D1387">
            <v>17.7</v>
          </cell>
        </row>
        <row r="1388">
          <cell r="A1388">
            <v>2569</v>
          </cell>
          <cell r="B1388" t="str">
            <v>CONDULETE DE ALUMINIO TIPO LR, PARA ELETRODUTO ROSCAVEL DE 1/2", COM TAMPA CEGA</v>
          </cell>
          <cell r="C1388" t="str">
            <v xml:space="preserve">UN    </v>
          </cell>
          <cell r="D1388">
            <v>6.82</v>
          </cell>
        </row>
        <row r="1389">
          <cell r="A1389">
            <v>2570</v>
          </cell>
          <cell r="B1389" t="str">
            <v>CONDULETE DE ALUMINIO TIPO LR, PARA ELETRODUTO ROSCAVEL DE 1", COM TAMPA CEGA</v>
          </cell>
          <cell r="C1389" t="str">
            <v xml:space="preserve">UN    </v>
          </cell>
          <cell r="D1389">
            <v>11.43</v>
          </cell>
        </row>
        <row r="1390">
          <cell r="A1390">
            <v>2571</v>
          </cell>
          <cell r="B1390" t="str">
            <v>CONDULETE DE ALUMINIO TIPO LR, PARA ELETRODUTO ROSCAVEL DE 2", COM TAMPA CEGA</v>
          </cell>
          <cell r="C1390" t="str">
            <v xml:space="preserve">UN    </v>
          </cell>
          <cell r="D1390">
            <v>33.94</v>
          </cell>
        </row>
        <row r="1391">
          <cell r="A1391">
            <v>2593</v>
          </cell>
          <cell r="B1391" t="str">
            <v>CONDULETE DE ALUMINIO TIPO LR, PARA ELETRODUTO ROSCAVEL DE 3/4", COM TAMPA CEGA</v>
          </cell>
          <cell r="C1391" t="str">
            <v xml:space="preserve">UN    </v>
          </cell>
          <cell r="D1391">
            <v>7.27</v>
          </cell>
        </row>
        <row r="1392">
          <cell r="A1392">
            <v>2572</v>
          </cell>
          <cell r="B1392" t="str">
            <v>CONDULETE DE ALUMINIO TIPO LR, PARA ELETRODUTO ROSCAVEL DE 3", COM TAMPA CEGA</v>
          </cell>
          <cell r="C1392" t="str">
            <v xml:space="preserve">UN    </v>
          </cell>
          <cell r="D1392">
            <v>100.37</v>
          </cell>
        </row>
        <row r="1393">
          <cell r="A1393">
            <v>2595</v>
          </cell>
          <cell r="B1393" t="str">
            <v>CONDULETE DE ALUMINIO TIPO LR, PARA ELETRODUTO ROSCAVEL DE 4", COM TAMPA CEGA</v>
          </cell>
          <cell r="C1393" t="str">
            <v xml:space="preserve">UN    </v>
          </cell>
          <cell r="D1393">
            <v>156.6</v>
          </cell>
        </row>
        <row r="1394">
          <cell r="A1394">
            <v>2576</v>
          </cell>
          <cell r="B1394" t="str">
            <v>CONDULETE DE ALUMINIO TIPO T, PARA ELETRODUTO ROSCAVEL DE 1 1/2", COM TAMPA CEGA</v>
          </cell>
          <cell r="C1394" t="str">
            <v xml:space="preserve">UN    </v>
          </cell>
          <cell r="D1394">
            <v>26.69</v>
          </cell>
        </row>
        <row r="1395">
          <cell r="A1395">
            <v>2575</v>
          </cell>
          <cell r="B1395" t="str">
            <v>CONDULETE DE ALUMINIO TIPO T, PARA ELETRODUTO ROSCAVEL DE 1 1/4", COM TAMPA CEGA</v>
          </cell>
          <cell r="C1395" t="str">
            <v xml:space="preserve">UN    </v>
          </cell>
          <cell r="D1395">
            <v>20.07</v>
          </cell>
        </row>
        <row r="1396">
          <cell r="A1396">
            <v>2573</v>
          </cell>
          <cell r="B1396" t="str">
            <v>CONDULETE DE ALUMINIO TIPO T, PARA ELETRODUTO ROSCAVEL DE 1/2", COM TAMPA CEGA</v>
          </cell>
          <cell r="C1396" t="str">
            <v xml:space="preserve">UN    </v>
          </cell>
          <cell r="D1396">
            <v>8.33</v>
          </cell>
        </row>
        <row r="1397">
          <cell r="A1397">
            <v>2586</v>
          </cell>
          <cell r="B1397" t="str">
            <v>CONDULETE DE ALUMINIO TIPO T, PARA ELETRODUTO ROSCAVEL DE 1", COM TAMPA CEGA</v>
          </cell>
          <cell r="C1397" t="str">
            <v xml:space="preserve">UN    </v>
          </cell>
          <cell r="D1397">
            <v>13.51</v>
          </cell>
        </row>
        <row r="1398">
          <cell r="A1398">
            <v>2577</v>
          </cell>
          <cell r="B1398" t="str">
            <v>CONDULETE DE ALUMINIO TIPO T, PARA ELETRODUTO ROSCAVEL DE 2", COM TAMPA CEGA</v>
          </cell>
          <cell r="C1398" t="str">
            <v xml:space="preserve">UN    </v>
          </cell>
          <cell r="D1398">
            <v>36.17</v>
          </cell>
        </row>
        <row r="1399">
          <cell r="A1399">
            <v>2574</v>
          </cell>
          <cell r="B1399" t="str">
            <v>CONDULETE DE ALUMINIO TIPO T, PARA ELETRODUTO ROSCAVEL DE 3/4", COM TAMPA CEGA</v>
          </cell>
          <cell r="C1399" t="str">
            <v xml:space="preserve">UN    </v>
          </cell>
          <cell r="D1399">
            <v>8.39</v>
          </cell>
        </row>
        <row r="1400">
          <cell r="A1400">
            <v>2578</v>
          </cell>
          <cell r="B1400" t="str">
            <v>CONDULETE DE ALUMINIO TIPO T, PARA ELETRODUTO ROSCAVEL DE 3", COM TAMPA CEGA</v>
          </cell>
          <cell r="C1400" t="str">
            <v xml:space="preserve">UN    </v>
          </cell>
          <cell r="D1400">
            <v>112.93</v>
          </cell>
        </row>
        <row r="1401">
          <cell r="A1401">
            <v>2585</v>
          </cell>
          <cell r="B1401" t="str">
            <v>CONDULETE DE ALUMINIO TIPO T, PARA ELETRODUTO ROSCAVEL DE 4", COM TAMPA CEGA</v>
          </cell>
          <cell r="C1401" t="str">
            <v xml:space="preserve">UN    </v>
          </cell>
          <cell r="D1401">
            <v>154.97</v>
          </cell>
        </row>
        <row r="1402">
          <cell r="A1402">
            <v>12008</v>
          </cell>
          <cell r="B1402" t="str">
            <v>CONDULETE DE ALUMINIO TIPO TB, PARA ELETRODUTO ROSCAVEL DE 3", COM TAMPA CEGA</v>
          </cell>
          <cell r="C1402" t="str">
            <v xml:space="preserve">UN    </v>
          </cell>
          <cell r="D1402">
            <v>83.15</v>
          </cell>
        </row>
        <row r="1403">
          <cell r="A1403">
            <v>2582</v>
          </cell>
          <cell r="B1403" t="str">
            <v>CONDULETE DE ALUMINIO TIPO X, PARA ELETRODUTO ROSCAVEL DE 1 1/2", COM TAMPA CEGA</v>
          </cell>
          <cell r="C1403" t="str">
            <v xml:space="preserve">UN    </v>
          </cell>
          <cell r="D1403">
            <v>24.76</v>
          </cell>
        </row>
        <row r="1404">
          <cell r="A1404">
            <v>2597</v>
          </cell>
          <cell r="B1404" t="str">
            <v>CONDULETE DE ALUMINIO TIPO X, PARA ELETRODUTO ROSCAVEL DE 1 1/4", COM TAMPA CEGA</v>
          </cell>
          <cell r="C1404" t="str">
            <v xml:space="preserve">UN    </v>
          </cell>
          <cell r="D1404">
            <v>21.22</v>
          </cell>
        </row>
        <row r="1405">
          <cell r="A1405">
            <v>2579</v>
          </cell>
          <cell r="B1405" t="str">
            <v>CONDULETE DE ALUMINIO TIPO X, PARA ELETRODUTO ROSCAVEL DE 1/2", COM TAMPA CEGA</v>
          </cell>
          <cell r="C1405" t="str">
            <v xml:space="preserve">UN    </v>
          </cell>
          <cell r="D1405">
            <v>10.1</v>
          </cell>
        </row>
        <row r="1406">
          <cell r="A1406">
            <v>2581</v>
          </cell>
          <cell r="B1406" t="str">
            <v>CONDULETE DE ALUMINIO TIPO X, PARA ELETRODUTO ROSCAVEL DE 1", COM TAMPA CEGA</v>
          </cell>
          <cell r="C1406" t="str">
            <v xml:space="preserve">UN    </v>
          </cell>
          <cell r="D1406">
            <v>12.93</v>
          </cell>
        </row>
        <row r="1407">
          <cell r="A1407">
            <v>2596</v>
          </cell>
          <cell r="B1407" t="str">
            <v>CONDULETE DE ALUMINIO TIPO X, PARA ELETRODUTO ROSCAVEL DE 2", COM TAMPA CEGA</v>
          </cell>
          <cell r="C1407" t="str">
            <v xml:space="preserve">UN    </v>
          </cell>
          <cell r="D1407">
            <v>38.229999999999997</v>
          </cell>
        </row>
        <row r="1408">
          <cell r="A1408">
            <v>2580</v>
          </cell>
          <cell r="B1408" t="str">
            <v>CONDULETE DE ALUMINIO TIPO X, PARA ELETRODUTO ROSCAVEL DE 3/4", COM TAMPA CEGA</v>
          </cell>
          <cell r="C1408" t="str">
            <v xml:space="preserve">UN    </v>
          </cell>
          <cell r="D1408">
            <v>11.07</v>
          </cell>
        </row>
        <row r="1409">
          <cell r="A1409">
            <v>2583</v>
          </cell>
          <cell r="B1409" t="str">
            <v>CONDULETE DE ALUMINIO TIPO X, PARA ELETRODUTO ROSCAVEL DE 3", COM TAMPA CEGA</v>
          </cell>
          <cell r="C1409" t="str">
            <v xml:space="preserve">UN    </v>
          </cell>
          <cell r="D1409">
            <v>93</v>
          </cell>
        </row>
        <row r="1410">
          <cell r="A1410">
            <v>2584</v>
          </cell>
          <cell r="B1410" t="str">
            <v>CONDULETE DE ALUMINIO TIPO X, PARA ELETRODUTO ROSCAVEL DE 4", COM TAMPA CEGA</v>
          </cell>
          <cell r="C1410" t="str">
            <v xml:space="preserve">UN    </v>
          </cell>
          <cell r="D1410">
            <v>154.82</v>
          </cell>
        </row>
        <row r="1411">
          <cell r="A1411">
            <v>12010</v>
          </cell>
          <cell r="B1411" t="str">
            <v>CONDULETE EM PVC, TIPO "B", SEM TAMPA, DE 1/2" OU 3/4"</v>
          </cell>
          <cell r="C1411" t="str">
            <v xml:space="preserve">UN    </v>
          </cell>
          <cell r="D1411">
            <v>6.9</v>
          </cell>
        </row>
        <row r="1412">
          <cell r="A1412">
            <v>39329</v>
          </cell>
          <cell r="B1412" t="str">
            <v>CONDULETE EM PVC, TIPO "B", SEM TAMPA, DE 1"</v>
          </cell>
          <cell r="C1412" t="str">
            <v xml:space="preserve">UN    </v>
          </cell>
          <cell r="D1412">
            <v>7.22</v>
          </cell>
        </row>
        <row r="1413">
          <cell r="A1413">
            <v>39330</v>
          </cell>
          <cell r="B1413" t="str">
            <v>CONDULETE EM PVC, TIPO "C", SEM TAMPA, DE 1/2"</v>
          </cell>
          <cell r="C1413" t="str">
            <v xml:space="preserve">UN    </v>
          </cell>
          <cell r="D1413">
            <v>7.6</v>
          </cell>
        </row>
        <row r="1414">
          <cell r="A1414">
            <v>39332</v>
          </cell>
          <cell r="B1414" t="str">
            <v>CONDULETE EM PVC, TIPO "C", SEM TAMPA, DE 1"</v>
          </cell>
          <cell r="C1414" t="str">
            <v xml:space="preserve">UN    </v>
          </cell>
          <cell r="D1414">
            <v>8.49</v>
          </cell>
        </row>
        <row r="1415">
          <cell r="A1415">
            <v>39331</v>
          </cell>
          <cell r="B1415" t="str">
            <v>CONDULETE EM PVC, TIPO "C", SEM TAMPA, DE 3/4"</v>
          </cell>
          <cell r="C1415" t="str">
            <v xml:space="preserve">UN    </v>
          </cell>
          <cell r="D1415">
            <v>6.76</v>
          </cell>
        </row>
        <row r="1416">
          <cell r="A1416">
            <v>39333</v>
          </cell>
          <cell r="B1416" t="str">
            <v>CONDULETE EM PVC, TIPO "E", SEM TAMPA, DE 1/2"</v>
          </cell>
          <cell r="C1416" t="str">
            <v xml:space="preserve">UN    </v>
          </cell>
          <cell r="D1416">
            <v>6.59</v>
          </cell>
        </row>
        <row r="1417">
          <cell r="A1417">
            <v>39335</v>
          </cell>
          <cell r="B1417" t="str">
            <v>CONDULETE EM PVC, TIPO "E", SEM TAMPA, DE 1"</v>
          </cell>
          <cell r="C1417" t="str">
            <v xml:space="preserve">UN    </v>
          </cell>
          <cell r="D1417">
            <v>7.62</v>
          </cell>
        </row>
        <row r="1418">
          <cell r="A1418">
            <v>39334</v>
          </cell>
          <cell r="B1418" t="str">
            <v>CONDULETE EM PVC, TIPO "E", SEM TAMPA, DE 3/4"</v>
          </cell>
          <cell r="C1418" t="str">
            <v xml:space="preserve">UN    </v>
          </cell>
          <cell r="D1418">
            <v>6.06</v>
          </cell>
        </row>
        <row r="1419">
          <cell r="A1419">
            <v>12016</v>
          </cell>
          <cell r="B1419" t="str">
            <v>CONDULETE EM PVC, TIPO "LB", SEM TAMPA, DE 1/2" OU 3/4"</v>
          </cell>
          <cell r="C1419" t="str">
            <v xml:space="preserve">UN    </v>
          </cell>
          <cell r="D1419">
            <v>7.61</v>
          </cell>
        </row>
        <row r="1420">
          <cell r="A1420">
            <v>12015</v>
          </cell>
          <cell r="B1420" t="str">
            <v>CONDULETE EM PVC, TIPO "LB", SEM TAMPA, DE 1"</v>
          </cell>
          <cell r="C1420" t="str">
            <v xml:space="preserve">UN    </v>
          </cell>
          <cell r="D1420">
            <v>8.86</v>
          </cell>
        </row>
        <row r="1421">
          <cell r="A1421">
            <v>12020</v>
          </cell>
          <cell r="B1421" t="str">
            <v>CONDULETE EM PVC, TIPO "LL", SEM TAMPA, DE 1/2" OU 3/4"</v>
          </cell>
          <cell r="C1421" t="str">
            <v xml:space="preserve">UN    </v>
          </cell>
          <cell r="D1421">
            <v>7.61</v>
          </cell>
        </row>
        <row r="1422">
          <cell r="A1422">
            <v>12019</v>
          </cell>
          <cell r="B1422" t="str">
            <v>CONDULETE EM PVC, TIPO "LL", SEM TAMPA, DE 1"</v>
          </cell>
          <cell r="C1422" t="str">
            <v xml:space="preserve">UN    </v>
          </cell>
          <cell r="D1422">
            <v>8.86</v>
          </cell>
        </row>
        <row r="1423">
          <cell r="A1423">
            <v>39336</v>
          </cell>
          <cell r="B1423" t="str">
            <v>CONDULETE EM PVC, TIPO "LR", SEM TAMPA, DE 1/2"</v>
          </cell>
          <cell r="C1423" t="str">
            <v xml:space="preserve">UN    </v>
          </cell>
          <cell r="D1423">
            <v>7.6</v>
          </cell>
        </row>
        <row r="1424">
          <cell r="A1424">
            <v>39338</v>
          </cell>
          <cell r="B1424" t="str">
            <v>CONDULETE EM PVC, TIPO "LR", SEM TAMPA, DE 1"</v>
          </cell>
          <cell r="C1424" t="str">
            <v xml:space="preserve">UN    </v>
          </cell>
          <cell r="D1424">
            <v>8.49</v>
          </cell>
        </row>
        <row r="1425">
          <cell r="A1425">
            <v>39337</v>
          </cell>
          <cell r="B1425" t="str">
            <v>CONDULETE EM PVC, TIPO "LR", SEM TAMPA, DE 3/4"</v>
          </cell>
          <cell r="C1425" t="str">
            <v xml:space="preserve">UN    </v>
          </cell>
          <cell r="D1425">
            <v>6.76</v>
          </cell>
        </row>
        <row r="1426">
          <cell r="A1426">
            <v>39341</v>
          </cell>
          <cell r="B1426" t="str">
            <v>CONDULETE EM PVC, TIPO "T", SEM TAMPA, DE 1"</v>
          </cell>
          <cell r="C1426" t="str">
            <v xml:space="preserve">UN    </v>
          </cell>
          <cell r="D1426">
            <v>11.07</v>
          </cell>
        </row>
        <row r="1427">
          <cell r="A1427">
            <v>39340</v>
          </cell>
          <cell r="B1427" t="str">
            <v>CONDULETE EM PVC, TIPO "T", SEM TAMPA, DE 3/4"</v>
          </cell>
          <cell r="C1427" t="str">
            <v xml:space="preserve">UN    </v>
          </cell>
          <cell r="D1427">
            <v>8.1300000000000008</v>
          </cell>
        </row>
        <row r="1428">
          <cell r="A1428">
            <v>12025</v>
          </cell>
          <cell r="B1428" t="str">
            <v>CONDULETE EM PVC, TIPO "TB", SEM TAMPA, DE 1/2" OU 3/4"</v>
          </cell>
          <cell r="C1428" t="str">
            <v xml:space="preserve">UN    </v>
          </cell>
          <cell r="D1428">
            <v>8.39</v>
          </cell>
        </row>
        <row r="1429">
          <cell r="A1429">
            <v>39342</v>
          </cell>
          <cell r="B1429" t="str">
            <v>CONDULETE EM PVC, TIPO "TB", SEM TAMPA, DE 1"</v>
          </cell>
          <cell r="C1429" t="str">
            <v xml:space="preserve">UN    </v>
          </cell>
          <cell r="D1429">
            <v>11.07</v>
          </cell>
        </row>
        <row r="1430">
          <cell r="A1430">
            <v>39343</v>
          </cell>
          <cell r="B1430" t="str">
            <v>CONDULETE EM PVC, TIPO "X", SEM TAMPA, DE 1/2"</v>
          </cell>
          <cell r="C1430" t="str">
            <v xml:space="preserve">UN    </v>
          </cell>
          <cell r="D1430">
            <v>9.35</v>
          </cell>
        </row>
        <row r="1431">
          <cell r="A1431">
            <v>39345</v>
          </cell>
          <cell r="B1431" t="str">
            <v>CONDULETE EM PVC, TIPO "X", SEM TAMPA, DE 1"</v>
          </cell>
          <cell r="C1431" t="str">
            <v xml:space="preserve">UN    </v>
          </cell>
          <cell r="D1431">
            <v>12.65</v>
          </cell>
        </row>
        <row r="1432">
          <cell r="A1432">
            <v>39344</v>
          </cell>
          <cell r="B1432" t="str">
            <v>CONDULETE EM PVC, TIPO "X", SEM TAMPA, DE 3/4"</v>
          </cell>
          <cell r="C1432" t="str">
            <v xml:space="preserve">UN    </v>
          </cell>
          <cell r="D1432">
            <v>9.0399999999999991</v>
          </cell>
        </row>
        <row r="1433">
          <cell r="A1433">
            <v>12623</v>
          </cell>
          <cell r="B1433" t="str">
            <v>CONDUTOR PLUVIAL, PVC, CIRCULAR, DIAMETRO ENTRE 80 E 100 MM, PARA DRENAGEM PREDIAL</v>
          </cell>
          <cell r="C1433" t="str">
            <v xml:space="preserve">M     </v>
          </cell>
          <cell r="D1433">
            <v>9.58</v>
          </cell>
        </row>
        <row r="1434">
          <cell r="A1434">
            <v>34498</v>
          </cell>
          <cell r="B1434" t="str">
            <v>CONE DE SINALIZACAO EM PVC FLEXIVEL, H = 70 / 76 CM (NBR 15071)</v>
          </cell>
          <cell r="C1434" t="str">
            <v xml:space="preserve">UN    </v>
          </cell>
          <cell r="D1434">
            <v>73.64</v>
          </cell>
        </row>
        <row r="1435">
          <cell r="A1435">
            <v>13244</v>
          </cell>
          <cell r="B1435" t="str">
            <v>CONE DE SINALIZACAO EM PVC RIGIDO COM FAIXA REFLETIVA, H = 70 / 76 CM</v>
          </cell>
          <cell r="C1435" t="str">
            <v xml:space="preserve">UN    </v>
          </cell>
          <cell r="D1435">
            <v>31</v>
          </cell>
        </row>
        <row r="1436">
          <cell r="A1436">
            <v>38998</v>
          </cell>
          <cell r="B1436" t="str">
            <v>CONECTOR / ADAPTADOR FEMEA, COM INSERTO METALICO, PPR, DN 25 MM X 1/2", PARA AGUA QUENTE E FRIA PREDIAL</v>
          </cell>
          <cell r="C1436" t="str">
            <v xml:space="preserve">UN    </v>
          </cell>
          <cell r="D1436">
            <v>8.6300000000000008</v>
          </cell>
        </row>
        <row r="1437">
          <cell r="A1437">
            <v>38999</v>
          </cell>
          <cell r="B1437" t="str">
            <v>CONECTOR / ADAPTADOR FEMEA, COM INSERTO METALICO, PPR, DN 32 MM X 3/4", PARA AGUA QUENTE E FRIA PREDIAL</v>
          </cell>
          <cell r="C1437" t="str">
            <v xml:space="preserve">UN    </v>
          </cell>
          <cell r="D1437">
            <v>14.28</v>
          </cell>
        </row>
        <row r="1438">
          <cell r="A1438">
            <v>38996</v>
          </cell>
          <cell r="B1438" t="str">
            <v>CONECTOR / ADAPTADOR MACHO, COM INSERTO METALICO, PPR, DN 25 MM X 1/2", PARA AGUA QUENTE E FRIA PREDIAL</v>
          </cell>
          <cell r="C1438" t="str">
            <v xml:space="preserve">UN    </v>
          </cell>
          <cell r="D1438">
            <v>12.47</v>
          </cell>
        </row>
        <row r="1439">
          <cell r="A1439">
            <v>38997</v>
          </cell>
          <cell r="B1439" t="str">
            <v>CONECTOR / ADAPTADOR MACHO, COM INSERTO METALICO, PPR, DN 32 MM X 3/4", PARA AGUA QUENTE E FRIA PREDIAL</v>
          </cell>
          <cell r="C1439" t="str">
            <v xml:space="preserve">UN    </v>
          </cell>
          <cell r="D1439">
            <v>20.190000000000001</v>
          </cell>
        </row>
        <row r="1440">
          <cell r="A1440">
            <v>39862</v>
          </cell>
          <cell r="B1440" t="str">
            <v>CONECTOR BRONZE/LATAO (REF 603) SEM ANEL DE SOLDA, BOLSA X ROSCA F, 15 MM X 1/2"</v>
          </cell>
          <cell r="C1440" t="str">
            <v xml:space="preserve">UN    </v>
          </cell>
          <cell r="D1440">
            <v>9.3000000000000007</v>
          </cell>
        </row>
        <row r="1441">
          <cell r="A1441">
            <v>39863</v>
          </cell>
          <cell r="B1441" t="str">
            <v>CONECTOR BRONZE/LATAO (REF 603) SEM ANEL DE SOLDA, BOLSA X ROSCA F, 22 MM X 1/2"</v>
          </cell>
          <cell r="C1441" t="str">
            <v xml:space="preserve">UN    </v>
          </cell>
          <cell r="D1441">
            <v>9.43</v>
          </cell>
        </row>
        <row r="1442">
          <cell r="A1442">
            <v>39864</v>
          </cell>
          <cell r="B1442" t="str">
            <v>CONECTOR BRONZE/LATAO (REF 603) SEM ANEL DE SOLDA, BOLSA X ROSCA F, 22 MM X 3/4"</v>
          </cell>
          <cell r="C1442" t="str">
            <v xml:space="preserve">UN    </v>
          </cell>
          <cell r="D1442">
            <v>11.7</v>
          </cell>
        </row>
        <row r="1443">
          <cell r="A1443">
            <v>39865</v>
          </cell>
          <cell r="B1443" t="str">
            <v>CONECTOR BRONZE/LATAO (REF 603) SEM ANEL DE SOLDA, BOLSA X ROSCA F, 28 MM X 1/2"</v>
          </cell>
          <cell r="C1443" t="str">
            <v xml:space="preserve">UN    </v>
          </cell>
          <cell r="D1443">
            <v>16.5</v>
          </cell>
        </row>
        <row r="1444">
          <cell r="A1444">
            <v>2517</v>
          </cell>
          <cell r="B1444" t="str">
            <v>CONECTOR CURVO 90 GRAUS DE ALUMINIO, BITOLA 1 1/2", PARA ADAPTAR ENTRADA DE ELETRODUTO METALICO FLEXIVEL EM QUADROS</v>
          </cell>
          <cell r="C1444" t="str">
            <v xml:space="preserve">UN    </v>
          </cell>
          <cell r="D1444">
            <v>15.42</v>
          </cell>
        </row>
        <row r="1445">
          <cell r="A1445">
            <v>2522</v>
          </cell>
          <cell r="B1445" t="str">
            <v>CONECTOR CURVO 90 GRAUS DE ALUMINIO, BITOLA 1 1/4", PARA ADAPTAR ENTRADA DE ELETRODUTO METALICO FLEXIVEL EM QUADROS</v>
          </cell>
          <cell r="C1445" t="str">
            <v xml:space="preserve">UN    </v>
          </cell>
          <cell r="D1445">
            <v>9.9700000000000006</v>
          </cell>
        </row>
        <row r="1446">
          <cell r="A1446">
            <v>2548</v>
          </cell>
          <cell r="B1446" t="str">
            <v>CONECTOR CURVO 90 GRAUS DE ALUMINIO, BITOLA 1/2", PARA ADAPTAR ENTRADA DE ELETRODUTO METALICO FLEXIVEL EM QUADROS</v>
          </cell>
          <cell r="C1446" t="str">
            <v xml:space="preserve">UN    </v>
          </cell>
          <cell r="D1446">
            <v>6.13</v>
          </cell>
        </row>
        <row r="1447">
          <cell r="A1447">
            <v>2516</v>
          </cell>
          <cell r="B1447" t="str">
            <v>CONECTOR CURVO 90 GRAUS DE ALUMINIO, BITOLA 1", PARA ADAPTAR ENTRADA DE ELETRODUTO METALICO FLEXIVEL EM QUADROS</v>
          </cell>
          <cell r="C1447" t="str">
            <v xml:space="preserve">UN    </v>
          </cell>
          <cell r="D1447">
            <v>8</v>
          </cell>
        </row>
        <row r="1448">
          <cell r="A1448">
            <v>2518</v>
          </cell>
          <cell r="B1448" t="str">
            <v>CONECTOR CURVO 90 GRAUS DE ALUMINIO, BITOLA 2 1/2", PARA ADAPTAR ENTRADA DE ELETRODUTO METALICO FLEXIVEL EM QUADROS</v>
          </cell>
          <cell r="C1448" t="str">
            <v xml:space="preserve">UN    </v>
          </cell>
          <cell r="D1448">
            <v>73.42</v>
          </cell>
        </row>
        <row r="1449">
          <cell r="A1449">
            <v>2521</v>
          </cell>
          <cell r="B1449" t="str">
            <v>CONECTOR CURVO 90 GRAUS DE ALUMINIO, BITOLA 2", PARA ADAPTAR ENTRADA DE ELETRODUTO METALICO FLEXIVEL EM QUADROS</v>
          </cell>
          <cell r="C1449" t="str">
            <v xml:space="preserve">UN    </v>
          </cell>
          <cell r="D1449">
            <v>31.25</v>
          </cell>
        </row>
        <row r="1450">
          <cell r="A1450">
            <v>2515</v>
          </cell>
          <cell r="B1450" t="str">
            <v>CONECTOR CURVO 90 GRAUS DE ALUMINIO, BITOLA 3/4", PARA ADAPTAR ENTRADA DE ELETRODUTO METALICO FLEXIVEL EM QUADROS</v>
          </cell>
          <cell r="C1450" t="str">
            <v xml:space="preserve">UN    </v>
          </cell>
          <cell r="D1450">
            <v>6.66</v>
          </cell>
        </row>
        <row r="1451">
          <cell r="A1451">
            <v>2519</v>
          </cell>
          <cell r="B1451" t="str">
            <v>CONECTOR CURVO 90 GRAUS DE ALUMINIO, BITOLA 3", PARA ADAPTAR ENTRADA DE ELETRODUTO METALICO FLEXIVEL EM QUADROS</v>
          </cell>
          <cell r="C1451" t="str">
            <v xml:space="preserve">UN    </v>
          </cell>
          <cell r="D1451">
            <v>88.53</v>
          </cell>
        </row>
        <row r="1452">
          <cell r="A1452">
            <v>2520</v>
          </cell>
          <cell r="B1452" t="str">
            <v>CONECTOR CURVO 90 GRAUS DE ALUMINIO, BITOLA 4", PARA ADAPTAR ENTRADA DE ELETRODUTO METALICO FLEXIVEL EM QUADROS</v>
          </cell>
          <cell r="C1452" t="str">
            <v xml:space="preserve">UN    </v>
          </cell>
          <cell r="D1452">
            <v>162.94</v>
          </cell>
        </row>
        <row r="1453">
          <cell r="A1453">
            <v>1602</v>
          </cell>
          <cell r="B1453" t="str">
            <v>CONECTOR DE ALUMINIO TIPO PRENSA CABO, BITOLA 1 1/2", PARA CABOS DE DIAMETRO DE 37 A 40 MM</v>
          </cell>
          <cell r="C1453" t="str">
            <v xml:space="preserve">UN    </v>
          </cell>
          <cell r="D1453">
            <v>34.32</v>
          </cell>
        </row>
        <row r="1454">
          <cell r="A1454">
            <v>1601</v>
          </cell>
          <cell r="B1454" t="str">
            <v>CONECTOR DE ALUMINIO TIPO PRENSA CABO, BITOLA 1 1/4", PARA CABOS DE DIAMETRO DE 31 A 34 MM</v>
          </cell>
          <cell r="C1454" t="str">
            <v xml:space="preserve">UN    </v>
          </cell>
          <cell r="D1454">
            <v>30.59</v>
          </cell>
        </row>
        <row r="1455">
          <cell r="A1455">
            <v>1598</v>
          </cell>
          <cell r="B1455" t="str">
            <v>CONECTOR DE ALUMINIO TIPO PRENSA CABO, BITOLA 1/2", PARA CABOS DE DIAMETRO DE 12,5 A 15 MM</v>
          </cell>
          <cell r="C1455" t="str">
            <v xml:space="preserve">UN    </v>
          </cell>
          <cell r="D1455">
            <v>9.0500000000000007</v>
          </cell>
        </row>
        <row r="1456">
          <cell r="A1456">
            <v>1600</v>
          </cell>
          <cell r="B1456" t="str">
            <v>CONECTOR DE ALUMINIO TIPO PRENSA CABO, BITOLA 1", PARA CABOS DE DIAMETRO DE 22,5 A 25 MM</v>
          </cell>
          <cell r="C1456" t="str">
            <v xml:space="preserve">UN    </v>
          </cell>
          <cell r="D1456">
            <v>13.36</v>
          </cell>
        </row>
        <row r="1457">
          <cell r="A1457">
            <v>1603</v>
          </cell>
          <cell r="B1457" t="str">
            <v>CONECTOR DE ALUMINIO TIPO PRENSA CABO, BITOLA 2", PARA CABOS DE DIAMETRO DE 47,5 A 50 MM</v>
          </cell>
          <cell r="C1457" t="str">
            <v xml:space="preserve">UN    </v>
          </cell>
          <cell r="D1457">
            <v>51.82</v>
          </cell>
        </row>
        <row r="1458">
          <cell r="A1458">
            <v>1599</v>
          </cell>
          <cell r="B1458" t="str">
            <v>CONECTOR DE ALUMINIO TIPO PRENSA CABO, BITOLA 3/4", PARA CABOS DE DIAMETRO DE 17,5 A 20 MM</v>
          </cell>
          <cell r="C1458" t="str">
            <v xml:space="preserve">UN    </v>
          </cell>
          <cell r="D1458">
            <v>10.5</v>
          </cell>
        </row>
        <row r="1459">
          <cell r="A1459">
            <v>1597</v>
          </cell>
          <cell r="B1459" t="str">
            <v>CONECTOR DE ALUMINIO TIPO PRENSA CABO, BITOLA 3/8", PARA CABOS DE DIAMETRO DE 9 A 10 MM</v>
          </cell>
          <cell r="C1459" t="str">
            <v xml:space="preserve">UN    </v>
          </cell>
          <cell r="D1459">
            <v>8.51</v>
          </cell>
        </row>
        <row r="1460">
          <cell r="A1460">
            <v>39600</v>
          </cell>
          <cell r="B1460" t="str">
            <v>CONECTOR FEMEA RJ - 45, CATEGORIA 5 E</v>
          </cell>
          <cell r="C1460" t="str">
            <v xml:space="preserve">UN    </v>
          </cell>
          <cell r="D1460">
            <v>8.99</v>
          </cell>
        </row>
        <row r="1461">
          <cell r="A1461">
            <v>39601</v>
          </cell>
          <cell r="B1461" t="str">
            <v>CONECTOR FEMEA RJ - 45, CATEGORIA 6</v>
          </cell>
          <cell r="C1461" t="str">
            <v xml:space="preserve">UN    </v>
          </cell>
          <cell r="D1461">
            <v>15.64</v>
          </cell>
        </row>
        <row r="1462">
          <cell r="A1462">
            <v>39602</v>
          </cell>
          <cell r="B1462" t="str">
            <v>CONECTOR MACHO RJ - 45, CATEGORIA 5 E</v>
          </cell>
          <cell r="C1462" t="str">
            <v xml:space="preserve">UN    </v>
          </cell>
          <cell r="D1462">
            <v>1.03</v>
          </cell>
        </row>
        <row r="1463">
          <cell r="A1463">
            <v>39603</v>
          </cell>
          <cell r="B1463" t="str">
            <v>CONECTOR MACHO RJ - 45, CATEGORIA 6</v>
          </cell>
          <cell r="C1463" t="str">
            <v xml:space="preserve">UN    </v>
          </cell>
          <cell r="D1463">
            <v>1.76</v>
          </cell>
        </row>
        <row r="1464">
          <cell r="A1464">
            <v>11821</v>
          </cell>
          <cell r="B1464" t="str">
            <v>CONECTOR METALICO TIPO PARAFUSO FENDIDO (SPLIT BOLT), COM SEPARADOR DE CABOS BIMETALICOS, PARA CABOS ATE 25 MM2</v>
          </cell>
          <cell r="C1464" t="str">
            <v xml:space="preserve">UN    </v>
          </cell>
          <cell r="D1464">
            <v>6.99</v>
          </cell>
        </row>
        <row r="1465">
          <cell r="A1465">
            <v>1562</v>
          </cell>
          <cell r="B1465" t="str">
            <v>CONECTOR METALICO TIPO PARAFUSO FENDIDO (SPLIT BOLT), COM SEPARADOR DE CABOS BIMETALICOS, PARA CABOS ATE 50 MM2</v>
          </cell>
          <cell r="C1465" t="str">
            <v xml:space="preserve">UN    </v>
          </cell>
          <cell r="D1465">
            <v>11.45</v>
          </cell>
        </row>
        <row r="1466">
          <cell r="A1466">
            <v>1563</v>
          </cell>
          <cell r="B1466" t="str">
            <v>CONECTOR METALICO TIPO PARAFUSO FENDIDO (SPLIT BOLT), COM SEPARADOR DE CABOS BIMETALICOS, PARA CABOS ATE 70 MM2</v>
          </cell>
          <cell r="C1466" t="str">
            <v xml:space="preserve">UN    </v>
          </cell>
          <cell r="D1466">
            <v>15.36</v>
          </cell>
        </row>
        <row r="1467">
          <cell r="A1467">
            <v>11856</v>
          </cell>
          <cell r="B1467" t="str">
            <v>CONECTOR METALICO TIPO PARAFUSO FENDIDO (SPLIT BOLT), PARA CABOS ATE 10 MM2</v>
          </cell>
          <cell r="C1467" t="str">
            <v xml:space="preserve">UN    </v>
          </cell>
          <cell r="D1467">
            <v>4.58</v>
          </cell>
        </row>
        <row r="1468">
          <cell r="A1468">
            <v>11857</v>
          </cell>
          <cell r="B1468" t="str">
            <v>CONECTOR METALICO TIPO PARAFUSO FENDIDO (SPLIT BOLT), PARA CABOS ATE 120 MM2</v>
          </cell>
          <cell r="C1468" t="str">
            <v xml:space="preserve">UN    </v>
          </cell>
          <cell r="D1468">
            <v>24.1</v>
          </cell>
        </row>
        <row r="1469">
          <cell r="A1469">
            <v>11858</v>
          </cell>
          <cell r="B1469" t="str">
            <v>CONECTOR METALICO TIPO PARAFUSO FENDIDO (SPLIT BOLT), PARA CABOS ATE 150 MM2</v>
          </cell>
          <cell r="C1469" t="str">
            <v xml:space="preserve">UN    </v>
          </cell>
          <cell r="D1469">
            <v>29.91</v>
          </cell>
        </row>
        <row r="1470">
          <cell r="A1470">
            <v>1539</v>
          </cell>
          <cell r="B1470" t="str">
            <v>CONECTOR METALICO TIPO PARAFUSO FENDIDO (SPLIT BOLT), PARA CABOS ATE 16 MM2</v>
          </cell>
          <cell r="C1470" t="str">
            <v xml:space="preserve">UN    </v>
          </cell>
          <cell r="D1470">
            <v>5.38</v>
          </cell>
        </row>
        <row r="1471">
          <cell r="A1471">
            <v>11859</v>
          </cell>
          <cell r="B1471" t="str">
            <v>CONECTOR METALICO TIPO PARAFUSO FENDIDO (SPLIT BOLT), PARA CABOS ATE 185 MM2</v>
          </cell>
          <cell r="C1471" t="str">
            <v xml:space="preserve">UN    </v>
          </cell>
          <cell r="D1471">
            <v>40.700000000000003</v>
          </cell>
        </row>
        <row r="1472">
          <cell r="A1472">
            <v>1550</v>
          </cell>
          <cell r="B1472" t="str">
            <v>CONECTOR METALICO TIPO PARAFUSO FENDIDO (SPLIT BOLT), PARA CABOS ATE 25 MM2</v>
          </cell>
          <cell r="C1472" t="str">
            <v xml:space="preserve">UN    </v>
          </cell>
          <cell r="D1472">
            <v>5.68</v>
          </cell>
        </row>
        <row r="1473">
          <cell r="A1473">
            <v>11854</v>
          </cell>
          <cell r="B1473" t="str">
            <v>CONECTOR METALICO TIPO PARAFUSO FENDIDO (SPLIT BOLT), PARA CABOS ATE 35 MM2</v>
          </cell>
          <cell r="C1473" t="str">
            <v xml:space="preserve">UN    </v>
          </cell>
          <cell r="D1473">
            <v>7.09</v>
          </cell>
        </row>
        <row r="1474">
          <cell r="A1474">
            <v>11862</v>
          </cell>
          <cell r="B1474" t="str">
            <v>CONECTOR METALICO TIPO PARAFUSO FENDIDO (SPLIT BOLT), PARA CABOS ATE 50 MM2</v>
          </cell>
          <cell r="C1474" t="str">
            <v xml:space="preserve">UN    </v>
          </cell>
          <cell r="D1474">
            <v>9.9499999999999993</v>
          </cell>
        </row>
        <row r="1475">
          <cell r="A1475">
            <v>11863</v>
          </cell>
          <cell r="B1475" t="str">
            <v>CONECTOR METALICO TIPO PARAFUSO FENDIDO (SPLIT BOLT), PARA CABOS ATE 6 MM2</v>
          </cell>
          <cell r="C1475" t="str">
            <v xml:space="preserve">UN    </v>
          </cell>
          <cell r="D1475">
            <v>4.0199999999999996</v>
          </cell>
        </row>
        <row r="1476">
          <cell r="A1476">
            <v>11855</v>
          </cell>
          <cell r="B1476" t="str">
            <v>CONECTOR METALICO TIPO PARAFUSO FENDIDO (SPLIT BOLT), PARA CABOS ATE 70 MM2</v>
          </cell>
          <cell r="C1476" t="str">
            <v xml:space="preserve">UN    </v>
          </cell>
          <cell r="D1476">
            <v>14.85</v>
          </cell>
        </row>
        <row r="1477">
          <cell r="A1477">
            <v>11864</v>
          </cell>
          <cell r="B1477" t="str">
            <v>CONECTOR METALICO TIPO PARAFUSO FENDIDO (SPLIT BOLT), PARA CABOS ATE 95 MM2</v>
          </cell>
          <cell r="C1477" t="str">
            <v xml:space="preserve">UN    </v>
          </cell>
          <cell r="D1477">
            <v>22.46</v>
          </cell>
        </row>
        <row r="1478">
          <cell r="A1478">
            <v>2527</v>
          </cell>
          <cell r="B1478" t="str">
            <v>CONECTOR RETO DE ALUMINIO PARA ELETRODUTO DE 1 1/2", PARA ADAPTAR ENTRADA DE ELETRODUTO METALICO FLEXIVEL EM QUADROS</v>
          </cell>
          <cell r="C1478" t="str">
            <v xml:space="preserve">UN    </v>
          </cell>
          <cell r="D1478">
            <v>5.52</v>
          </cell>
        </row>
        <row r="1479">
          <cell r="A1479">
            <v>2526</v>
          </cell>
          <cell r="B1479" t="str">
            <v>CONECTOR RETO DE ALUMINIO PARA ELETRODUTO DE 1 1/4", PARA ADAPTAR ENTRADA DE ELETRODUTO METALICO FLEXIVEL EM QUADROS</v>
          </cell>
          <cell r="C1479" t="str">
            <v xml:space="preserve">UN    </v>
          </cell>
          <cell r="D1479">
            <v>3.53</v>
          </cell>
        </row>
        <row r="1480">
          <cell r="A1480">
            <v>2487</v>
          </cell>
          <cell r="B1480" t="str">
            <v>CONECTOR RETO DE ALUMINIO PARA ELETRODUTO DE 1/2", PARA ADAPTAR ENTRADA DE ELETRODUTO METALICO FLEXIVEL EM QUADROS</v>
          </cell>
          <cell r="C1480" t="str">
            <v xml:space="preserve">UN    </v>
          </cell>
          <cell r="D1480">
            <v>1.2</v>
          </cell>
        </row>
        <row r="1481">
          <cell r="A1481">
            <v>2483</v>
          </cell>
          <cell r="B1481" t="str">
            <v>CONECTOR RETO DE ALUMINIO PARA ELETRODUTO DE 1", PARA ADAPTAR ENTRADA DE ELETRODUTO METALICO FLEXIVEL EM QUADROS</v>
          </cell>
          <cell r="C1481" t="str">
            <v xml:space="preserve">UN    </v>
          </cell>
          <cell r="D1481">
            <v>2.52</v>
          </cell>
        </row>
        <row r="1482">
          <cell r="A1482">
            <v>2528</v>
          </cell>
          <cell r="B1482" t="str">
            <v>CONECTOR RETO DE ALUMINIO PARA ELETRODUTO DE 2 1/2", PARA ADAPTAR ENTRADA DE ELETRODUTO METALICO FLEXIVEL EM QUADROS</v>
          </cell>
          <cell r="C1482" t="str">
            <v xml:space="preserve">UN    </v>
          </cell>
          <cell r="D1482">
            <v>13.89</v>
          </cell>
        </row>
        <row r="1483">
          <cell r="A1483">
            <v>2489</v>
          </cell>
          <cell r="B1483" t="str">
            <v>CONECTOR RETO DE ALUMINIO PARA ELETRODUTO DE 2", PARA ADAPTAR ENTRADA DE ELETRODUTO METALICO FLEXIVEL EM QUADROS</v>
          </cell>
          <cell r="C1483" t="str">
            <v xml:space="preserve">UN    </v>
          </cell>
          <cell r="D1483">
            <v>6.12</v>
          </cell>
        </row>
        <row r="1484">
          <cell r="A1484">
            <v>2488</v>
          </cell>
          <cell r="B1484" t="str">
            <v>CONECTOR RETO DE ALUMINIO PARA ELETRODUTO DE 3/4", PARA ADAPTAR ENTRADA DE ELETRODUTO METALICO FLEXIVEL EM QUADROS</v>
          </cell>
          <cell r="C1484" t="str">
            <v xml:space="preserve">UN    </v>
          </cell>
          <cell r="D1484">
            <v>1.41</v>
          </cell>
        </row>
        <row r="1485">
          <cell r="A1485">
            <v>2484</v>
          </cell>
          <cell r="B1485" t="str">
            <v>CONECTOR RETO DE ALUMINIO PARA ELETRODUTO DE 3", PARA ADAPTAR ENTRADA DE ELETRODUTO METALICO FLEXIVEL EM QUADROS</v>
          </cell>
          <cell r="C1485" t="str">
            <v xml:space="preserve">UN    </v>
          </cell>
          <cell r="D1485">
            <v>20.18</v>
          </cell>
        </row>
        <row r="1486">
          <cell r="A1486">
            <v>2485</v>
          </cell>
          <cell r="B1486" t="str">
            <v>CONECTOR RETO DE ALUMINIO PARA ELETRODUTO DE 4", PARA ADAPTAR ENTRADA DE ELETRODUTO METALICO FLEXIVEL EM QUADROS</v>
          </cell>
          <cell r="C1486" t="str">
            <v xml:space="preserve">UN    </v>
          </cell>
          <cell r="D1486">
            <v>31.62</v>
          </cell>
        </row>
        <row r="1487">
          <cell r="A1487">
            <v>38005</v>
          </cell>
          <cell r="B1487" t="str">
            <v>CONECTOR, CPVC, SOLDAVEL, 15 MM X 1/2", PARA AGUA QUENTE</v>
          </cell>
          <cell r="C1487" t="str">
            <v xml:space="preserve">UN    </v>
          </cell>
          <cell r="D1487">
            <v>21.56</v>
          </cell>
        </row>
        <row r="1488">
          <cell r="A1488">
            <v>38006</v>
          </cell>
          <cell r="B1488" t="str">
            <v>CONECTOR, CPVC, SOLDAVEL, 22 MM X 1/2", PARA AGUA QUENTE</v>
          </cell>
          <cell r="C1488" t="str">
            <v xml:space="preserve">UN    </v>
          </cell>
          <cell r="D1488">
            <v>26.46</v>
          </cell>
        </row>
        <row r="1489">
          <cell r="A1489">
            <v>38428</v>
          </cell>
          <cell r="B1489" t="str">
            <v>CONECTOR, CPVC, SOLDAVEL, 22 MM X 3/4", PARA AGUA QUENTE</v>
          </cell>
          <cell r="C1489" t="str">
            <v xml:space="preserve">UN    </v>
          </cell>
          <cell r="D1489">
            <v>24.79</v>
          </cell>
        </row>
        <row r="1490">
          <cell r="A1490">
            <v>38007</v>
          </cell>
          <cell r="B1490" t="str">
            <v>CONECTOR, CPVC, SOLDAVEL, 28 MM X 1", PARA AGUA QUENTE</v>
          </cell>
          <cell r="C1490" t="str">
            <v xml:space="preserve">UN    </v>
          </cell>
          <cell r="D1490">
            <v>40.5</v>
          </cell>
        </row>
        <row r="1491">
          <cell r="A1491">
            <v>38008</v>
          </cell>
          <cell r="B1491" t="str">
            <v>CONECTOR, CPVC, SOLDAVEL, 35 MM X 1 1/4", PARA AGUA QUENTE</v>
          </cell>
          <cell r="C1491" t="str">
            <v xml:space="preserve">UN    </v>
          </cell>
          <cell r="D1491">
            <v>163.11000000000001</v>
          </cell>
        </row>
        <row r="1492">
          <cell r="A1492">
            <v>38009</v>
          </cell>
          <cell r="B1492" t="str">
            <v>CONECTOR, CPVC, SOLDAVEL, 42 MM X 1 1/2", PARA AGUA QUENTE</v>
          </cell>
          <cell r="C1492" t="str">
            <v xml:space="preserve">UN    </v>
          </cell>
          <cell r="D1492">
            <v>199.35</v>
          </cell>
        </row>
        <row r="1493">
          <cell r="A1493">
            <v>39279</v>
          </cell>
          <cell r="B1493" t="str">
            <v>CONEXAO FIXA, ROSCA FEMEA, EM PLASTICO, DN 16 MM X 1/2", PARA CONEXAO COM CRIMPAGEM EM TUBO PEX</v>
          </cell>
          <cell r="C1493" t="str">
            <v xml:space="preserve">UN    </v>
          </cell>
          <cell r="D1493">
            <v>10.52</v>
          </cell>
        </row>
        <row r="1494">
          <cell r="A1494">
            <v>38845</v>
          </cell>
          <cell r="B1494" t="str">
            <v>CONEXAO FIXA, ROSCA FEMEA, EM PLASTICO, DN 16 MM X 3/4", PARA CONEXAO COM CRIMPAGEM EM TUBO PEX</v>
          </cell>
          <cell r="C1494" t="str">
            <v xml:space="preserve">UN    </v>
          </cell>
          <cell r="D1494">
            <v>15.23</v>
          </cell>
        </row>
        <row r="1495">
          <cell r="A1495">
            <v>39280</v>
          </cell>
          <cell r="B1495" t="str">
            <v>CONEXAO FIXA, ROSCA FEMEA, EM PLASTICO, DN 20 MM X 1/2", PARA CONEXAO COM CRIMPAGEM EM TUBO PEX</v>
          </cell>
          <cell r="C1495" t="str">
            <v xml:space="preserve">UN    </v>
          </cell>
          <cell r="D1495">
            <v>13.65</v>
          </cell>
        </row>
        <row r="1496">
          <cell r="A1496">
            <v>39281</v>
          </cell>
          <cell r="B1496" t="str">
            <v>CONEXAO FIXA, ROSCA FEMEA, EM PLASTICO, DN 20 MM X 3/4", PARA CONEXAO COM CRIMPAGEM EM TUBO PEX</v>
          </cell>
          <cell r="C1496" t="str">
            <v xml:space="preserve">UN    </v>
          </cell>
          <cell r="D1496">
            <v>17.96</v>
          </cell>
        </row>
        <row r="1497">
          <cell r="A1497">
            <v>38849</v>
          </cell>
          <cell r="B1497" t="str">
            <v>CONEXAO FIXA, ROSCA FEMEA, EM PLASTICO, DN 25 MM X 1/2", PARA CONEXAO COM CRIMPAGEM EM TUBO PEX</v>
          </cell>
          <cell r="C1497" t="str">
            <v xml:space="preserve">UN    </v>
          </cell>
          <cell r="D1497">
            <v>15.39</v>
          </cell>
        </row>
        <row r="1498">
          <cell r="A1498">
            <v>39282</v>
          </cell>
          <cell r="B1498" t="str">
            <v>CONEXAO FIXA, ROSCA FEMEA, EM PLASTICO, DN 25 MM X 3/4", PARA CONEXAO COM CRIMPAGEM EM TUBO PEX</v>
          </cell>
          <cell r="C1498" t="str">
            <v xml:space="preserve">UN    </v>
          </cell>
          <cell r="D1498">
            <v>18.39</v>
          </cell>
        </row>
        <row r="1499">
          <cell r="A1499">
            <v>38852</v>
          </cell>
          <cell r="B1499" t="str">
            <v>CONEXAO FIXA, ROSCA FEMEA, EM PLASTICO, DN 32 MM X 3/4", PARA CONEXAO COM CRIMPAGEM EM TUBO PEX</v>
          </cell>
          <cell r="C1499" t="str">
            <v xml:space="preserve">UN    </v>
          </cell>
          <cell r="D1499">
            <v>25.02</v>
          </cell>
        </row>
        <row r="1500">
          <cell r="A1500">
            <v>38844</v>
          </cell>
          <cell r="B1500" t="str">
            <v>CONEXAO FIXA, ROSCA FEMEA, METALICA, COM ANEL DESLIZANTE, DN 16 MM X 1/2", PARA TUBO PEX</v>
          </cell>
          <cell r="C1500" t="str">
            <v xml:space="preserve">UN    </v>
          </cell>
          <cell r="D1500">
            <v>7.69</v>
          </cell>
        </row>
        <row r="1501">
          <cell r="A1501">
            <v>38846</v>
          </cell>
          <cell r="B1501" t="str">
            <v>CONEXAO FIXA, ROSCA FEMEA, METALICA, COM ANEL DESLIZANTE, DN 20 MM X 1/2", PARA TUBO PEX</v>
          </cell>
          <cell r="C1501" t="str">
            <v xml:space="preserve">UN    </v>
          </cell>
          <cell r="D1501">
            <v>8.41</v>
          </cell>
        </row>
        <row r="1502">
          <cell r="A1502">
            <v>38847</v>
          </cell>
          <cell r="B1502" t="str">
            <v>CONEXAO FIXA, ROSCA FEMEA, METALICA, COM ANEL DESLIZANTE, DN 20 MM X 3/4", PARA TUBO PEX</v>
          </cell>
          <cell r="C1502" t="str">
            <v xml:space="preserve">UN    </v>
          </cell>
          <cell r="D1502">
            <v>10.35</v>
          </cell>
        </row>
        <row r="1503">
          <cell r="A1503">
            <v>38850</v>
          </cell>
          <cell r="B1503" t="str">
            <v>CONEXAO FIXA, ROSCA FEMEA, METALICA, COM ANEL DESLIZANTE, DN 25 MM X 1", PARA TUBO PEX</v>
          </cell>
          <cell r="C1503" t="str">
            <v xml:space="preserve">UN    </v>
          </cell>
          <cell r="D1503">
            <v>14.38</v>
          </cell>
        </row>
        <row r="1504">
          <cell r="A1504">
            <v>38848</v>
          </cell>
          <cell r="B1504" t="str">
            <v>CONEXAO FIXA, ROSCA FEMEA, METALICA, COM ANEL DESLIZANTE, DN 25 MM X 3/4", PARA TUBO PEX</v>
          </cell>
          <cell r="C1504" t="str">
            <v xml:space="preserve">UN    </v>
          </cell>
          <cell r="D1504">
            <v>12.03</v>
          </cell>
        </row>
        <row r="1505">
          <cell r="A1505">
            <v>38851</v>
          </cell>
          <cell r="B1505" t="str">
            <v>CONEXAO FIXA, ROSCA FEMEA, METALICA, COM ANEL DESLIZANTE, DN 32 MM X 1", PARA TUBO PEX</v>
          </cell>
          <cell r="C1505" t="str">
            <v xml:space="preserve">UN    </v>
          </cell>
          <cell r="D1505">
            <v>21.86</v>
          </cell>
        </row>
        <row r="1506">
          <cell r="A1506">
            <v>38860</v>
          </cell>
          <cell r="B1506" t="str">
            <v>CONEXAO FIXA, ROSCA MACHO, METALICA, PARA TUBO PEX, DN 16 MM X 1/2"</v>
          </cell>
          <cell r="C1506" t="str">
            <v xml:space="preserve">UN    </v>
          </cell>
          <cell r="D1506">
            <v>6.18</v>
          </cell>
        </row>
        <row r="1507">
          <cell r="A1507">
            <v>38861</v>
          </cell>
          <cell r="B1507" t="str">
            <v>CONEXAO FIXA, ROSCA MACHO, METALICA, PARA TUBO PEX, DN 16 MM X 3/4"</v>
          </cell>
          <cell r="C1507" t="str">
            <v xml:space="preserve">UN    </v>
          </cell>
          <cell r="D1507">
            <v>8.32</v>
          </cell>
        </row>
        <row r="1508">
          <cell r="A1508">
            <v>38862</v>
          </cell>
          <cell r="B1508" t="str">
            <v>CONEXAO FIXA, ROSCA MACHO, METALICA, PARA TUBO PEX, DN 20 MM X 1/2"</v>
          </cell>
          <cell r="C1508" t="str">
            <v xml:space="preserve">UN    </v>
          </cell>
          <cell r="D1508">
            <v>7.01</v>
          </cell>
        </row>
        <row r="1509">
          <cell r="A1509">
            <v>38863</v>
          </cell>
          <cell r="B1509" t="str">
            <v>CONEXAO FIXA, ROSCA MACHO, METALICA, PARA TUBO PEX, DN 20 MM X 3/4"</v>
          </cell>
          <cell r="C1509" t="str">
            <v xml:space="preserve">UN    </v>
          </cell>
          <cell r="D1509">
            <v>8.0500000000000007</v>
          </cell>
        </row>
        <row r="1510">
          <cell r="A1510">
            <v>38865</v>
          </cell>
          <cell r="B1510" t="str">
            <v>CONEXAO FIXA, ROSCA MACHO, METALICA, PARA TUBO PEX, DN 25 MM X 1/2"</v>
          </cell>
          <cell r="C1510" t="str">
            <v xml:space="preserve">UN    </v>
          </cell>
          <cell r="D1510">
            <v>10.94</v>
          </cell>
        </row>
        <row r="1511">
          <cell r="A1511">
            <v>38864</v>
          </cell>
          <cell r="B1511" t="str">
            <v>CONEXAO FIXA, ROSCA MACHO, METALICA, PARA TUBO PEX, DN 25 MM X 1"</v>
          </cell>
          <cell r="C1511" t="str">
            <v xml:space="preserve">UN    </v>
          </cell>
          <cell r="D1511">
            <v>16.72</v>
          </cell>
        </row>
        <row r="1512">
          <cell r="A1512">
            <v>38866</v>
          </cell>
          <cell r="B1512" t="str">
            <v>CONEXAO FIXA, ROSCA MACHO, METALICA, PARA TUBO PEX, DN 25 MM X 3/4"</v>
          </cell>
          <cell r="C1512" t="str">
            <v xml:space="preserve">UN    </v>
          </cell>
          <cell r="D1512">
            <v>11.77</v>
          </cell>
        </row>
        <row r="1513">
          <cell r="A1513">
            <v>38868</v>
          </cell>
          <cell r="B1513" t="str">
            <v>CONEXAO FIXA, ROSCA MACHO, METALICA, PARA TUBO PEX, DN 32 MM X 1"</v>
          </cell>
          <cell r="C1513" t="str">
            <v xml:space="preserve">UN    </v>
          </cell>
          <cell r="D1513">
            <v>19.62</v>
          </cell>
        </row>
        <row r="1514">
          <cell r="A1514">
            <v>38853</v>
          </cell>
          <cell r="B1514" t="str">
            <v>CONEXAO MOVEL, ROSCA FEMEA, METALICA, COM ANEL DESLIZANTE, PARA TUBO PEX, DN 16 MM X 1/2"</v>
          </cell>
          <cell r="C1514" t="str">
            <v xml:space="preserve">UN    </v>
          </cell>
          <cell r="D1514">
            <v>6.34</v>
          </cell>
        </row>
        <row r="1515">
          <cell r="A1515">
            <v>38854</v>
          </cell>
          <cell r="B1515" t="str">
            <v>CONEXAO MOVEL, ROSCA FEMEA, METALICA, COM ANEL DESLIZANTE, PARA TUBO PEX, DN 16 MM X 3/4"</v>
          </cell>
          <cell r="C1515" t="str">
            <v xml:space="preserve">UN    </v>
          </cell>
          <cell r="D1515">
            <v>8.66</v>
          </cell>
        </row>
        <row r="1516">
          <cell r="A1516">
            <v>38855</v>
          </cell>
          <cell r="B1516" t="str">
            <v>CONEXAO MOVEL, ROSCA FEMEA, METALICA, COM ANEL DESLIZANTE, PARA TUBO PEX, DN 20 MM X 1/2"</v>
          </cell>
          <cell r="C1516" t="str">
            <v xml:space="preserve">UN    </v>
          </cell>
          <cell r="D1516">
            <v>6.42</v>
          </cell>
        </row>
        <row r="1517">
          <cell r="A1517">
            <v>38856</v>
          </cell>
          <cell r="B1517" t="str">
            <v>CONEXAO MOVEL, ROSCA FEMEA, METALICA, COM ANEL DESLIZANTE, PARA TUBO PEX, DN 20 MM X 3/4"</v>
          </cell>
          <cell r="C1517" t="str">
            <v xml:space="preserve">UN    </v>
          </cell>
          <cell r="D1517">
            <v>10.32</v>
          </cell>
        </row>
        <row r="1518">
          <cell r="A1518">
            <v>38857</v>
          </cell>
          <cell r="B1518" t="str">
            <v>CONEXAO MOVEL, ROSCA FEMEA, METALICA, COM ANEL DESLIZANTE, PARA TUBO PEX, DN 25 MM X 1"</v>
          </cell>
          <cell r="C1518" t="str">
            <v xml:space="preserve">UN    </v>
          </cell>
          <cell r="D1518">
            <v>13.65</v>
          </cell>
        </row>
        <row r="1519">
          <cell r="A1519">
            <v>38858</v>
          </cell>
          <cell r="B1519" t="str">
            <v>CONEXAO MOVEL, ROSCA FEMEA, METALICA, COM ANEL DESLIZANTE, PARA TUBO PEX, DN 25 MM X 3/4"</v>
          </cell>
          <cell r="C1519" t="str">
            <v xml:space="preserve">UN    </v>
          </cell>
          <cell r="D1519">
            <v>12.41</v>
          </cell>
        </row>
        <row r="1520">
          <cell r="A1520">
            <v>38859</v>
          </cell>
          <cell r="B1520" t="str">
            <v>CONEXAO MOVEL, ROSCA FEMEA, METALICA, COM ANEL DESLIZANTE, PARA TUBO PEX, DN 32 MM X 1"</v>
          </cell>
          <cell r="C1520" t="str">
            <v xml:space="preserve">UN    </v>
          </cell>
          <cell r="D1520">
            <v>20.100000000000001</v>
          </cell>
        </row>
        <row r="1521">
          <cell r="A1521">
            <v>1607</v>
          </cell>
          <cell r="B1521" t="str">
            <v>CONJUNTO ARRUELAS DE VEDACAO 5/16" PARA TELHA FIBROCIMENTO (UMA ARRUELA METALICA E UMA ARRUELA PVC - CONICAS)</v>
          </cell>
          <cell r="C1521" t="str">
            <v xml:space="preserve">CJ    </v>
          </cell>
          <cell r="D1521">
            <v>0.15</v>
          </cell>
        </row>
        <row r="1522">
          <cell r="A1522">
            <v>11467</v>
          </cell>
          <cell r="B1522" t="str">
            <v>CONJUNTO DE FECHADURA DE SOBREPOR EM FERRO PINTADO, SEM MACANETA, COM CHAVE GRANDE (SEM CILINDRO) - TIPO CAIXAO - COMPLETA</v>
          </cell>
          <cell r="C1522" t="str">
            <v xml:space="preserve">UN    </v>
          </cell>
          <cell r="D1522">
            <v>14.51</v>
          </cell>
        </row>
        <row r="1523">
          <cell r="A1523">
            <v>38169</v>
          </cell>
          <cell r="B1523" t="str">
            <v>CONJUNTO DE FERRAGENS PIVO, PARA PORTA PIVOTANTE DE ATE 100 KG, REGULAVEL COM ESFERA , CROMADO - SUPERIOR E INFERIOR - COMPLETO</v>
          </cell>
          <cell r="C1523" t="str">
            <v xml:space="preserve">CJ    </v>
          </cell>
          <cell r="D1523">
            <v>65.52</v>
          </cell>
        </row>
        <row r="1524">
          <cell r="A1524">
            <v>6142</v>
          </cell>
          <cell r="B1524" t="str">
            <v>CONJUNTO DE LIGACAO PARA BACIA SANITARIA AJUSTAVEL, EM PLASTICO BRANCO, COM TUBO, CANOPLA E ESPUDE</v>
          </cell>
          <cell r="C1524" t="str">
            <v xml:space="preserve">UN    </v>
          </cell>
          <cell r="D1524">
            <v>6.42</v>
          </cell>
        </row>
        <row r="1525">
          <cell r="A1525">
            <v>11686</v>
          </cell>
          <cell r="B1525" t="str">
            <v>CONJUNTO DE LIGACAO PARA BACIA SANITARIA EM PLASTICO BRANCO COM TUBO, CANOPLA E ANEL DE EXPANSAO (TUBO 1.1/2 '' X 20 CM)</v>
          </cell>
          <cell r="C1525" t="str">
            <v xml:space="preserve">UN    </v>
          </cell>
          <cell r="D1525">
            <v>8.91</v>
          </cell>
        </row>
        <row r="1526">
          <cell r="A1526">
            <v>37598</v>
          </cell>
          <cell r="B1526" t="str">
            <v>CONJUNTO MONTADO ESTOPIM COM ESPOLETA COMUM NUMERO 8, COM CABECA ACENDEDORA, 1,5 M</v>
          </cell>
          <cell r="C1526" t="str">
            <v xml:space="preserve">UN    </v>
          </cell>
          <cell r="D1526">
            <v>22.83</v>
          </cell>
        </row>
        <row r="1527">
          <cell r="A1527">
            <v>25398</v>
          </cell>
          <cell r="B1527" t="str">
            <v>CONJUNTO PARA FUTSAL COM TRAVES OFICIAIS DE 3,00 X 2,00 M EM TUBO DE ACO GALVANIZADO 3" COM REQUADRO EM TUBO DE 1", PINTURA EM PRIMER COM TINTA ESMALTE SINTETICO E REDES DE POLIETILENO FIO 4 MM</v>
          </cell>
          <cell r="C1527" t="str">
            <v xml:space="preserve">UN    </v>
          </cell>
          <cell r="D1527">
            <v>2122.5100000000002</v>
          </cell>
        </row>
        <row r="1528">
          <cell r="A1528">
            <v>25399</v>
          </cell>
          <cell r="B1528" t="str">
            <v>CONJUNTO PARA QUADRA DE  VOLEI COM POSTES EM TUBO DE ACO GALVANIZADO 3", H = *255* CM, PINTURA EM TINTA ESMALTE SINTETICO, REDE DE NYLON COM 2 MM, MALHA 10 X 10 CM E ANTENAS OFICIAIS EM FIBRA DE VIDRO</v>
          </cell>
          <cell r="C1528" t="str">
            <v xml:space="preserve">UN    </v>
          </cell>
          <cell r="D1528">
            <v>1288.55</v>
          </cell>
        </row>
        <row r="1529">
          <cell r="A1529">
            <v>43440</v>
          </cell>
          <cell r="B1529" t="str">
            <v>CONJUNTO PRE-MOLDADO COMPOSTO POR GRELHA (0,99 X 0,45 M), QUADRO (1,10 X 0,52 M) E CANTONEIRA (1,10 X 0,35 M), EM CONCRETO ARMADO, COM FCK DE 21 MPA</v>
          </cell>
          <cell r="C1529" t="str">
            <v xml:space="preserve">UN    </v>
          </cell>
          <cell r="D1529">
            <v>248.4</v>
          </cell>
        </row>
        <row r="1530">
          <cell r="A1530">
            <v>10667</v>
          </cell>
          <cell r="B1530" t="str">
            <v>CONTAINER ALMOXARIFADO, DE *2,40* X *6,00* M, PADRAO SIMPLES, SEM REVESTIMENTO E SEM DIVISORIAS INTERNOS E SEM SANITARIO, PARA USO EM CANTEIRO DE OBRAS</v>
          </cell>
          <cell r="C1530" t="str">
            <v xml:space="preserve">UN    </v>
          </cell>
          <cell r="D1530">
            <v>11245</v>
          </cell>
        </row>
        <row r="1531">
          <cell r="A1531">
            <v>1613</v>
          </cell>
          <cell r="B1531" t="str">
            <v>CONTATOR TRIPOLAR, CORRENTE DE *110* A, TENSAO NOMINAL DE *500* V, CATEGORIA AC-2 E AC-3</v>
          </cell>
          <cell r="C1531" t="str">
            <v xml:space="preserve">UN    </v>
          </cell>
          <cell r="D1531">
            <v>1287.56</v>
          </cell>
        </row>
        <row r="1532">
          <cell r="A1532">
            <v>1626</v>
          </cell>
          <cell r="B1532" t="str">
            <v>CONTATOR TRIPOLAR, CORRENTE DE *185* A, TENSAO NOMINAL DE *500* V, CATEGORIA AC-2 E AC-3</v>
          </cell>
          <cell r="C1532" t="str">
            <v xml:space="preserve">UN    </v>
          </cell>
          <cell r="D1532">
            <v>1925.7</v>
          </cell>
        </row>
        <row r="1533">
          <cell r="A1533">
            <v>1625</v>
          </cell>
          <cell r="B1533" t="str">
            <v>CONTATOR TRIPOLAR, CORRENTE DE *22* A, TENSAO NOMINAL DE *500* V, CATEGORIA AC-2 E AC-3</v>
          </cell>
          <cell r="C1533" t="str">
            <v xml:space="preserve">UN    </v>
          </cell>
          <cell r="D1533">
            <v>134.5</v>
          </cell>
        </row>
        <row r="1534">
          <cell r="A1534">
            <v>1622</v>
          </cell>
          <cell r="B1534" t="str">
            <v>CONTATOR TRIPOLAR, CORRENTE DE *265* A, TENSAO NOMINAL DE *500* V, CATEGORIA AC-2 E AC-3</v>
          </cell>
          <cell r="C1534" t="str">
            <v xml:space="preserve">UN    </v>
          </cell>
          <cell r="D1534">
            <v>4345.51</v>
          </cell>
        </row>
        <row r="1535">
          <cell r="A1535">
            <v>1620</v>
          </cell>
          <cell r="B1535" t="str">
            <v>CONTATOR TRIPOLAR, CORRENTE DE *38* A, TENSAO NOMINAL DE *500* V, CATEGORIA AC-2 E AC-3</v>
          </cell>
          <cell r="C1535" t="str">
            <v xml:space="preserve">UN    </v>
          </cell>
          <cell r="D1535">
            <v>283.33</v>
          </cell>
        </row>
        <row r="1536">
          <cell r="A1536">
            <v>1629</v>
          </cell>
          <cell r="B1536" t="str">
            <v>CONTATOR TRIPOLAR, CORRENTE DE *500* A, TENSAO NOMINAL DE *500* V, CATEGORIA AC-2 E AC-3</v>
          </cell>
          <cell r="C1536" t="str">
            <v xml:space="preserve">UN    </v>
          </cell>
          <cell r="D1536">
            <v>10575.95</v>
          </cell>
        </row>
        <row r="1537">
          <cell r="A1537">
            <v>1627</v>
          </cell>
          <cell r="B1537" t="str">
            <v>CONTATOR TRIPOLAR, CORRENTE DE *65* A, TENSAO NOMINAL DE *500* V, CATEGORIA AC-2 E AC-3</v>
          </cell>
          <cell r="C1537" t="str">
            <v xml:space="preserve">UN    </v>
          </cell>
          <cell r="D1537">
            <v>541.58000000000004</v>
          </cell>
        </row>
        <row r="1538">
          <cell r="A1538">
            <v>1623</v>
          </cell>
          <cell r="B1538" t="str">
            <v>CONTATOR TRIPOLAR, CORRENTE DE 12 A, TENSAO NOMINAL DE *500* V, CATEGORIA AC-2 E AC-3</v>
          </cell>
          <cell r="C1538" t="str">
            <v xml:space="preserve">UN    </v>
          </cell>
          <cell r="D1538">
            <v>109.69</v>
          </cell>
        </row>
        <row r="1539">
          <cell r="A1539">
            <v>1619</v>
          </cell>
          <cell r="B1539" t="str">
            <v>CONTATOR TRIPOLAR, CORRENTE DE 25 A, TENSAO NOMINAL DE *500* V, CATEGORIA AC-2 E AC-3</v>
          </cell>
          <cell r="C1539" t="str">
            <v xml:space="preserve">UN    </v>
          </cell>
          <cell r="D1539">
            <v>150.88999999999999</v>
          </cell>
        </row>
        <row r="1540">
          <cell r="A1540">
            <v>1630</v>
          </cell>
          <cell r="B1540" t="str">
            <v>CONTATOR TRIPOLAR, CORRENTE DE 250 A, TENSAO NOMINAL DE *500* V, PARA ACIONAMENTO DE CAPACITORES</v>
          </cell>
          <cell r="C1540" t="str">
            <v xml:space="preserve">UN    </v>
          </cell>
          <cell r="D1540">
            <v>3322.23</v>
          </cell>
        </row>
        <row r="1541">
          <cell r="A1541">
            <v>1616</v>
          </cell>
          <cell r="B1541" t="str">
            <v>CONTATOR TRIPOLAR, CORRENTE DE 300 A, TENSAO NOMINAL DE *500* V, CATEGORIA AC-2 E AC-3</v>
          </cell>
          <cell r="C1541" t="str">
            <v xml:space="preserve">UN    </v>
          </cell>
          <cell r="D1541">
            <v>5109.66</v>
          </cell>
        </row>
        <row r="1542">
          <cell r="A1542">
            <v>1614</v>
          </cell>
          <cell r="B1542" t="str">
            <v>CONTATOR TRIPOLAR, CORRENTE DE 32 A, TENSAO NOMINAL DE *500* V, CATEGORIA AC-2 E AC-3</v>
          </cell>
          <cell r="C1542" t="str">
            <v xml:space="preserve">UN    </v>
          </cell>
          <cell r="D1542">
            <v>233.53</v>
          </cell>
        </row>
        <row r="1543">
          <cell r="A1543">
            <v>1617</v>
          </cell>
          <cell r="B1543" t="str">
            <v>CONTATOR TRIPOLAR, CORRENTE DE 400 A, TENSAO NOMINAL DE *500* V, CATEGORIA AC-2 E AC-3</v>
          </cell>
          <cell r="C1543" t="str">
            <v xml:space="preserve">UN    </v>
          </cell>
          <cell r="D1543">
            <v>6099.82</v>
          </cell>
        </row>
        <row r="1544">
          <cell r="A1544">
            <v>1621</v>
          </cell>
          <cell r="B1544" t="str">
            <v>CONTATOR TRIPOLAR, CORRENTE DE 45 A, TENSAO NOMINAL DE *500* V, CATEGORIA AC-2 E AC-3</v>
          </cell>
          <cell r="C1544" t="str">
            <v xml:space="preserve">UN    </v>
          </cell>
          <cell r="D1544">
            <v>417.66</v>
          </cell>
        </row>
        <row r="1545">
          <cell r="A1545">
            <v>1624</v>
          </cell>
          <cell r="B1545" t="str">
            <v>CONTATOR TRIPOLAR, CORRENTE DE 630 A, TENSAO NOMINAL DE *500* V, CATEGORIA AC-2 E AC-3</v>
          </cell>
          <cell r="C1545" t="str">
            <v xml:space="preserve">UN    </v>
          </cell>
          <cell r="D1545">
            <v>14993.66</v>
          </cell>
        </row>
        <row r="1546">
          <cell r="A1546">
            <v>1615</v>
          </cell>
          <cell r="B1546" t="str">
            <v>CONTATOR TRIPOLAR, CORRENTE DE 75 A, TENSAO NOMINAL DE *500* V, CATEGORIA AC-2 E AC-3</v>
          </cell>
          <cell r="C1546" t="str">
            <v xml:space="preserve">UN    </v>
          </cell>
          <cell r="D1546">
            <v>784.3</v>
          </cell>
        </row>
        <row r="1547">
          <cell r="A1547">
            <v>1612</v>
          </cell>
          <cell r="B1547" t="str">
            <v>CONTATOR TRIPOLAR, CORRENTE DE 9 A, TENSAO NOMINAL DE *500* V, CATEGORIA AC-2 E AC-3</v>
          </cell>
          <cell r="C1547" t="str">
            <v xml:space="preserve">UN    </v>
          </cell>
          <cell r="D1547">
            <v>103.3</v>
          </cell>
        </row>
        <row r="1548">
          <cell r="A1548">
            <v>1618</v>
          </cell>
          <cell r="B1548" t="str">
            <v>CONTATOR TRIPOLAR, CORRENTE DE 95 A, TENSAO NOMINAL DE *500* V, CATEGORIA AC-2 E AC-3</v>
          </cell>
          <cell r="C1548" t="str">
            <v xml:space="preserve">UN    </v>
          </cell>
          <cell r="D1548">
            <v>1077.75</v>
          </cell>
        </row>
        <row r="1549">
          <cell r="A1549">
            <v>14211</v>
          </cell>
          <cell r="B1549" t="str">
            <v>CONTRA-PORCA SEXTAVADA, DIAMETRO NOMINAL 1 3/8", ALTURA 35 MM</v>
          </cell>
          <cell r="C1549" t="str">
            <v xml:space="preserve">UN    </v>
          </cell>
          <cell r="D1549">
            <v>31.04</v>
          </cell>
        </row>
        <row r="1550">
          <cell r="A1550">
            <v>34500</v>
          </cell>
          <cell r="B1550" t="str">
            <v>COORDENADOR / GERENTE DE OBRA</v>
          </cell>
          <cell r="C1550" t="str">
            <v xml:space="preserve">H     </v>
          </cell>
          <cell r="D1550">
            <v>131.41</v>
          </cell>
        </row>
        <row r="1551">
          <cell r="A1551">
            <v>40934</v>
          </cell>
          <cell r="B1551" t="str">
            <v>COORDENADOR / GERENTE DE OBRA (MENSALISTA)</v>
          </cell>
          <cell r="C1551" t="str">
            <v xml:space="preserve">MES   </v>
          </cell>
          <cell r="D1551">
            <v>23295.29</v>
          </cell>
        </row>
        <row r="1552">
          <cell r="A1552">
            <v>5328</v>
          </cell>
          <cell r="B1552" t="str">
            <v>CORANTE LIQUIDO PARA TINTA PVA, BISNAGA 50 ML</v>
          </cell>
          <cell r="C1552" t="str">
            <v xml:space="preserve">UN    </v>
          </cell>
          <cell r="D1552">
            <v>4.34</v>
          </cell>
        </row>
        <row r="1553">
          <cell r="A1553">
            <v>38200</v>
          </cell>
          <cell r="B1553" t="str">
            <v>CORDA DE POLIAMIDA 12 MM TIPO BOMBEIRO, PARA TRABALHO EM ALTURA</v>
          </cell>
          <cell r="C1553" t="str">
            <v xml:space="preserve">100M  </v>
          </cell>
          <cell r="D1553">
            <v>514.32000000000005</v>
          </cell>
        </row>
        <row r="1554">
          <cell r="A1554">
            <v>39269</v>
          </cell>
          <cell r="B1554" t="str">
            <v>CORDAO DE COBRE, FLEXIVEL, TORCIDO, CLASSE 4 OU 5, ISOLACAO EM PVC/D, 300 V, 2 CONDUTORES DE 0,5 MM2</v>
          </cell>
          <cell r="C1554" t="str">
            <v xml:space="preserve">M     </v>
          </cell>
          <cell r="D1554">
            <v>0.88</v>
          </cell>
        </row>
        <row r="1555">
          <cell r="A1555">
            <v>11889</v>
          </cell>
          <cell r="B1555" t="str">
            <v>CORDAO DE COBRE, FLEXIVEL, TORCIDO, CLASSE 4 OU 5, ISOLACAO EM PVC/D, 300 V, 2 CONDUTORES DE 0,75 MM2</v>
          </cell>
          <cell r="C1555" t="str">
            <v xml:space="preserve">M     </v>
          </cell>
          <cell r="D1555">
            <v>1.22</v>
          </cell>
        </row>
        <row r="1556">
          <cell r="A1556">
            <v>39270</v>
          </cell>
          <cell r="B1556" t="str">
            <v>CORDAO DE COBRE, FLEXIVEL, TORCIDO, CLASSE 4 OU 5, ISOLACAO EM PVC/D, 300 V, 2 CONDUTORES DE 1,0 MM2</v>
          </cell>
          <cell r="C1556" t="str">
            <v xml:space="preserve">M     </v>
          </cell>
          <cell r="D1556">
            <v>1.46</v>
          </cell>
        </row>
        <row r="1557">
          <cell r="A1557">
            <v>11890</v>
          </cell>
          <cell r="B1557" t="str">
            <v>CORDAO DE COBRE, FLEXIVEL, TORCIDO, CLASSE 4 OU 5, ISOLACAO EM PVC/D, 300 V, 2 CONDUTORES DE 1,5 MM2</v>
          </cell>
          <cell r="C1557" t="str">
            <v xml:space="preserve">M     </v>
          </cell>
          <cell r="D1557">
            <v>1.89</v>
          </cell>
        </row>
        <row r="1558">
          <cell r="A1558">
            <v>11891</v>
          </cell>
          <cell r="B1558" t="str">
            <v>CORDAO DE COBRE, FLEXIVEL, TORCIDO, CLASSE 4 OU 5, ISOLACAO EM PVC/D, 300 V, 2 CONDUTORES DE 2,5 MM2</v>
          </cell>
          <cell r="C1558" t="str">
            <v xml:space="preserve">M     </v>
          </cell>
          <cell r="D1558">
            <v>3.12</v>
          </cell>
        </row>
        <row r="1559">
          <cell r="A1559">
            <v>11892</v>
          </cell>
          <cell r="B1559" t="str">
            <v>CORDAO DE COBRE, FLEXIVEL, TORCIDO, CLASSE 4 OU 5, ISOLACAO EM PVC/D, 300 V, 2 CONDUTORES DE 4 MM2</v>
          </cell>
          <cell r="C1559" t="str">
            <v xml:space="preserve">M     </v>
          </cell>
          <cell r="D1559">
            <v>4.8099999999999996</v>
          </cell>
        </row>
        <row r="1560">
          <cell r="A1560">
            <v>37601</v>
          </cell>
          <cell r="B1560" t="str">
            <v>CORDEL DETONANTE, NP 05 G/M</v>
          </cell>
          <cell r="C1560" t="str">
            <v xml:space="preserve">M     </v>
          </cell>
          <cell r="D1560">
            <v>5.07</v>
          </cell>
        </row>
        <row r="1561">
          <cell r="A1561">
            <v>1634</v>
          </cell>
          <cell r="B1561" t="str">
            <v>CORDEL DETONANTE, NP 10 G/M</v>
          </cell>
          <cell r="C1561" t="str">
            <v xml:space="preserve">M     </v>
          </cell>
          <cell r="D1561">
            <v>5.24</v>
          </cell>
        </row>
        <row r="1562">
          <cell r="A1562">
            <v>5086</v>
          </cell>
          <cell r="B1562" t="str">
            <v>CORRENTE DE ELO CURTO COMUM, SOLDADA, GALVANIZADA, ESPESSURA DO ELO = 1/2" (12,5 MM)</v>
          </cell>
          <cell r="C1562" t="str">
            <v xml:space="preserve">KG    </v>
          </cell>
          <cell r="D1562">
            <v>27.13</v>
          </cell>
        </row>
        <row r="1563">
          <cell r="A1563">
            <v>11280</v>
          </cell>
          <cell r="B1563" t="str">
            <v>CORTADEIRA DE PISO DE CONCRETO E ASFALTO, PARA DISCO PADRAO DE DIAMETRO 350 MM (14") OU 450 MM (18") , MOTOR A GASOLINA, POTENCIA 13 HP, SEM DISCO</v>
          </cell>
          <cell r="C1563" t="str">
            <v xml:space="preserve">UN    </v>
          </cell>
          <cell r="D1563">
            <v>11458.62</v>
          </cell>
        </row>
        <row r="1564">
          <cell r="A1564">
            <v>40519</v>
          </cell>
          <cell r="B1564" t="str">
            <v>CORTADEIRA HIDRAULICA DE VERGALHAO, PARA ACO DE DIAMETRO ATE 50 MM, MOTOR ELETRICO TRIFASICO, POTENCIA DE 5,5 HP A 7,5 HP</v>
          </cell>
          <cell r="C1564" t="str">
            <v xml:space="preserve">UN    </v>
          </cell>
          <cell r="D1564">
            <v>94460.99</v>
          </cell>
        </row>
        <row r="1565">
          <cell r="A1565">
            <v>39869</v>
          </cell>
          <cell r="B1565" t="str">
            <v>COTOVELO BRONZE/LATAO (REF 707-3) SEM ANEL DE SOLDA, BOLSA X ROSCA F, 15MM X 1/2"</v>
          </cell>
          <cell r="C1565" t="str">
            <v xml:space="preserve">UN    </v>
          </cell>
          <cell r="D1565">
            <v>9.24</v>
          </cell>
        </row>
        <row r="1566">
          <cell r="A1566">
            <v>39870</v>
          </cell>
          <cell r="B1566" t="str">
            <v>COTOVELO BRONZE/LATAO (REF 707-3) SEM ANEL DE SOLDA, BOLSA X ROSCA F, 22MM X 1/2"</v>
          </cell>
          <cell r="C1566" t="str">
            <v xml:space="preserve">UN    </v>
          </cell>
          <cell r="D1566">
            <v>14.13</v>
          </cell>
        </row>
        <row r="1567">
          <cell r="A1567">
            <v>39871</v>
          </cell>
          <cell r="B1567" t="str">
            <v>COTOVELO BRONZE/LATAO (REF 707-3) SEM ANEL DE SOLDA, BOLSA X ROSCA F, 22MM X 3/4"</v>
          </cell>
          <cell r="C1567" t="str">
            <v xml:space="preserve">UN    </v>
          </cell>
          <cell r="D1567">
            <v>15.84</v>
          </cell>
        </row>
        <row r="1568">
          <cell r="A1568">
            <v>12722</v>
          </cell>
          <cell r="B1568" t="str">
            <v>COTOVELO DE COBRE 90 GRAUS (REF 607) SEM ANEL DE SOLDA, BOLSA X BOLSA, 104 MM</v>
          </cell>
          <cell r="C1568" t="str">
            <v xml:space="preserve">UN    </v>
          </cell>
          <cell r="D1568">
            <v>530</v>
          </cell>
        </row>
        <row r="1569">
          <cell r="A1569">
            <v>12714</v>
          </cell>
          <cell r="B1569" t="str">
            <v>COTOVELO DE COBRE 90 GRAUS (REF 607) SEM ANEL DE SOLDA, BOLSA X BOLSA, 15 MM</v>
          </cell>
          <cell r="C1569" t="str">
            <v xml:space="preserve">UN    </v>
          </cell>
          <cell r="D1569">
            <v>3.46</v>
          </cell>
        </row>
        <row r="1570">
          <cell r="A1570">
            <v>12715</v>
          </cell>
          <cell r="B1570" t="str">
            <v>COTOVELO DE COBRE 90 GRAUS (REF 607) SEM ANEL DE SOLDA, BOLSA X BOLSA, 22 MM</v>
          </cell>
          <cell r="C1570" t="str">
            <v xml:space="preserve">UN    </v>
          </cell>
          <cell r="D1570">
            <v>7.81</v>
          </cell>
        </row>
        <row r="1571">
          <cell r="A1571">
            <v>12716</v>
          </cell>
          <cell r="B1571" t="str">
            <v>COTOVELO DE COBRE 90 GRAUS (REF 607) SEM ANEL DE SOLDA, BOLSA X BOLSA, 28 MM</v>
          </cell>
          <cell r="C1571" t="str">
            <v xml:space="preserve">UN    </v>
          </cell>
          <cell r="D1571">
            <v>13.41</v>
          </cell>
        </row>
        <row r="1572">
          <cell r="A1572">
            <v>12717</v>
          </cell>
          <cell r="B1572" t="str">
            <v>COTOVELO DE COBRE 90 GRAUS (REF 607) SEM ANEL DE SOLDA, BOLSA X BOLSA, 35 MM</v>
          </cell>
          <cell r="C1572" t="str">
            <v xml:space="preserve">UN    </v>
          </cell>
          <cell r="D1572">
            <v>26.36</v>
          </cell>
        </row>
        <row r="1573">
          <cell r="A1573">
            <v>12718</v>
          </cell>
          <cell r="B1573" t="str">
            <v>COTOVELO DE COBRE 90 GRAUS (REF 607) SEM ANEL DE SOLDA, BOLSA X BOLSA, 42 MM</v>
          </cell>
          <cell r="C1573" t="str">
            <v xml:space="preserve">UN    </v>
          </cell>
          <cell r="D1573">
            <v>40.46</v>
          </cell>
        </row>
        <row r="1574">
          <cell r="A1574">
            <v>12719</v>
          </cell>
          <cell r="B1574" t="str">
            <v>COTOVELO DE COBRE 90 GRAUS (REF 607) SEM ANEL DE SOLDA, BOLSA X BOLSA, 54 MM</v>
          </cell>
          <cell r="C1574" t="str">
            <v xml:space="preserve">UN    </v>
          </cell>
          <cell r="D1574">
            <v>64.239999999999995</v>
          </cell>
        </row>
        <row r="1575">
          <cell r="A1575">
            <v>12720</v>
          </cell>
          <cell r="B1575" t="str">
            <v>COTOVELO DE COBRE 90 GRAUS (REF 607) SEM ANEL DE SOLDA, BOLSA X BOLSA, 66 MM</v>
          </cell>
          <cell r="C1575" t="str">
            <v xml:space="preserve">UN    </v>
          </cell>
          <cell r="D1575">
            <v>223.68</v>
          </cell>
        </row>
        <row r="1576">
          <cell r="A1576">
            <v>12721</v>
          </cell>
          <cell r="B1576" t="str">
            <v>COTOVELO DE COBRE 90 GRAUS (REF 607) SEM ANEL DE SOLDA, BOLSA X BOLSA, 79 MM</v>
          </cell>
          <cell r="C1576" t="str">
            <v xml:space="preserve">UN    </v>
          </cell>
          <cell r="D1576">
            <v>214.49</v>
          </cell>
        </row>
        <row r="1577">
          <cell r="A1577">
            <v>3468</v>
          </cell>
          <cell r="B1577" t="str">
            <v>COTOVELO DE REDUCAO 90 GRAUS DE FERRO GALVANIZADO, COM ROSCA BSP, DE 1 1/2" X 1"</v>
          </cell>
          <cell r="C1577" t="str">
            <v xml:space="preserve">UN    </v>
          </cell>
          <cell r="D1577">
            <v>23.75</v>
          </cell>
        </row>
        <row r="1578">
          <cell r="A1578">
            <v>3465</v>
          </cell>
          <cell r="B1578" t="str">
            <v>COTOVELO DE REDUCAO 90 GRAUS DE FERRO GALVANIZADO, COM ROSCA BSP, DE 1 1/2" X 3/4"</v>
          </cell>
          <cell r="C1578" t="str">
            <v xml:space="preserve">UN    </v>
          </cell>
          <cell r="D1578">
            <v>23.75</v>
          </cell>
        </row>
        <row r="1579">
          <cell r="A1579">
            <v>12403</v>
          </cell>
          <cell r="B1579" t="str">
            <v>COTOVELO DE REDUCAO 90 GRAUS DE FERRO GALVANIZADO, COM ROSCA BSP, DE 1 1/4" X 1"</v>
          </cell>
          <cell r="C1579" t="str">
            <v xml:space="preserve">UN    </v>
          </cell>
          <cell r="D1579">
            <v>16.920000000000002</v>
          </cell>
        </row>
        <row r="1580">
          <cell r="A1580">
            <v>3463</v>
          </cell>
          <cell r="B1580" t="str">
            <v>COTOVELO DE REDUCAO 90 GRAUS DE FERRO GALVANIZADO, COM ROSCA BSP, DE 1" X 1/2"</v>
          </cell>
          <cell r="C1580" t="str">
            <v xml:space="preserve">UN    </v>
          </cell>
          <cell r="D1580">
            <v>9.89</v>
          </cell>
        </row>
        <row r="1581">
          <cell r="A1581">
            <v>3464</v>
          </cell>
          <cell r="B1581" t="str">
            <v>COTOVELO DE REDUCAO 90 GRAUS DE FERRO GALVANIZADO, COM ROSCA BSP, DE 1" X 3/4"</v>
          </cell>
          <cell r="C1581" t="str">
            <v xml:space="preserve">UN    </v>
          </cell>
          <cell r="D1581">
            <v>9.89</v>
          </cell>
        </row>
        <row r="1582">
          <cell r="A1582">
            <v>3466</v>
          </cell>
          <cell r="B1582" t="str">
            <v>COTOVELO DE REDUCAO 90 GRAUS DE FERRO GALVANIZADO, COM ROSCA BSP, DE 2 1/2" X 2"</v>
          </cell>
          <cell r="C1582" t="str">
            <v xml:space="preserve">UN    </v>
          </cell>
          <cell r="D1582">
            <v>60.32</v>
          </cell>
        </row>
        <row r="1583">
          <cell r="A1583">
            <v>3467</v>
          </cell>
          <cell r="B1583" t="str">
            <v>COTOVELO DE REDUCAO 90 GRAUS DE FERRO GALVANIZADO, COM ROSCA BSP, DE 2" X 1 1/2"</v>
          </cell>
          <cell r="C1583" t="str">
            <v xml:space="preserve">UN    </v>
          </cell>
          <cell r="D1583">
            <v>34.06</v>
          </cell>
        </row>
        <row r="1584">
          <cell r="A1584">
            <v>3462</v>
          </cell>
          <cell r="B1584" t="str">
            <v>COTOVELO DE REDUCAO 90 GRAUS DE FERRO GALVANIZADO, COM ROSCA BSP, DE 3/4" X 1/2"</v>
          </cell>
          <cell r="C1584" t="str">
            <v xml:space="preserve">UN    </v>
          </cell>
          <cell r="D1584">
            <v>6.52</v>
          </cell>
        </row>
        <row r="1585">
          <cell r="A1585">
            <v>3446</v>
          </cell>
          <cell r="B1585" t="str">
            <v>COTOVELO 45 GRAUS DE FERRO GALVANIZADO, COM ROSCA BSP, DE 1 1/2"</v>
          </cell>
          <cell r="C1585" t="str">
            <v xml:space="preserve">UN    </v>
          </cell>
          <cell r="D1585">
            <v>20.079999999999998</v>
          </cell>
        </row>
        <row r="1586">
          <cell r="A1586">
            <v>3445</v>
          </cell>
          <cell r="B1586" t="str">
            <v>COTOVELO 45 GRAUS DE FERRO GALVANIZADO, COM ROSCA BSP, DE 1 1/4"</v>
          </cell>
          <cell r="C1586" t="str">
            <v xml:space="preserve">UN    </v>
          </cell>
          <cell r="D1586">
            <v>16.39</v>
          </cell>
        </row>
        <row r="1587">
          <cell r="A1587">
            <v>3441</v>
          </cell>
          <cell r="B1587" t="str">
            <v>COTOVELO 45 GRAUS DE FERRO GALVANIZADO, COM ROSCA BSP, DE 1/2"</v>
          </cell>
          <cell r="C1587" t="str">
            <v xml:space="preserve">UN    </v>
          </cell>
          <cell r="D1587">
            <v>4.62</v>
          </cell>
        </row>
        <row r="1588">
          <cell r="A1588">
            <v>3444</v>
          </cell>
          <cell r="B1588" t="str">
            <v>COTOVELO 45 GRAUS DE FERRO GALVANIZADO, COM ROSCA BSP, DE 1"</v>
          </cell>
          <cell r="C1588" t="str">
            <v xml:space="preserve">UN    </v>
          </cell>
          <cell r="D1588">
            <v>10.09</v>
          </cell>
        </row>
        <row r="1589">
          <cell r="A1589">
            <v>12402</v>
          </cell>
          <cell r="B1589" t="str">
            <v>COTOVELO 45 GRAUS DE FERRO GALVANIZADO, COM ROSCA BSP, DE 2 1/2"</v>
          </cell>
          <cell r="C1589" t="str">
            <v xml:space="preserve">UN    </v>
          </cell>
          <cell r="D1589">
            <v>56.45</v>
          </cell>
        </row>
        <row r="1590">
          <cell r="A1590">
            <v>3447</v>
          </cell>
          <cell r="B1590" t="str">
            <v>COTOVELO 45 GRAUS DE FERRO GALVANIZADO, COM ROSCA BSP, DE 2"</v>
          </cell>
          <cell r="C1590" t="str">
            <v xml:space="preserve">UN    </v>
          </cell>
          <cell r="D1590">
            <v>29.2</v>
          </cell>
        </row>
        <row r="1591">
          <cell r="A1591">
            <v>3442</v>
          </cell>
          <cell r="B1591" t="str">
            <v>COTOVELO 45 GRAUS DE FERRO GALVANIZADO, COM ROSCA BSP, DE 3/4"</v>
          </cell>
          <cell r="C1591" t="str">
            <v xml:space="preserve">UN    </v>
          </cell>
          <cell r="D1591">
            <v>6.92</v>
          </cell>
        </row>
        <row r="1592">
          <cell r="A1592">
            <v>3448</v>
          </cell>
          <cell r="B1592" t="str">
            <v>COTOVELO 45 GRAUS DE FERRO GALVANIZADO, COM ROSCA BSP, DE 3"</v>
          </cell>
          <cell r="C1592" t="str">
            <v xml:space="preserve">UN    </v>
          </cell>
          <cell r="D1592">
            <v>82.53</v>
          </cell>
        </row>
        <row r="1593">
          <cell r="A1593">
            <v>3449</v>
          </cell>
          <cell r="B1593" t="str">
            <v>COTOVELO 45 GRAUS DE FERRO GALVANIZADO, COM ROSCA BSP, DE 4"</v>
          </cell>
          <cell r="C1593" t="str">
            <v xml:space="preserve">UN    </v>
          </cell>
          <cell r="D1593">
            <v>144.61000000000001</v>
          </cell>
        </row>
        <row r="1594">
          <cell r="A1594">
            <v>37438</v>
          </cell>
          <cell r="B1594" t="str">
            <v>COTOVELO 45 GRAUS, PEAD PE 100, DE 125 MM, PARA ELETROFUSAO</v>
          </cell>
          <cell r="C1594" t="str">
            <v xml:space="preserve">UN    </v>
          </cell>
          <cell r="D1594">
            <v>171.49</v>
          </cell>
        </row>
        <row r="1595">
          <cell r="A1595">
            <v>37439</v>
          </cell>
          <cell r="B1595" t="str">
            <v>COTOVELO 45 GRAUS, PEAD PE 100, DE 200 MM, PARA ELETROFUSAO</v>
          </cell>
          <cell r="C1595" t="str">
            <v xml:space="preserve">UN    </v>
          </cell>
          <cell r="D1595">
            <v>1121.22</v>
          </cell>
        </row>
        <row r="1596">
          <cell r="A1596">
            <v>37435</v>
          </cell>
          <cell r="B1596" t="str">
            <v>COTOVELO 45 GRAUS, PEAD PE 100, DE 32 MM, PARA ELETROFUSAO</v>
          </cell>
          <cell r="C1596" t="str">
            <v xml:space="preserve">UN    </v>
          </cell>
          <cell r="D1596">
            <v>20.149999999999999</v>
          </cell>
        </row>
        <row r="1597">
          <cell r="A1597">
            <v>37436</v>
          </cell>
          <cell r="B1597" t="str">
            <v>COTOVELO 45 GRAUS, PEAD PE 100, DE 40 MM, PARA ELETROFUSAO</v>
          </cell>
          <cell r="C1597" t="str">
            <v xml:space="preserve">UN    </v>
          </cell>
          <cell r="D1597">
            <v>23.78</v>
          </cell>
        </row>
        <row r="1598">
          <cell r="A1598">
            <v>37437</v>
          </cell>
          <cell r="B1598" t="str">
            <v>COTOVELO 45 GRAUS, PEAD PE 100, DE 63 MM, PARA ELETROFUSAO</v>
          </cell>
          <cell r="C1598" t="str">
            <v xml:space="preserve">UN    </v>
          </cell>
          <cell r="D1598">
            <v>34.4</v>
          </cell>
        </row>
        <row r="1599">
          <cell r="A1599">
            <v>3473</v>
          </cell>
          <cell r="B1599" t="str">
            <v>COTOVELO 90 GRAUS DE FERRO GALVANIZADO, COM ROSCA BSP MACHO/FEMEA, DE 1 1/2"</v>
          </cell>
          <cell r="C1599" t="str">
            <v xml:space="preserve">UN    </v>
          </cell>
          <cell r="D1599">
            <v>22.7</v>
          </cell>
        </row>
        <row r="1600">
          <cell r="A1600">
            <v>3474</v>
          </cell>
          <cell r="B1600" t="str">
            <v>COTOVELO 90 GRAUS DE FERRO GALVANIZADO, COM ROSCA BSP MACHO/FEMEA, DE 1 1/4"</v>
          </cell>
          <cell r="C1600" t="str">
            <v xml:space="preserve">UN    </v>
          </cell>
          <cell r="D1600">
            <v>18.71</v>
          </cell>
        </row>
        <row r="1601">
          <cell r="A1601">
            <v>3450</v>
          </cell>
          <cell r="B1601" t="str">
            <v>COTOVELO 90 GRAUS DE FERRO GALVANIZADO, COM ROSCA BSP MACHO/FEMEA, DE 1/2"</v>
          </cell>
          <cell r="C1601" t="str">
            <v xml:space="preserve">UN    </v>
          </cell>
          <cell r="D1601">
            <v>5.42</v>
          </cell>
        </row>
        <row r="1602">
          <cell r="A1602">
            <v>3443</v>
          </cell>
          <cell r="B1602" t="str">
            <v>COTOVELO 90 GRAUS DE FERRO GALVANIZADO, COM ROSCA BSP MACHO/FEMEA, DE 1"</v>
          </cell>
          <cell r="C1602" t="str">
            <v xml:space="preserve">UN    </v>
          </cell>
          <cell r="D1602">
            <v>11.64</v>
          </cell>
        </row>
        <row r="1603">
          <cell r="A1603">
            <v>3453</v>
          </cell>
          <cell r="B1603" t="str">
            <v>COTOVELO 90 GRAUS DE FERRO GALVANIZADO, COM ROSCA BSP MACHO/FEMEA, DE 2 1/2"</v>
          </cell>
          <cell r="C1603" t="str">
            <v xml:space="preserve">UN    </v>
          </cell>
          <cell r="D1603">
            <v>66.27</v>
          </cell>
        </row>
        <row r="1604">
          <cell r="A1604">
            <v>3452</v>
          </cell>
          <cell r="B1604" t="str">
            <v>COTOVELO 90 GRAUS DE FERRO GALVANIZADO, COM ROSCA BSP MACHO/FEMEA, DE 2"</v>
          </cell>
          <cell r="C1604" t="str">
            <v xml:space="preserve">UN    </v>
          </cell>
          <cell r="D1604">
            <v>32.71</v>
          </cell>
        </row>
        <row r="1605">
          <cell r="A1605">
            <v>3451</v>
          </cell>
          <cell r="B1605" t="str">
            <v>COTOVELO 90 GRAUS DE FERRO GALVANIZADO, COM ROSCA BSP MACHO/FEMEA, DE 3/4"</v>
          </cell>
          <cell r="C1605" t="str">
            <v xml:space="preserve">UN    </v>
          </cell>
          <cell r="D1605">
            <v>6.49</v>
          </cell>
        </row>
        <row r="1606">
          <cell r="A1606">
            <v>3454</v>
          </cell>
          <cell r="B1606" t="str">
            <v>COTOVELO 90 GRAUS DE FERRO GALVANIZADO, COM ROSCA BSP MACHO/FEMEA, DE 3"</v>
          </cell>
          <cell r="C1606" t="str">
            <v xml:space="preserve">UN    </v>
          </cell>
          <cell r="D1606">
            <v>100.8</v>
          </cell>
        </row>
        <row r="1607">
          <cell r="A1607">
            <v>3458</v>
          </cell>
          <cell r="B1607" t="str">
            <v>COTOVELO 90 GRAUS DE FERRO GALVANIZADO, COM ROSCA BSP, DE 1 1/2"</v>
          </cell>
          <cell r="C1607" t="str">
            <v xml:space="preserve">UN    </v>
          </cell>
          <cell r="D1607">
            <v>18.2</v>
          </cell>
        </row>
        <row r="1608">
          <cell r="A1608">
            <v>3457</v>
          </cell>
          <cell r="B1608" t="str">
            <v>COTOVELO 90 GRAUS DE FERRO GALVANIZADO, COM ROSCA BSP, DE 1 1/4"</v>
          </cell>
          <cell r="C1608" t="str">
            <v xml:space="preserve">UN    </v>
          </cell>
          <cell r="D1608">
            <v>13.66</v>
          </cell>
        </row>
        <row r="1609">
          <cell r="A1609">
            <v>3455</v>
          </cell>
          <cell r="B1609" t="str">
            <v>COTOVELO 90 GRAUS DE FERRO GALVANIZADO, COM ROSCA BSP, DE 1/2"</v>
          </cell>
          <cell r="C1609" t="str">
            <v xml:space="preserve">UN    </v>
          </cell>
          <cell r="D1609">
            <v>3.88</v>
          </cell>
        </row>
        <row r="1610">
          <cell r="A1610">
            <v>3472</v>
          </cell>
          <cell r="B1610" t="str">
            <v>COTOVELO 90 GRAUS DE FERRO GALVANIZADO, COM ROSCA BSP, DE 1"</v>
          </cell>
          <cell r="C1610" t="str">
            <v xml:space="preserve">UN    </v>
          </cell>
          <cell r="D1610">
            <v>8.7100000000000009</v>
          </cell>
        </row>
        <row r="1611">
          <cell r="A1611">
            <v>3470</v>
          </cell>
          <cell r="B1611" t="str">
            <v>COTOVELO 90 GRAUS DE FERRO GALVANIZADO, COM ROSCA BSP, DE 2 1/2"</v>
          </cell>
          <cell r="C1611" t="str">
            <v xml:space="preserve">UN    </v>
          </cell>
          <cell r="D1611">
            <v>50.82</v>
          </cell>
        </row>
        <row r="1612">
          <cell r="A1612">
            <v>3471</v>
          </cell>
          <cell r="B1612" t="str">
            <v>COTOVELO 90 GRAUS DE FERRO GALVANIZADO, COM ROSCA BSP, DE 2"</v>
          </cell>
          <cell r="C1612" t="str">
            <v xml:space="preserve">UN    </v>
          </cell>
          <cell r="D1612">
            <v>27.92</v>
          </cell>
        </row>
        <row r="1613">
          <cell r="A1613">
            <v>3456</v>
          </cell>
          <cell r="B1613" t="str">
            <v>COTOVELO 90 GRAUS DE FERRO GALVANIZADO, COM ROSCA BSP, DE 3/4"</v>
          </cell>
          <cell r="C1613" t="str">
            <v xml:space="preserve">UN    </v>
          </cell>
          <cell r="D1613">
            <v>5.8</v>
          </cell>
        </row>
        <row r="1614">
          <cell r="A1614">
            <v>3459</v>
          </cell>
          <cell r="B1614" t="str">
            <v>COTOVELO 90 GRAUS DE FERRO GALVANIZADO, COM ROSCA BSP, DE 3"</v>
          </cell>
          <cell r="C1614" t="str">
            <v xml:space="preserve">UN    </v>
          </cell>
          <cell r="D1614">
            <v>71.680000000000007</v>
          </cell>
        </row>
        <row r="1615">
          <cell r="A1615">
            <v>3469</v>
          </cell>
          <cell r="B1615" t="str">
            <v>COTOVELO 90 GRAUS DE FERRO GALVANIZADO, COM ROSCA BSP, DE 4"</v>
          </cell>
          <cell r="C1615" t="str">
            <v xml:space="preserve">UN    </v>
          </cell>
          <cell r="D1615">
            <v>136.32</v>
          </cell>
        </row>
        <row r="1616">
          <cell r="A1616">
            <v>3460</v>
          </cell>
          <cell r="B1616" t="str">
            <v>COTOVELO 90 GRAUS DE FERRO GALVANIZADO, COM ROSCA BSP, DE 5"</v>
          </cell>
          <cell r="C1616" t="str">
            <v xml:space="preserve">UN    </v>
          </cell>
          <cell r="D1616">
            <v>198.91</v>
          </cell>
        </row>
        <row r="1617">
          <cell r="A1617">
            <v>3461</v>
          </cell>
          <cell r="B1617" t="str">
            <v>COTOVELO 90 GRAUS DE FERRO GALVANIZADO, COM ROSCA BSP, DE 6"</v>
          </cell>
          <cell r="C1617" t="str">
            <v xml:space="preserve">UN    </v>
          </cell>
          <cell r="D1617">
            <v>508.42</v>
          </cell>
        </row>
        <row r="1618">
          <cell r="A1618">
            <v>37433</v>
          </cell>
          <cell r="B1618" t="str">
            <v>COTOVELO 90 GRAUS, PEAD PE 100, DE 125 MM, PARA ELETROFUSAO</v>
          </cell>
          <cell r="C1618" t="str">
            <v xml:space="preserve">UN    </v>
          </cell>
          <cell r="D1618">
            <v>171.49</v>
          </cell>
        </row>
        <row r="1619">
          <cell r="A1619">
            <v>37430</v>
          </cell>
          <cell r="B1619" t="str">
            <v>COTOVELO 90 GRAUS, PEAD PE 100, DE 20 MM, PARA ELETROFUSAO</v>
          </cell>
          <cell r="C1619" t="str">
            <v xml:space="preserve">UN    </v>
          </cell>
          <cell r="D1619">
            <v>21.49</v>
          </cell>
        </row>
        <row r="1620">
          <cell r="A1620">
            <v>37434</v>
          </cell>
          <cell r="B1620" t="str">
            <v>COTOVELO 90 GRAUS, PEAD PE 100, DE 200 MM, PARA ELETROFUSAO</v>
          </cell>
          <cell r="C1620" t="str">
            <v xml:space="preserve">UN    </v>
          </cell>
          <cell r="D1620">
            <v>1599.02</v>
          </cell>
        </row>
        <row r="1621">
          <cell r="A1621">
            <v>37431</v>
          </cell>
          <cell r="B1621" t="str">
            <v>COTOVELO 90 GRAUS, PEAD PE 100, DE 32 MM, PARA ELETROFUSAO</v>
          </cell>
          <cell r="C1621" t="str">
            <v xml:space="preserve">UN    </v>
          </cell>
          <cell r="D1621">
            <v>29.15</v>
          </cell>
        </row>
        <row r="1622">
          <cell r="A1622">
            <v>37432</v>
          </cell>
          <cell r="B1622" t="str">
            <v>COTOVELO 90 GRAUS, PEAD PE 100, DE 63 MM, PARA ELETROFUSAO</v>
          </cell>
          <cell r="C1622" t="str">
            <v xml:space="preserve">UN    </v>
          </cell>
          <cell r="D1622">
            <v>53.77</v>
          </cell>
        </row>
        <row r="1623">
          <cell r="A1623">
            <v>37413</v>
          </cell>
          <cell r="B1623" t="str">
            <v>COTOVELO/JOELHO COM ADAPTADOR, 90 GRAUS, EM POLIPROPILENO, PN 16, PARA TUBOS PEAD, 20 MM X 1/2" - LIGACAO PREDIAL DE AGUA</v>
          </cell>
          <cell r="C1623" t="str">
            <v xml:space="preserve">UN    </v>
          </cell>
          <cell r="D1623">
            <v>3.46</v>
          </cell>
        </row>
        <row r="1624">
          <cell r="A1624">
            <v>37414</v>
          </cell>
          <cell r="B1624" t="str">
            <v>COTOVELO/JOELHO COM ADAPTADOR, 90 GRAUS, EM POLIPROPILENO, PN 16, PARA TUBOS PEAD, 20 MM X 3/4" - LIGACAO PREDIAL DE AGUA</v>
          </cell>
          <cell r="C1624" t="str">
            <v xml:space="preserve">UN    </v>
          </cell>
          <cell r="D1624">
            <v>3.93</v>
          </cell>
        </row>
        <row r="1625">
          <cell r="A1625">
            <v>37415</v>
          </cell>
          <cell r="B1625" t="str">
            <v>COTOVELO/JOELHO COM ADAPTADOR, 90 GRAUS, EM POLIPROPILENO, PN 16, PARA TUBOS PEAD, 32 MM X 1" - LIGACAO PREDIAL DE AGUA</v>
          </cell>
          <cell r="C1625" t="str">
            <v xml:space="preserve">UN    </v>
          </cell>
          <cell r="D1625">
            <v>7.15</v>
          </cell>
        </row>
        <row r="1626">
          <cell r="A1626">
            <v>37416</v>
          </cell>
          <cell r="B1626" t="str">
            <v>COTOVELO/JOELHO 90 GRAUS, EM POLIPROPILENO, PN 16, PARA TUBOS PEAD, 20 X 20 MM - LIGACAO PREDIAL DE AGUA</v>
          </cell>
          <cell r="C1626" t="str">
            <v xml:space="preserve">UN    </v>
          </cell>
          <cell r="D1626">
            <v>3.24</v>
          </cell>
        </row>
        <row r="1627">
          <cell r="A1627">
            <v>37417</v>
          </cell>
          <cell r="B1627" t="str">
            <v>COTOVELO/JOELHO 90 GRAUS, EM POLIPROPILENO, PN 16, PARA TUBOS PEAD, 32 X 32 MM - LIGACAO PREDIAL DE AGUA</v>
          </cell>
          <cell r="C1627" t="str">
            <v xml:space="preserve">UN    </v>
          </cell>
          <cell r="D1627">
            <v>4.66</v>
          </cell>
        </row>
        <row r="1628">
          <cell r="A1628">
            <v>34519</v>
          </cell>
          <cell r="B1628" t="str">
            <v>CRUZETA DE CONCRETO LEVE, COMP. 2000 MM SECAO, 90 X 90 MM</v>
          </cell>
          <cell r="C1628" t="str">
            <v xml:space="preserve">UN    </v>
          </cell>
          <cell r="D1628">
            <v>71.819999999999993</v>
          </cell>
        </row>
        <row r="1629">
          <cell r="A1629">
            <v>10510</v>
          </cell>
          <cell r="B1629" t="str">
            <v>CRUZETA DE EUCALIPTO TRATADO, OU EQUIVALENTE DA REGIAO, *2,4* M, SECAO *9 X 11,5* CM</v>
          </cell>
          <cell r="C1629" t="str">
            <v xml:space="preserve">UN    </v>
          </cell>
          <cell r="D1629">
            <v>73.930000000000007</v>
          </cell>
        </row>
        <row r="1630">
          <cell r="A1630">
            <v>1649</v>
          </cell>
          <cell r="B1630" t="str">
            <v>CRUZETA DE FERRO GALVANIZADO, COM ROSCA BSP, DE 1 1/2"</v>
          </cell>
          <cell r="C1630" t="str">
            <v xml:space="preserve">UN    </v>
          </cell>
          <cell r="D1630">
            <v>42.92</v>
          </cell>
        </row>
        <row r="1631">
          <cell r="A1631">
            <v>1653</v>
          </cell>
          <cell r="B1631" t="str">
            <v>CRUZETA DE FERRO GALVANIZADO, COM ROSCA BSP, DE 1 1/4"</v>
          </cell>
          <cell r="C1631" t="str">
            <v xml:space="preserve">UN    </v>
          </cell>
          <cell r="D1631">
            <v>33.619999999999997</v>
          </cell>
        </row>
        <row r="1632">
          <cell r="A1632">
            <v>1647</v>
          </cell>
          <cell r="B1632" t="str">
            <v>CRUZETA DE FERRO GALVANIZADO, COM ROSCA BSP, DE 1/2"</v>
          </cell>
          <cell r="C1632" t="str">
            <v xml:space="preserve">UN    </v>
          </cell>
          <cell r="D1632">
            <v>12.04</v>
          </cell>
        </row>
        <row r="1633">
          <cell r="A1633">
            <v>1648</v>
          </cell>
          <cell r="B1633" t="str">
            <v>CRUZETA DE FERRO GALVANIZADO, COM ROSCA BSP, DE 1"</v>
          </cell>
          <cell r="C1633" t="str">
            <v xml:space="preserve">UN    </v>
          </cell>
          <cell r="D1633">
            <v>23.11</v>
          </cell>
        </row>
        <row r="1634">
          <cell r="A1634">
            <v>1651</v>
          </cell>
          <cell r="B1634" t="str">
            <v>CRUZETA DE FERRO GALVANIZADO, COM ROSCA BSP, DE 2 1/2"</v>
          </cell>
          <cell r="C1634" t="str">
            <v xml:space="preserve">UN    </v>
          </cell>
          <cell r="D1634">
            <v>107.24</v>
          </cell>
        </row>
        <row r="1635">
          <cell r="A1635">
            <v>1650</v>
          </cell>
          <cell r="B1635" t="str">
            <v>CRUZETA DE FERRO GALVANIZADO, COM ROSCA BSP, DE 2"</v>
          </cell>
          <cell r="C1635" t="str">
            <v xml:space="preserve">UN    </v>
          </cell>
          <cell r="D1635">
            <v>59.27</v>
          </cell>
        </row>
        <row r="1636">
          <cell r="A1636">
            <v>1654</v>
          </cell>
          <cell r="B1636" t="str">
            <v>CRUZETA DE FERRO GALVANIZADO, COM ROSCA BSP, DE 3/4"</v>
          </cell>
          <cell r="C1636" t="str">
            <v xml:space="preserve">UN    </v>
          </cell>
          <cell r="D1636">
            <v>16.52</v>
          </cell>
        </row>
        <row r="1637">
          <cell r="A1637">
            <v>1652</v>
          </cell>
          <cell r="B1637" t="str">
            <v>CRUZETA DE FERRO GALVANIZADO, COM ROSCA BSP, DE 3"</v>
          </cell>
          <cell r="C1637" t="str">
            <v xml:space="preserve">UN    </v>
          </cell>
          <cell r="D1637">
            <v>153.91</v>
          </cell>
        </row>
        <row r="1638">
          <cell r="A1638">
            <v>1747</v>
          </cell>
          <cell r="B1638" t="str">
            <v>CUBA ACO INOX (AISI 304) DE EMBUTIR COM VALVULA DE 3 1/2 ", DE *56 X 33 X 12* CM</v>
          </cell>
          <cell r="C1638" t="str">
            <v xml:space="preserve">UN    </v>
          </cell>
          <cell r="D1638">
            <v>145.97</v>
          </cell>
        </row>
        <row r="1639">
          <cell r="A1639">
            <v>1744</v>
          </cell>
          <cell r="B1639" t="str">
            <v>CUBA ACO INOX (AISI 304) DE EMBUTIR COM VALVULA 3 1/2 ", DE *40 X 34 X 12* CM</v>
          </cell>
          <cell r="C1639" t="str">
            <v xml:space="preserve">UN    </v>
          </cell>
          <cell r="D1639">
            <v>101.11</v>
          </cell>
        </row>
        <row r="1640">
          <cell r="A1640">
            <v>1743</v>
          </cell>
          <cell r="B1640" t="str">
            <v>CUBA ACO INOX (AISI 304) DE EMBUTIR COM VALVULA 3 1/2 ", DE *46 X 30 X 12* CM</v>
          </cell>
          <cell r="C1640" t="str">
            <v xml:space="preserve">UN    </v>
          </cell>
          <cell r="D1640">
            <v>132.77000000000001</v>
          </cell>
        </row>
        <row r="1641">
          <cell r="A1641">
            <v>39640</v>
          </cell>
          <cell r="B1641" t="str">
            <v>CUMEEIRA ARTICULADA (ABA INFERIOR) PARA TELHA ONDULADA DE FIBROCIMENTO E = 4 MM, ABA *330* MM, COMPRIMENTO 500 MM (SEM AMIANTO)</v>
          </cell>
          <cell r="C1641" t="str">
            <v xml:space="preserve">UN    </v>
          </cell>
          <cell r="D1641">
            <v>5.95</v>
          </cell>
        </row>
        <row r="1642">
          <cell r="A1642">
            <v>11013</v>
          </cell>
          <cell r="B1642" t="str">
            <v>CUMEEIRA ARTICULADA (ABA INTERNA INFERIOR OU EXTERNA SUPERIOR) PARA TELHA ESTRUTURAL DE FIBROCIMENTO, 1 ABA, E = 6 MM (SEM AMIANTO)</v>
          </cell>
          <cell r="C1642" t="str">
            <v xml:space="preserve">UN    </v>
          </cell>
          <cell r="D1642">
            <v>12.25</v>
          </cell>
        </row>
        <row r="1643">
          <cell r="A1643">
            <v>11017</v>
          </cell>
          <cell r="B1643" t="str">
            <v>CUMEEIRA ARTICULADA (ABA SUPERIOR) PARA TELHA ONDULADA DE FIBROCIMENTO E = 4 MM, ABA *330* MM, COMPRIMENTO 500 MM (SEM AMIANTO)</v>
          </cell>
          <cell r="C1643" t="str">
            <v xml:space="preserve">UN    </v>
          </cell>
          <cell r="D1643">
            <v>5.23</v>
          </cell>
        </row>
        <row r="1644">
          <cell r="A1644">
            <v>20236</v>
          </cell>
          <cell r="B1644" t="str">
            <v>CUMEEIRA ARTICULADA (PAR) PARA TELHA ONDULADA DE FIBROCIMENTO, E = 6 MM, ABA 350 MM, COMPRIMENTO 1100 MM (SEM AMIANTO)</v>
          </cell>
          <cell r="C1644" t="str">
            <v xml:space="preserve">UN    </v>
          </cell>
          <cell r="D1644">
            <v>23.03</v>
          </cell>
        </row>
        <row r="1645">
          <cell r="A1645">
            <v>7215</v>
          </cell>
          <cell r="B1645" t="str">
            <v>CUMEEIRA NORMAL PARA TELHA ESTRUTURAL DE FIBROCIMENTO 1 ABA, E = 6 MM, COMPRIMENTO 608 MM (SEM AMIANTO)</v>
          </cell>
          <cell r="C1645" t="str">
            <v xml:space="preserve">UN    </v>
          </cell>
          <cell r="D1645">
            <v>19.72</v>
          </cell>
        </row>
        <row r="1646">
          <cell r="A1646">
            <v>7216</v>
          </cell>
          <cell r="B1646" t="str">
            <v>CUMEEIRA NORMAL PARA TELHA ESTRUTURAL DE FIBROCIMENTO 2 ABAS, E = 6 MM, DE 1050 X 935 MM (SEM AMIANTO)</v>
          </cell>
          <cell r="C1646" t="str">
            <v xml:space="preserve">UN    </v>
          </cell>
          <cell r="D1646">
            <v>82.42</v>
          </cell>
        </row>
        <row r="1647">
          <cell r="A1647">
            <v>20235</v>
          </cell>
          <cell r="B1647" t="str">
            <v>CUMEEIRA NORMAL PARA TELHA ONDULADA DE FIBROCIMENTO, E = 6 MM, ABA 300 MM, COMPRIMENTO 1100 MM (SEM AMIANTO)</v>
          </cell>
          <cell r="C1647" t="str">
            <v xml:space="preserve">UN    </v>
          </cell>
          <cell r="D1647">
            <v>41.67</v>
          </cell>
        </row>
        <row r="1648">
          <cell r="A1648">
            <v>7181</v>
          </cell>
          <cell r="B1648" t="str">
            <v>CUMEEIRA PARA TELHA CERAMICA, COMPRIMENTO DE *41* CM, RENDIMENTO DE *3* TELHAS/M</v>
          </cell>
          <cell r="C1648" t="str">
            <v xml:space="preserve">UN    </v>
          </cell>
          <cell r="D1648">
            <v>4.1399999999999997</v>
          </cell>
        </row>
        <row r="1649">
          <cell r="A1649">
            <v>40742</v>
          </cell>
          <cell r="B1649" t="str">
            <v>CUMEEIRA PARA TELHA DE CONCRETO, PARA 2 AGUAS DE TELHADO, COR CINZA, RENDIMENTO DE *3* TELHAS/M</v>
          </cell>
          <cell r="C1649" t="str">
            <v xml:space="preserve">UN    </v>
          </cell>
          <cell r="D1649">
            <v>7.4</v>
          </cell>
        </row>
        <row r="1650">
          <cell r="A1650">
            <v>7214</v>
          </cell>
          <cell r="B1650" t="str">
            <v>CUMEEIRA SHED PARA TELHA ONDULADA DE FIBROCIMENTO, E = 6 MM, ABA 280 MM, COMPRIMENTO 1100 MM (SEM AMIANTO)</v>
          </cell>
          <cell r="C1650" t="str">
            <v xml:space="preserve">UN    </v>
          </cell>
          <cell r="D1650">
            <v>28.24</v>
          </cell>
        </row>
        <row r="1651">
          <cell r="A1651">
            <v>7219</v>
          </cell>
          <cell r="B1651" t="str">
            <v>CUMEEIRA UNIVERSAL PARA TELHA ONDULADA DE FIBROCIMENTO, E = 6 MM, ABA 210 MM, COMPRIMENTO 1100 MM (SEM AMIANTO)</v>
          </cell>
          <cell r="C1651" t="str">
            <v xml:space="preserve">UN    </v>
          </cell>
          <cell r="D1651">
            <v>29.23</v>
          </cell>
        </row>
        <row r="1652">
          <cell r="A1652">
            <v>37972</v>
          </cell>
          <cell r="B1652" t="str">
            <v>CURVA CPVC, 90 GRAUS, SOLDAVEL, 22 MM, PARA AGUA QUENTE</v>
          </cell>
          <cell r="C1652" t="str">
            <v xml:space="preserve">UN    </v>
          </cell>
          <cell r="D1652">
            <v>7.72</v>
          </cell>
        </row>
        <row r="1653">
          <cell r="A1653">
            <v>37973</v>
          </cell>
          <cell r="B1653" t="str">
            <v>CURVA CPVC, 90 GRAUS, SOLDAVEL, 28 MM, PARA AGUA QUENTE</v>
          </cell>
          <cell r="C1653" t="str">
            <v xml:space="preserve">UN    </v>
          </cell>
          <cell r="D1653">
            <v>12.36</v>
          </cell>
        </row>
        <row r="1654">
          <cell r="A1654">
            <v>37971</v>
          </cell>
          <cell r="B1654" t="str">
            <v>CURVA CPVC, 90 GRAUS, SOLDAVEL,15 MM, PARA AGUA QUENTE</v>
          </cell>
          <cell r="C1654" t="str">
            <v xml:space="preserve">UN    </v>
          </cell>
          <cell r="D1654">
            <v>4.6399999999999997</v>
          </cell>
        </row>
        <row r="1655">
          <cell r="A1655">
            <v>20094</v>
          </cell>
          <cell r="B1655" t="str">
            <v>CURVA CURTA PVC, PB, JE, 45 GRAUS, DN 100 MM, PARA REDE COLETORA ESGOTO (NBR 10569)</v>
          </cell>
          <cell r="C1655" t="str">
            <v xml:space="preserve">UN    </v>
          </cell>
          <cell r="D1655">
            <v>13.01</v>
          </cell>
        </row>
        <row r="1656">
          <cell r="A1656">
            <v>20095</v>
          </cell>
          <cell r="B1656" t="str">
            <v>CURVA CURTA PVC, PB, JE, 90 GRAUS, DN 100 MM, PARA REDE COLETORA ESGOTO (NBR 10569)</v>
          </cell>
          <cell r="C1656" t="str">
            <v xml:space="preserve">UN    </v>
          </cell>
          <cell r="D1656">
            <v>16.57</v>
          </cell>
        </row>
        <row r="1657">
          <cell r="A1657">
            <v>1954</v>
          </cell>
          <cell r="B1657" t="str">
            <v>CURVA DE PVC 45 GRAUS, SOLDAVEL, 110 MM, PARA AGUA FRIA PREDIAL (NBR 5648)</v>
          </cell>
          <cell r="C1657" t="str">
            <v xml:space="preserve">UN    </v>
          </cell>
          <cell r="D1657">
            <v>103.3</v>
          </cell>
        </row>
        <row r="1658">
          <cell r="A1658">
            <v>1926</v>
          </cell>
          <cell r="B1658" t="str">
            <v>CURVA DE PVC 45 GRAUS, SOLDAVEL, 20 MM, PARA AGUA FRIA PREDIAL (NBR 5648)</v>
          </cell>
          <cell r="C1658" t="str">
            <v xml:space="preserve">UN    </v>
          </cell>
          <cell r="D1658">
            <v>1.36</v>
          </cell>
        </row>
        <row r="1659">
          <cell r="A1659">
            <v>1927</v>
          </cell>
          <cell r="B1659" t="str">
            <v>CURVA DE PVC 45 GRAUS, SOLDAVEL, 25 MM, PARA AGUA FRIA PREDIAL (NBR 5648)</v>
          </cell>
          <cell r="C1659" t="str">
            <v xml:space="preserve">UN    </v>
          </cell>
          <cell r="D1659">
            <v>1.8</v>
          </cell>
        </row>
        <row r="1660">
          <cell r="A1660">
            <v>1923</v>
          </cell>
          <cell r="B1660" t="str">
            <v>CURVA DE PVC 45 GRAUS, SOLDAVEL, 32 MM, PARA AGUA FRIA PREDIAL (NBR 5648)</v>
          </cell>
          <cell r="C1660" t="str">
            <v xml:space="preserve">UN    </v>
          </cell>
          <cell r="D1660">
            <v>2.94</v>
          </cell>
        </row>
        <row r="1661">
          <cell r="A1661">
            <v>1929</v>
          </cell>
          <cell r="B1661" t="str">
            <v>CURVA DE PVC 45 GRAUS, SOLDAVEL, 40 MM, PARA AGUA FRIA PREDIAL (NBR 5648)</v>
          </cell>
          <cell r="C1661" t="str">
            <v xml:space="preserve">UN    </v>
          </cell>
          <cell r="D1661">
            <v>4.82</v>
          </cell>
        </row>
        <row r="1662">
          <cell r="A1662">
            <v>1930</v>
          </cell>
          <cell r="B1662" t="str">
            <v>CURVA DE PVC 45 GRAUS, SOLDAVEL, 50 MM, PARA AGUA FRIA PREDIAL (NBR 5648)</v>
          </cell>
          <cell r="C1662" t="str">
            <v xml:space="preserve">UN    </v>
          </cell>
          <cell r="D1662">
            <v>9.35</v>
          </cell>
        </row>
        <row r="1663">
          <cell r="A1663">
            <v>1924</v>
          </cell>
          <cell r="B1663" t="str">
            <v>CURVA DE PVC 45 GRAUS, SOLDAVEL, 60 MM, PARA AGUA FRIA PREDIAL (NBR 5648)</v>
          </cell>
          <cell r="C1663" t="str">
            <v xml:space="preserve">UN    </v>
          </cell>
          <cell r="D1663">
            <v>16.12</v>
          </cell>
        </row>
        <row r="1664">
          <cell r="A1664">
            <v>1922</v>
          </cell>
          <cell r="B1664" t="str">
            <v>CURVA DE PVC 45 GRAUS, SOLDAVEL, 75 MM, PARA AGUA FRIA PREDIAL (NBR 5648)</v>
          </cell>
          <cell r="C1664" t="str">
            <v xml:space="preserve">UN    </v>
          </cell>
          <cell r="D1664">
            <v>23.95</v>
          </cell>
        </row>
        <row r="1665">
          <cell r="A1665">
            <v>1953</v>
          </cell>
          <cell r="B1665" t="str">
            <v>CURVA DE PVC 45 GRAUS, SOLDAVEL, 85 MM, PARA AGUA FRIA PREDIAL (NBR 5648)</v>
          </cell>
          <cell r="C1665" t="str">
            <v xml:space="preserve">UN    </v>
          </cell>
          <cell r="D1665">
            <v>41.85</v>
          </cell>
        </row>
        <row r="1666">
          <cell r="A1666">
            <v>1962</v>
          </cell>
          <cell r="B1666" t="str">
            <v>CURVA DE PVC 90 GRAUS, SOLDAVEL, 110 MM, PARA AGUA FRIA PREDIAL (NBR 5648)</v>
          </cell>
          <cell r="C1666" t="str">
            <v xml:space="preserve">UN    </v>
          </cell>
          <cell r="D1666">
            <v>136.93</v>
          </cell>
        </row>
        <row r="1667">
          <cell r="A1667">
            <v>1955</v>
          </cell>
          <cell r="B1667" t="str">
            <v>CURVA DE PVC 90 GRAUS, SOLDAVEL, 20 MM, PARA AGUA FRIA PREDIAL (NBR 5648)</v>
          </cell>
          <cell r="C1667" t="str">
            <v xml:space="preserve">UN    </v>
          </cell>
          <cell r="D1667">
            <v>1.81</v>
          </cell>
        </row>
        <row r="1668">
          <cell r="A1668">
            <v>1956</v>
          </cell>
          <cell r="B1668" t="str">
            <v>CURVA DE PVC 90 GRAUS, SOLDAVEL, 25 MM, PARA AGUA FRIA PREDIAL (NBR 5648)</v>
          </cell>
          <cell r="C1668" t="str">
            <v xml:space="preserve">UN    </v>
          </cell>
          <cell r="D1668">
            <v>2.33</v>
          </cell>
        </row>
        <row r="1669">
          <cell r="A1669">
            <v>1957</v>
          </cell>
          <cell r="B1669" t="str">
            <v>CURVA DE PVC 90 GRAUS, SOLDAVEL, 32 MM, PARA AGUA FRIA PREDIAL (NBR 5648)</v>
          </cell>
          <cell r="C1669" t="str">
            <v xml:space="preserve">UN    </v>
          </cell>
          <cell r="D1669">
            <v>5.3</v>
          </cell>
        </row>
        <row r="1670">
          <cell r="A1670">
            <v>1958</v>
          </cell>
          <cell r="B1670" t="str">
            <v>CURVA DE PVC 90 GRAUS, SOLDAVEL, 40 MM, PARA AGUA FRIA PREDIAL (NBR 5648)</v>
          </cell>
          <cell r="C1670" t="str">
            <v xml:space="preserve">UN    </v>
          </cell>
          <cell r="D1670">
            <v>9.42</v>
          </cell>
        </row>
        <row r="1671">
          <cell r="A1671">
            <v>1959</v>
          </cell>
          <cell r="B1671" t="str">
            <v>CURVA DE PVC 90 GRAUS, SOLDAVEL, 50 MM, PARA AGUA FRIA PREDIAL (NBR 5648)</v>
          </cell>
          <cell r="C1671" t="str">
            <v xml:space="preserve">UN    </v>
          </cell>
          <cell r="D1671">
            <v>11.48</v>
          </cell>
        </row>
        <row r="1672">
          <cell r="A1672">
            <v>1925</v>
          </cell>
          <cell r="B1672" t="str">
            <v>CURVA DE PVC 90 GRAUS, SOLDAVEL, 60 MM, PARA AGUA FRIA PREDIAL (NBR 5648)</v>
          </cell>
          <cell r="C1672" t="str">
            <v xml:space="preserve">UN    </v>
          </cell>
          <cell r="D1672">
            <v>28.39</v>
          </cell>
        </row>
        <row r="1673">
          <cell r="A1673">
            <v>1960</v>
          </cell>
          <cell r="B1673" t="str">
            <v>CURVA DE PVC 90 GRAUS, SOLDAVEL, 75 MM, PARA AGUA FRIA PREDIAL (NBR 5648)</v>
          </cell>
          <cell r="C1673" t="str">
            <v xml:space="preserve">UN    </v>
          </cell>
          <cell r="D1673">
            <v>40.36</v>
          </cell>
        </row>
        <row r="1674">
          <cell r="A1674">
            <v>1961</v>
          </cell>
          <cell r="B1674" t="str">
            <v>CURVA DE PVC 90 GRAUS, SOLDAVEL, 85 MM, PARA AGUA FRIA PREDIAL (NBR 5648)</v>
          </cell>
          <cell r="C1674" t="str">
            <v xml:space="preserve">UN    </v>
          </cell>
          <cell r="D1674">
            <v>58</v>
          </cell>
        </row>
        <row r="1675">
          <cell r="A1675">
            <v>38426</v>
          </cell>
          <cell r="B1675" t="str">
            <v>CURVA DE PVC, 45 GRAUS, SERIE R, DN 100 MM, PARA ESGOTO PREDIAL</v>
          </cell>
          <cell r="C1675" t="str">
            <v xml:space="preserve">UN    </v>
          </cell>
          <cell r="D1675">
            <v>18.149999999999999</v>
          </cell>
        </row>
        <row r="1676">
          <cell r="A1676">
            <v>38423</v>
          </cell>
          <cell r="B1676" t="str">
            <v>CURVA DE PVC, 90 GRAUS, SERIE R, DN 100 MM, PARA ESGOTO PREDIAL</v>
          </cell>
          <cell r="C1676" t="str">
            <v xml:space="preserve">UN    </v>
          </cell>
          <cell r="D1676">
            <v>41.18</v>
          </cell>
        </row>
        <row r="1677">
          <cell r="A1677">
            <v>38421</v>
          </cell>
          <cell r="B1677" t="str">
            <v>CURVA DE PVC, 90 GRAUS, SERIE R, DN 50 MM, PARA ESGOTO PREDIAL</v>
          </cell>
          <cell r="C1677" t="str">
            <v xml:space="preserve">UN    </v>
          </cell>
          <cell r="D1677">
            <v>19.440000000000001</v>
          </cell>
        </row>
        <row r="1678">
          <cell r="A1678">
            <v>38422</v>
          </cell>
          <cell r="B1678" t="str">
            <v>CURVA DE PVC, 90 GRAUS, SERIE R, DN 75 MM, PARA ESGOTO PREDIAL</v>
          </cell>
          <cell r="C1678" t="str">
            <v xml:space="preserve">UN    </v>
          </cell>
          <cell r="D1678">
            <v>28.42</v>
          </cell>
        </row>
        <row r="1679">
          <cell r="A1679">
            <v>39866</v>
          </cell>
          <cell r="B1679" t="str">
            <v>CURVA DE TRANSPOSICAO BRONZE/LATAO (REF 736) SEM ANEL DE SOLDA, BOLSA X BOLSA, 15 MM</v>
          </cell>
          <cell r="C1679" t="str">
            <v xml:space="preserve">UN    </v>
          </cell>
          <cell r="D1679">
            <v>12.23</v>
          </cell>
        </row>
        <row r="1680">
          <cell r="A1680">
            <v>39867</v>
          </cell>
          <cell r="B1680" t="str">
            <v>CURVA DE TRANSPOSICAO BRONZE/LATAO (REF 736) SEM ANEL DE SOLDA, BOLSA X BOLSA, 22 MM</v>
          </cell>
          <cell r="C1680" t="str">
            <v xml:space="preserve">UN    </v>
          </cell>
          <cell r="D1680">
            <v>27.2</v>
          </cell>
        </row>
        <row r="1681">
          <cell r="A1681">
            <v>39868</v>
          </cell>
          <cell r="B1681" t="str">
            <v>CURVA DE TRANSPOSICAO BRONZE/LATAO (REF 736) SEM ANEL DE SOLDA, BOLSA X BOLSA, 28 MM</v>
          </cell>
          <cell r="C1681" t="str">
            <v xml:space="preserve">UN    </v>
          </cell>
          <cell r="D1681">
            <v>49</v>
          </cell>
        </row>
        <row r="1682">
          <cell r="A1682">
            <v>37999</v>
          </cell>
          <cell r="B1682" t="str">
            <v>CURVA DE TRANSPOSICAO, CPVC, SOLDAVEL, 15 MM</v>
          </cell>
          <cell r="C1682" t="str">
            <v xml:space="preserve">UN    </v>
          </cell>
          <cell r="D1682">
            <v>7.4</v>
          </cell>
        </row>
        <row r="1683">
          <cell r="A1683">
            <v>38000</v>
          </cell>
          <cell r="B1683" t="str">
            <v>CURVA DE TRANSPOSICAO, CPVC, SOLDAVEL, 22 MM</v>
          </cell>
          <cell r="C1683" t="str">
            <v xml:space="preserve">UN    </v>
          </cell>
          <cell r="D1683">
            <v>9.8000000000000007</v>
          </cell>
        </row>
        <row r="1684">
          <cell r="A1684">
            <v>38129</v>
          </cell>
          <cell r="B1684" t="str">
            <v>CURVA DE TRANSPOSICAO, PVC SOLDAVEL, 20 MM, PARA AGUA FRIA PREDIAL</v>
          </cell>
          <cell r="C1684" t="str">
            <v xml:space="preserve">UN    </v>
          </cell>
          <cell r="D1684">
            <v>3.14</v>
          </cell>
        </row>
        <row r="1685">
          <cell r="A1685">
            <v>38025</v>
          </cell>
          <cell r="B1685" t="str">
            <v>CURVA DE TRANSPOSICAO, PVC, SOLDAVEL, 25 MM, PARA AGUA FRIA PREDIAL</v>
          </cell>
          <cell r="C1685" t="str">
            <v xml:space="preserve">UN    </v>
          </cell>
          <cell r="D1685">
            <v>5.24</v>
          </cell>
        </row>
        <row r="1686">
          <cell r="A1686">
            <v>38026</v>
          </cell>
          <cell r="B1686" t="str">
            <v>CURVA DE TRANSPOSICAO, PVC, SOLDAVEL, 32 MM, PARA AGUA FRIA PREDIAL</v>
          </cell>
          <cell r="C1686" t="str">
            <v xml:space="preserve">UN    </v>
          </cell>
          <cell r="D1686">
            <v>14.04</v>
          </cell>
        </row>
        <row r="1687">
          <cell r="A1687">
            <v>1858</v>
          </cell>
          <cell r="B1687" t="str">
            <v>CURVA LONGA PVC, PB, JE, 45 GRAUS, DN 100 MM, PARA REDE COLETORA ESGOTO (NBR 10569)</v>
          </cell>
          <cell r="C1687" t="str">
            <v xml:space="preserve">UN    </v>
          </cell>
          <cell r="D1687">
            <v>18.22</v>
          </cell>
        </row>
        <row r="1688">
          <cell r="A1688">
            <v>1844</v>
          </cell>
          <cell r="B1688" t="str">
            <v>CURVA LONGA PVC, PB, JE, 45 GRAUS, DN 150 MM, PARA REDE COLETORA ESGOTO (NBR 10569)</v>
          </cell>
          <cell r="C1688" t="str">
            <v xml:space="preserve">UN    </v>
          </cell>
          <cell r="D1688">
            <v>67.19</v>
          </cell>
        </row>
        <row r="1689">
          <cell r="A1689">
            <v>1863</v>
          </cell>
          <cell r="B1689" t="str">
            <v>CURVA LONGA PVC, PB, JE, 90 GRAUS, DN 100 MM, PARA REDE COLETORA ESGOTO (NBR 10569)</v>
          </cell>
          <cell r="C1689" t="str">
            <v xml:space="preserve">UN    </v>
          </cell>
          <cell r="D1689">
            <v>26.44</v>
          </cell>
        </row>
        <row r="1690">
          <cell r="A1690">
            <v>1865</v>
          </cell>
          <cell r="B1690" t="str">
            <v>CURVA LONGA PVC, PB, JE, 90 GRAUS, DN 150 MM, PARA REDE COLETORA ESGOTO (NBR 10569)</v>
          </cell>
          <cell r="C1690" t="str">
            <v xml:space="preserve">UN    </v>
          </cell>
          <cell r="D1690">
            <v>96.48</v>
          </cell>
        </row>
        <row r="1691">
          <cell r="A1691">
            <v>36355</v>
          </cell>
          <cell r="B1691" t="str">
            <v>CURVA PPR 90 GRAUS, DN 20 MM, PARA AGUA QUENTE PREDIAL</v>
          </cell>
          <cell r="C1691" t="str">
            <v xml:space="preserve">UN    </v>
          </cell>
          <cell r="D1691">
            <v>4.7699999999999996</v>
          </cell>
        </row>
        <row r="1692">
          <cell r="A1692">
            <v>36356</v>
          </cell>
          <cell r="B1692" t="str">
            <v>CURVA PPR 90 GRAUS, DN 25 MM, PARA AGUA QUENTE PREDIAL</v>
          </cell>
          <cell r="C1692" t="str">
            <v xml:space="preserve">UN    </v>
          </cell>
          <cell r="D1692">
            <v>8.0299999999999994</v>
          </cell>
        </row>
        <row r="1693">
          <cell r="A1693">
            <v>1932</v>
          </cell>
          <cell r="B1693" t="str">
            <v>CURVA PVC CURTA 90 G, DN 50 MM, PARA ESGOTO PREDIAL</v>
          </cell>
          <cell r="C1693" t="str">
            <v xml:space="preserve">UN    </v>
          </cell>
          <cell r="D1693">
            <v>7.01</v>
          </cell>
        </row>
        <row r="1694">
          <cell r="A1694">
            <v>1933</v>
          </cell>
          <cell r="B1694" t="str">
            <v>CURVA PVC CURTA 90 GRAUS, DN 40 MM, PARA ESGOTO PREDIAL</v>
          </cell>
          <cell r="C1694" t="str">
            <v xml:space="preserve">UN    </v>
          </cell>
          <cell r="D1694">
            <v>3.08</v>
          </cell>
        </row>
        <row r="1695">
          <cell r="A1695">
            <v>1951</v>
          </cell>
          <cell r="B1695" t="str">
            <v>CURVA PVC CURTA 90 GRAUS, DN 75 MM, PARA ESGOTO PREDIAL</v>
          </cell>
          <cell r="C1695" t="str">
            <v xml:space="preserve">UN    </v>
          </cell>
          <cell r="D1695">
            <v>13.72</v>
          </cell>
        </row>
        <row r="1696">
          <cell r="A1696">
            <v>1966</v>
          </cell>
          <cell r="B1696" t="str">
            <v>CURVA PVC CURTA 90 GRAUS, 100 MM, PARA ESGOTO PREDIAL</v>
          </cell>
          <cell r="C1696" t="str">
            <v xml:space="preserve">UN    </v>
          </cell>
          <cell r="D1696">
            <v>15.79</v>
          </cell>
        </row>
        <row r="1697">
          <cell r="A1697">
            <v>1952</v>
          </cell>
          <cell r="B1697" t="str">
            <v>CURVA PVC LEVE, 90 GRAUS, COM PONTA E BOLSA LISA, DN 150 MM</v>
          </cell>
          <cell r="C1697" t="str">
            <v xml:space="preserve">UN    </v>
          </cell>
          <cell r="D1697">
            <v>59.29</v>
          </cell>
        </row>
        <row r="1698">
          <cell r="A1698">
            <v>20104</v>
          </cell>
          <cell r="B1698" t="str">
            <v>CURVA PVC LEVE, 90 GRAUS, COM PONTA E BOLSA LISA, DN 250 MM</v>
          </cell>
          <cell r="C1698" t="str">
            <v xml:space="preserve">UN    </v>
          </cell>
          <cell r="D1698">
            <v>438.11</v>
          </cell>
        </row>
        <row r="1699">
          <cell r="A1699">
            <v>20105</v>
          </cell>
          <cell r="B1699" t="str">
            <v>CURVA PVC LEVE, 90 GRAUS, COM PONTA E BOLSA LISA, DN 300 MM</v>
          </cell>
          <cell r="C1699" t="str">
            <v xml:space="preserve">UN    </v>
          </cell>
          <cell r="D1699">
            <v>682.39</v>
          </cell>
        </row>
        <row r="1700">
          <cell r="A1700">
            <v>1965</v>
          </cell>
          <cell r="B1700" t="str">
            <v>CURVA PVC LONGA 45 GRAUS, 100 MM, PARA ESGOTO PREDIAL</v>
          </cell>
          <cell r="C1700" t="str">
            <v xml:space="preserve">UN    </v>
          </cell>
          <cell r="D1700">
            <v>32.01</v>
          </cell>
        </row>
        <row r="1701">
          <cell r="A1701">
            <v>10765</v>
          </cell>
          <cell r="B1701" t="str">
            <v>CURVA PVC LONGA 45G, DN 50 MM, PARA ESGOTO PREDIAL</v>
          </cell>
          <cell r="C1701" t="str">
            <v xml:space="preserve">UN    </v>
          </cell>
          <cell r="D1701">
            <v>8.09</v>
          </cell>
        </row>
        <row r="1702">
          <cell r="A1702">
            <v>10767</v>
          </cell>
          <cell r="B1702" t="str">
            <v>CURVA PVC LONGA 45G, DN 75 MM, PARA ESGOTO PREDIAL</v>
          </cell>
          <cell r="C1702" t="str">
            <v xml:space="preserve">UN    </v>
          </cell>
          <cell r="D1702">
            <v>26.51</v>
          </cell>
        </row>
        <row r="1703">
          <cell r="A1703">
            <v>1970</v>
          </cell>
          <cell r="B1703" t="str">
            <v>CURVA PVC LONGA 90 GRAUS, 100 MM, PARA ESGOTO PREDIAL</v>
          </cell>
          <cell r="C1703" t="str">
            <v xml:space="preserve">UN    </v>
          </cell>
          <cell r="D1703">
            <v>33.22</v>
          </cell>
        </row>
        <row r="1704">
          <cell r="A1704">
            <v>1967</v>
          </cell>
          <cell r="B1704" t="str">
            <v>CURVA PVC LONGA 90 GRAUS, 40 MM, PARA ESGOTO PREDIAL</v>
          </cell>
          <cell r="C1704" t="str">
            <v xml:space="preserve">UN    </v>
          </cell>
          <cell r="D1704">
            <v>3.69</v>
          </cell>
        </row>
        <row r="1705">
          <cell r="A1705">
            <v>1968</v>
          </cell>
          <cell r="B1705" t="str">
            <v>CURVA PVC LONGA 90 GRAUS, 50 MM, PARA ESGOTO PREDIAL</v>
          </cell>
          <cell r="C1705" t="str">
            <v xml:space="preserve">UN    </v>
          </cell>
          <cell r="D1705">
            <v>7.74</v>
          </cell>
        </row>
        <row r="1706">
          <cell r="A1706">
            <v>1969</v>
          </cell>
          <cell r="B1706" t="str">
            <v>CURVA PVC LONGA 90 GRAUS, 75 MM, PARA ESGOTO PREDIAL</v>
          </cell>
          <cell r="C1706" t="str">
            <v xml:space="preserve">UN    </v>
          </cell>
          <cell r="D1706">
            <v>22.78</v>
          </cell>
        </row>
        <row r="1707">
          <cell r="A1707">
            <v>1839</v>
          </cell>
          <cell r="B1707" t="str">
            <v>CURVA PVC PBA, JE, PB, 22 GRAUS, DN 100 / DE 110 MM, PARA REDE AGUA (NBR 10351)</v>
          </cell>
          <cell r="C1707" t="str">
            <v xml:space="preserve">UN    </v>
          </cell>
          <cell r="D1707">
            <v>100.81</v>
          </cell>
        </row>
        <row r="1708">
          <cell r="A1708">
            <v>1835</v>
          </cell>
          <cell r="B1708" t="str">
            <v>CURVA PVC PBA, JE, PB, 22 GRAUS, DN 50 / DE 60 MM, PARA REDE AGUA (NBR 10351)</v>
          </cell>
          <cell r="C1708" t="str">
            <v xml:space="preserve">UN    </v>
          </cell>
          <cell r="D1708">
            <v>21.43</v>
          </cell>
        </row>
        <row r="1709">
          <cell r="A1709">
            <v>1823</v>
          </cell>
          <cell r="B1709" t="str">
            <v>CURVA PVC PBA, JE, PB, 22 GRAUS, DN 75 / DE 85 MM, PARA REDE AGUA (NBR 10351)</v>
          </cell>
          <cell r="C1709" t="str">
            <v xml:space="preserve">UN    </v>
          </cell>
          <cell r="D1709">
            <v>41.44</v>
          </cell>
        </row>
        <row r="1710">
          <cell r="A1710">
            <v>1827</v>
          </cell>
          <cell r="B1710" t="str">
            <v>CURVA PVC PBA, JE, PB, 45 GRAUS, DN 100 / DE 110 MM, PARA REDE AGUA (NBR 10351)</v>
          </cell>
          <cell r="C1710" t="str">
            <v xml:space="preserve">UN    </v>
          </cell>
          <cell r="D1710">
            <v>99.83</v>
          </cell>
        </row>
        <row r="1711">
          <cell r="A1711">
            <v>1831</v>
          </cell>
          <cell r="B1711" t="str">
            <v>CURVA PVC PBA, JE, PB, 45 GRAUS, DN 50 / DE 60 MM, PARA REDE AGUA (NBR 10351)</v>
          </cell>
          <cell r="C1711" t="str">
            <v xml:space="preserve">UN    </v>
          </cell>
          <cell r="D1711">
            <v>21.79</v>
          </cell>
        </row>
        <row r="1712">
          <cell r="A1712">
            <v>1825</v>
          </cell>
          <cell r="B1712" t="str">
            <v>CURVA PVC PBA, JE, PB, 45 GRAUS, DN 75 / DE 85 MM, PARA REDE AGUA (NBR 10351)</v>
          </cell>
          <cell r="C1712" t="str">
            <v xml:space="preserve">UN    </v>
          </cell>
          <cell r="D1712">
            <v>53.78</v>
          </cell>
        </row>
        <row r="1713">
          <cell r="A1713">
            <v>1828</v>
          </cell>
          <cell r="B1713" t="str">
            <v>CURVA PVC PBA, JE, PB, 90 GRAUS, DN 100 / DE 110 MM, PARA REDE AGUA (NBR 10351)</v>
          </cell>
          <cell r="C1713" t="str">
            <v xml:space="preserve">UN    </v>
          </cell>
          <cell r="D1713">
            <v>121.83</v>
          </cell>
        </row>
        <row r="1714">
          <cell r="A1714">
            <v>1845</v>
          </cell>
          <cell r="B1714" t="str">
            <v>CURVA PVC PBA, JE, PB, 90 GRAUS, DN 50 / DE 60 MM, PARA REDE AGUA (NBR 10351)</v>
          </cell>
          <cell r="C1714" t="str">
            <v xml:space="preserve">UN    </v>
          </cell>
          <cell r="D1714">
            <v>27.31</v>
          </cell>
        </row>
        <row r="1715">
          <cell r="A1715">
            <v>1824</v>
          </cell>
          <cell r="B1715" t="str">
            <v>CURVA PVC PBA, JE, PB, 90 GRAUS, DN 75 / DE 85 MM, PARA REDE AGUA (NBR 10351)</v>
          </cell>
          <cell r="C1715" t="str">
            <v xml:space="preserve">UN    </v>
          </cell>
          <cell r="D1715">
            <v>64.48</v>
          </cell>
        </row>
        <row r="1716">
          <cell r="A1716">
            <v>1941</v>
          </cell>
          <cell r="B1716" t="str">
            <v>CURVA PVC 90 GRAUS, ROSCAVEL, 1 1/2",  AGUA FRIA PREDIAL</v>
          </cell>
          <cell r="C1716" t="str">
            <v xml:space="preserve">UN    </v>
          </cell>
          <cell r="D1716">
            <v>20.23</v>
          </cell>
        </row>
        <row r="1717">
          <cell r="A1717">
            <v>1940</v>
          </cell>
          <cell r="B1717" t="str">
            <v>CURVA PVC 90 GRAUS, ROSCAVEL, 1 1/4",  AGUA FRIA PREDIAL</v>
          </cell>
          <cell r="C1717" t="str">
            <v xml:space="preserve">UN    </v>
          </cell>
          <cell r="D1717">
            <v>15.29</v>
          </cell>
        </row>
        <row r="1718">
          <cell r="A1718">
            <v>1937</v>
          </cell>
          <cell r="B1718" t="str">
            <v>CURVA PVC 90 GRAUS, ROSCAVEL, 1/2",  AGUA FRIA PREDIAL</v>
          </cell>
          <cell r="C1718" t="str">
            <v xml:space="preserve">UN    </v>
          </cell>
          <cell r="D1718">
            <v>3.17</v>
          </cell>
        </row>
        <row r="1719">
          <cell r="A1719">
            <v>1939</v>
          </cell>
          <cell r="B1719" t="str">
            <v>CURVA PVC 90 GRAUS, ROSCAVEL, 1",  AGUA FRIA PREDIAL</v>
          </cell>
          <cell r="C1719" t="str">
            <v xml:space="preserve">UN    </v>
          </cell>
          <cell r="D1719">
            <v>6.29</v>
          </cell>
        </row>
        <row r="1720">
          <cell r="A1720">
            <v>1942</v>
          </cell>
          <cell r="B1720" t="str">
            <v>CURVA PVC 90 GRAUS, ROSCAVEL, 2",  AGUA FRIA PREDIAL</v>
          </cell>
          <cell r="C1720" t="str">
            <v xml:space="preserve">UN    </v>
          </cell>
          <cell r="D1720">
            <v>28.88</v>
          </cell>
        </row>
        <row r="1721">
          <cell r="A1721">
            <v>1938</v>
          </cell>
          <cell r="B1721" t="str">
            <v>CURVA PVC 90 GRAUS, ROSCAVEL, 3/4",  AGUA FRIA PREDIAL</v>
          </cell>
          <cell r="C1721" t="str">
            <v xml:space="preserve">UN    </v>
          </cell>
          <cell r="D1721">
            <v>4.0199999999999996</v>
          </cell>
        </row>
        <row r="1722">
          <cell r="A1722">
            <v>42692</v>
          </cell>
          <cell r="B1722" t="str">
            <v>CURVA PVC, BB, JE, 45 GRAUS, DN 200 MM, PARA TUBO CORRUGADO E/OU LISO, REDE COLETORA ESGOTO (NBR 10569)</v>
          </cell>
          <cell r="C1722" t="str">
            <v xml:space="preserve">UN    </v>
          </cell>
          <cell r="D1722">
            <v>214.07</v>
          </cell>
        </row>
        <row r="1723">
          <cell r="A1723">
            <v>42693</v>
          </cell>
          <cell r="B1723" t="str">
            <v>CURVA PVC, BB, JE, 45 GRAUS, DN 250 MM, PARA TUBO CORRUGADO E/OU LISO, REDE COLETORA ESGOTO (NBR 10569)</v>
          </cell>
          <cell r="C1723" t="str">
            <v xml:space="preserve">UN    </v>
          </cell>
          <cell r="D1723">
            <v>352.13</v>
          </cell>
        </row>
        <row r="1724">
          <cell r="A1724">
            <v>42695</v>
          </cell>
          <cell r="B1724" t="str">
            <v>CURVA PVC, BB, JE, 90 GRAUS, DN 200 MM, PARA TUBO CORRUGADO E/OU LISO, REDE COLETORA ESGOTO (NBR 10569)</v>
          </cell>
          <cell r="C1724" t="str">
            <v xml:space="preserve">UN    </v>
          </cell>
          <cell r="D1724">
            <v>267.74</v>
          </cell>
        </row>
        <row r="1725">
          <cell r="A1725">
            <v>42694</v>
          </cell>
          <cell r="B1725" t="str">
            <v>CURVA PVC, BB, JE, 90 GRAUS, DN 250 MM, PARA TUBO CORRUGADO E/OU LISO, REDE COLETORA ESGOTO (NBR 10569)</v>
          </cell>
          <cell r="C1725" t="str">
            <v xml:space="preserve">UN    </v>
          </cell>
          <cell r="D1725">
            <v>395.82</v>
          </cell>
        </row>
        <row r="1726">
          <cell r="A1726">
            <v>20097</v>
          </cell>
          <cell r="B1726" t="str">
            <v>CURVA PVC, SERIE R, 87.30 GRAUS, CURTA, 100 MM, PARA ESGOTO PREDIAL (PARA PE-DE-COLUNA)</v>
          </cell>
          <cell r="C1726" t="str">
            <v xml:space="preserve">UN    </v>
          </cell>
          <cell r="D1726">
            <v>31.38</v>
          </cell>
        </row>
        <row r="1727">
          <cell r="A1727">
            <v>20098</v>
          </cell>
          <cell r="B1727" t="str">
            <v>CURVA PVC, SERIE R, 87.30 GRAUS, CURTA, 150 MM, PARA ESGOTO PREDIAL (PARA PE-DE-COLUNA)</v>
          </cell>
          <cell r="C1727" t="str">
            <v xml:space="preserve">UN    </v>
          </cell>
          <cell r="D1727">
            <v>105.82</v>
          </cell>
        </row>
        <row r="1728">
          <cell r="A1728">
            <v>20096</v>
          </cell>
          <cell r="B1728" t="str">
            <v>CURVA PVC, SERIE R, 87.30 GRAUS, CURTA, 75 MM, PARA ESGOTO PREDIAL (PARA PE-DE-COLUNA)</v>
          </cell>
          <cell r="C1728" t="str">
            <v xml:space="preserve">UN    </v>
          </cell>
          <cell r="D1728">
            <v>20.53</v>
          </cell>
        </row>
        <row r="1729">
          <cell r="A1729">
            <v>1964</v>
          </cell>
          <cell r="B1729" t="str">
            <v>CURVA PVC, 45 GRAUS, CURTA, PB, DN 100 MM, PARA ESGOTO PREDIAL</v>
          </cell>
          <cell r="C1729" t="str">
            <v xml:space="preserve">UN    </v>
          </cell>
          <cell r="D1729">
            <v>18.98</v>
          </cell>
        </row>
        <row r="1730">
          <cell r="A1730">
            <v>1880</v>
          </cell>
          <cell r="B1730" t="str">
            <v>CURVA 135 GRAUS, DE PVC RIGIDO ROSCAVEL, DE 1", PARA ELETRODUTO</v>
          </cell>
          <cell r="C1730" t="str">
            <v xml:space="preserve">UN    </v>
          </cell>
          <cell r="D1730">
            <v>2.2599999999999998</v>
          </cell>
        </row>
        <row r="1731">
          <cell r="A1731">
            <v>39274</v>
          </cell>
          <cell r="B1731" t="str">
            <v>CURVA 135 GRAUS, DE PVC RIGIDO ROSCAVEL, DE 3/4", PARA ELETRODUTO</v>
          </cell>
          <cell r="C1731" t="str">
            <v xml:space="preserve">UN    </v>
          </cell>
          <cell r="D1731">
            <v>1.75</v>
          </cell>
        </row>
        <row r="1732">
          <cell r="A1732">
            <v>2628</v>
          </cell>
          <cell r="B1732" t="str">
            <v>CURVA 135 GRAUS, PARA ELETRODUTO, EM ACO GALVANIZADO ELETROLITICO, DIAMETRO DE 100 MM (4")</v>
          </cell>
          <cell r="C1732" t="str">
            <v xml:space="preserve">UN    </v>
          </cell>
          <cell r="D1732">
            <v>199.84</v>
          </cell>
        </row>
        <row r="1733">
          <cell r="A1733">
            <v>2622</v>
          </cell>
          <cell r="B1733" t="str">
            <v>CURVA 135 GRAUS, PARA ELETRODUTO, EM ACO GALVANIZADO ELETROLITICO, DIAMETRO DE 15 MM (1/2")</v>
          </cell>
          <cell r="C1733" t="str">
            <v xml:space="preserve">UN    </v>
          </cell>
          <cell r="D1733">
            <v>4.74</v>
          </cell>
        </row>
        <row r="1734">
          <cell r="A1734">
            <v>2623</v>
          </cell>
          <cell r="B1734" t="str">
            <v>CURVA 135 GRAUS, PARA ELETRODUTO, EM ACO GALVANIZADO ELETROLITICO, DIAMETRO DE 20 MM (3/4")</v>
          </cell>
          <cell r="C1734" t="str">
            <v xml:space="preserve">UN    </v>
          </cell>
          <cell r="D1734">
            <v>5.71</v>
          </cell>
        </row>
        <row r="1735">
          <cell r="A1735">
            <v>2624</v>
          </cell>
          <cell r="B1735" t="str">
            <v>CURVA 135 GRAUS, PARA ELETRODUTO, EM ACO GALVANIZADO ELETROLITICO, DIAMETRO DE 25 MM (1")</v>
          </cell>
          <cell r="C1735" t="str">
            <v xml:space="preserve">UN    </v>
          </cell>
          <cell r="D1735">
            <v>9.08</v>
          </cell>
        </row>
        <row r="1736">
          <cell r="A1736">
            <v>2625</v>
          </cell>
          <cell r="B1736" t="str">
            <v>CURVA 135 GRAUS, PARA ELETRODUTO, EM ACO GALVANIZADO ELETROLITICO, DIAMETRO DE 32 MM (1 1/4")</v>
          </cell>
          <cell r="C1736" t="str">
            <v xml:space="preserve">UN    </v>
          </cell>
          <cell r="D1736">
            <v>19.170000000000002</v>
          </cell>
        </row>
        <row r="1737">
          <cell r="A1737">
            <v>2626</v>
          </cell>
          <cell r="B1737" t="str">
            <v>CURVA 135 GRAUS, PARA ELETRODUTO, EM ACO GALVANIZADO ELETROLITICO, DIAMETRO DE 40 MM (1 1/2")</v>
          </cell>
          <cell r="C1737" t="str">
            <v xml:space="preserve">UN    </v>
          </cell>
          <cell r="D1737">
            <v>28.09</v>
          </cell>
        </row>
        <row r="1738">
          <cell r="A1738">
            <v>2630</v>
          </cell>
          <cell r="B1738" t="str">
            <v>CURVA 135 GRAUS, PARA ELETRODUTO, EM ACO GALVANIZADO ELETROLITICO, DIAMETRO DE 50 MM (2")</v>
          </cell>
          <cell r="C1738" t="str">
            <v xml:space="preserve">UN    </v>
          </cell>
          <cell r="D1738">
            <v>42.73</v>
          </cell>
        </row>
        <row r="1739">
          <cell r="A1739">
            <v>2627</v>
          </cell>
          <cell r="B1739" t="str">
            <v>CURVA 135 GRAUS, PARA ELETRODUTO, EM ACO GALVANIZADO ELETROLITICO, DIAMETRO DE 65 MM (2 1/2")</v>
          </cell>
          <cell r="C1739" t="str">
            <v xml:space="preserve">UN    </v>
          </cell>
          <cell r="D1739">
            <v>75.27</v>
          </cell>
        </row>
        <row r="1740">
          <cell r="A1740">
            <v>2629</v>
          </cell>
          <cell r="B1740" t="str">
            <v>CURVA 135 GRAUS, PARA ELETRODUTO, EM ACO GALVANIZADO ELETROLITICO, DIAMETRO DE 80 MM (3")</v>
          </cell>
          <cell r="C1740" t="str">
            <v xml:space="preserve">UN    </v>
          </cell>
          <cell r="D1740">
            <v>101.81</v>
          </cell>
        </row>
        <row r="1741">
          <cell r="A1741">
            <v>12033</v>
          </cell>
          <cell r="B1741" t="str">
            <v>CURVA 180 GRAUS, DE PVC RIGIDO ROSCAVEL, DE 1 1/2", PARA ELETRODUTO</v>
          </cell>
          <cell r="C1741" t="str">
            <v xml:space="preserve">UN    </v>
          </cell>
          <cell r="D1741">
            <v>7.21</v>
          </cell>
        </row>
        <row r="1742">
          <cell r="A1742">
            <v>40408</v>
          </cell>
          <cell r="B1742" t="str">
            <v>CURVA 180 GRAUS, DE PVC RIGIDO ROSCAVEL, DE 1 1/4", PARA ELETRODUTO</v>
          </cell>
          <cell r="C1742" t="str">
            <v xml:space="preserve">UN    </v>
          </cell>
          <cell r="D1742">
            <v>4.74</v>
          </cell>
        </row>
        <row r="1743">
          <cell r="A1743">
            <v>40409</v>
          </cell>
          <cell r="B1743" t="str">
            <v>CURVA 180 GRAUS, DE PVC RIGIDO ROSCAVEL, DE 1/2", PARA ELETRODUTO</v>
          </cell>
          <cell r="C1743" t="str">
            <v xml:space="preserve">UN    </v>
          </cell>
          <cell r="D1743">
            <v>1.67</v>
          </cell>
        </row>
        <row r="1744">
          <cell r="A1744">
            <v>39276</v>
          </cell>
          <cell r="B1744" t="str">
            <v>CURVA 180 GRAUS, DE PVC RIGIDO ROSCAVEL, DE 1", PARA ELETRODUTO</v>
          </cell>
          <cell r="C1744" t="str">
            <v xml:space="preserve">UN    </v>
          </cell>
          <cell r="D1744">
            <v>4.2699999999999996</v>
          </cell>
        </row>
        <row r="1745">
          <cell r="A1745">
            <v>39277</v>
          </cell>
          <cell r="B1745" t="str">
            <v>CURVA 180 GRAUS, DE PVC RIGIDO ROSCAVEL, DE 2", PARA ELETRODUTO</v>
          </cell>
          <cell r="C1745" t="str">
            <v xml:space="preserve">UN    </v>
          </cell>
          <cell r="D1745">
            <v>11.53</v>
          </cell>
        </row>
        <row r="1746">
          <cell r="A1746">
            <v>12034</v>
          </cell>
          <cell r="B1746" t="str">
            <v>CURVA 180 GRAUS, DE PVC RIGIDO ROSCAVEL, DE 3/4", PARA ELETRODUTO</v>
          </cell>
          <cell r="C1746" t="str">
            <v xml:space="preserve">UN    </v>
          </cell>
          <cell r="D1746">
            <v>3.26</v>
          </cell>
        </row>
        <row r="1747">
          <cell r="A1747">
            <v>39879</v>
          </cell>
          <cell r="B1747" t="str">
            <v>CURVA 45 GRAUS DE COBRE (REF 606) SEM ANEL DE SOLDA, BOLSA X BOLSA, 15 MM</v>
          </cell>
          <cell r="C1747" t="str">
            <v xml:space="preserve">UN    </v>
          </cell>
          <cell r="D1747">
            <v>3.44</v>
          </cell>
        </row>
        <row r="1748">
          <cell r="A1748">
            <v>39880</v>
          </cell>
          <cell r="B1748" t="str">
            <v>CURVA 45 GRAUS DE COBRE (REF 606) SEM ANEL DE SOLDA, BOLSA X BOLSA, 22 MM</v>
          </cell>
          <cell r="C1748" t="str">
            <v xml:space="preserve">UN    </v>
          </cell>
          <cell r="D1748">
            <v>7.61</v>
          </cell>
        </row>
        <row r="1749">
          <cell r="A1749">
            <v>39881</v>
          </cell>
          <cell r="B1749" t="str">
            <v>CURVA 45 GRAUS DE COBRE (REF 606) SEM ANEL DE SOLDA, BOLSA X BOLSA, 28 MM</v>
          </cell>
          <cell r="C1749" t="str">
            <v xml:space="preserve">UN    </v>
          </cell>
          <cell r="D1749">
            <v>12.22</v>
          </cell>
        </row>
        <row r="1750">
          <cell r="A1750">
            <v>39882</v>
          </cell>
          <cell r="B1750" t="str">
            <v>CURVA 45 GRAUS DE COBRE (REF 606) SEM ANEL DE SOLDA, BOLSA X BOLSA, 35 MM</v>
          </cell>
          <cell r="C1750" t="str">
            <v xml:space="preserve">UN    </v>
          </cell>
          <cell r="D1750">
            <v>32.200000000000003</v>
          </cell>
        </row>
        <row r="1751">
          <cell r="A1751">
            <v>39883</v>
          </cell>
          <cell r="B1751" t="str">
            <v>CURVA 45 GRAUS DE COBRE (REF 606) SEM ANEL DE SOLDA, BOLSA X BOLSA, 42 MM</v>
          </cell>
          <cell r="C1751" t="str">
            <v xml:space="preserve">UN    </v>
          </cell>
          <cell r="D1751">
            <v>51.41</v>
          </cell>
        </row>
        <row r="1752">
          <cell r="A1752">
            <v>39884</v>
          </cell>
          <cell r="B1752" t="str">
            <v>CURVA 45 GRAUS DE COBRE (REF 606) SEM ANEL DE SOLDA, BOLSA X BOLSA, 54 MM</v>
          </cell>
          <cell r="C1752" t="str">
            <v xml:space="preserve">UN    </v>
          </cell>
          <cell r="D1752">
            <v>76.37</v>
          </cell>
        </row>
        <row r="1753">
          <cell r="A1753">
            <v>39885</v>
          </cell>
          <cell r="B1753" t="str">
            <v>CURVA 45 GRAUS DE COBRE (REF 606) SEM ANEL DE SOLDA, BOLSA X BOLSA, 66 MM</v>
          </cell>
          <cell r="C1753" t="str">
            <v xml:space="preserve">UN    </v>
          </cell>
          <cell r="D1753">
            <v>181.5</v>
          </cell>
        </row>
        <row r="1754">
          <cell r="A1754">
            <v>1777</v>
          </cell>
          <cell r="B1754" t="str">
            <v>CURVA 45 GRAUS DE FERRO GALVANIZADO, COM ROSCA BSP FEMEA, DE 1 1/2"</v>
          </cell>
          <cell r="C1754" t="str">
            <v xml:space="preserve">UN    </v>
          </cell>
          <cell r="D1754">
            <v>46.28</v>
          </cell>
        </row>
        <row r="1755">
          <cell r="A1755">
            <v>1819</v>
          </cell>
          <cell r="B1755" t="str">
            <v>CURVA 45 GRAUS DE FERRO GALVANIZADO, COM ROSCA BSP FEMEA, DE 1 1/4"</v>
          </cell>
          <cell r="C1755" t="str">
            <v xml:space="preserve">UN    </v>
          </cell>
          <cell r="D1755">
            <v>33.67</v>
          </cell>
        </row>
        <row r="1756">
          <cell r="A1756">
            <v>1775</v>
          </cell>
          <cell r="B1756" t="str">
            <v>CURVA 45 GRAUS DE FERRO GALVANIZADO, COM ROSCA BSP FEMEA, DE 1/2"</v>
          </cell>
          <cell r="C1756" t="str">
            <v xml:space="preserve">UN    </v>
          </cell>
          <cell r="D1756">
            <v>10.07</v>
          </cell>
        </row>
        <row r="1757">
          <cell r="A1757">
            <v>1776</v>
          </cell>
          <cell r="B1757" t="str">
            <v>CURVA 45 GRAUS DE FERRO GALVANIZADO, COM ROSCA BSP FEMEA, DE 1"</v>
          </cell>
          <cell r="C1757" t="str">
            <v xml:space="preserve">UN    </v>
          </cell>
          <cell r="D1757">
            <v>27.39</v>
          </cell>
        </row>
        <row r="1758">
          <cell r="A1758">
            <v>1778</v>
          </cell>
          <cell r="B1758" t="str">
            <v>CURVA 45 GRAUS DE FERRO GALVANIZADO, COM ROSCA BSP FEMEA, DE 2 1/2"</v>
          </cell>
          <cell r="C1758" t="str">
            <v xml:space="preserve">UN    </v>
          </cell>
          <cell r="D1758">
            <v>112.02</v>
          </cell>
        </row>
        <row r="1759">
          <cell r="A1759">
            <v>1818</v>
          </cell>
          <cell r="B1759" t="str">
            <v>CURVA 45 GRAUS DE FERRO GALVANIZADO, COM ROSCA BSP FEMEA, DE 2"</v>
          </cell>
          <cell r="C1759" t="str">
            <v xml:space="preserve">UN    </v>
          </cell>
          <cell r="D1759">
            <v>74.349999999999994</v>
          </cell>
        </row>
        <row r="1760">
          <cell r="A1760">
            <v>1820</v>
          </cell>
          <cell r="B1760" t="str">
            <v>CURVA 45 GRAUS DE FERRO GALVANIZADO, COM ROSCA BSP FEMEA, DE 3/4"</v>
          </cell>
          <cell r="C1760" t="str">
            <v xml:space="preserve">UN    </v>
          </cell>
          <cell r="D1760">
            <v>14.54</v>
          </cell>
        </row>
        <row r="1761">
          <cell r="A1761">
            <v>1779</v>
          </cell>
          <cell r="B1761" t="str">
            <v>CURVA 45 GRAUS DE FERRO GALVANIZADO, COM ROSCA BSP FEMEA, DE 3"</v>
          </cell>
          <cell r="C1761" t="str">
            <v xml:space="preserve">UN    </v>
          </cell>
          <cell r="D1761">
            <v>162.91</v>
          </cell>
        </row>
        <row r="1762">
          <cell r="A1762">
            <v>1780</v>
          </cell>
          <cell r="B1762" t="str">
            <v>CURVA 45 GRAUS DE FERRO GALVANIZADO, COM ROSCA BSP FEMEA, DE 4"</v>
          </cell>
          <cell r="C1762" t="str">
            <v xml:space="preserve">UN    </v>
          </cell>
          <cell r="D1762">
            <v>335.85</v>
          </cell>
        </row>
        <row r="1763">
          <cell r="A1763">
            <v>1783</v>
          </cell>
          <cell r="B1763" t="str">
            <v>CURVA 45 GRAUS DE FERRO GALVANIZADO, COM ROSCA BSP MACHO/FEMEA, DE 1 1/2"</v>
          </cell>
          <cell r="C1763" t="str">
            <v xml:space="preserve">UN    </v>
          </cell>
          <cell r="D1763">
            <v>35.51</v>
          </cell>
        </row>
        <row r="1764">
          <cell r="A1764">
            <v>1782</v>
          </cell>
          <cell r="B1764" t="str">
            <v>CURVA 45 GRAUS DE FERRO GALVANIZADO, COM ROSCA BSP MACHO/FEMEA, DE 1 1/4"</v>
          </cell>
          <cell r="C1764" t="str">
            <v xml:space="preserve">UN    </v>
          </cell>
          <cell r="D1764">
            <v>28.07</v>
          </cell>
        </row>
        <row r="1765">
          <cell r="A1765">
            <v>1817</v>
          </cell>
          <cell r="B1765" t="str">
            <v>CURVA 45 GRAUS DE FERRO GALVANIZADO, COM ROSCA BSP MACHO/FEMEA, DE 1/2"</v>
          </cell>
          <cell r="C1765" t="str">
            <v xml:space="preserve">UN    </v>
          </cell>
          <cell r="D1765">
            <v>8.36</v>
          </cell>
        </row>
        <row r="1766">
          <cell r="A1766">
            <v>1781</v>
          </cell>
          <cell r="B1766" t="str">
            <v>CURVA 45 GRAUS DE FERRO GALVANIZADO, COM ROSCA BSP MACHO/FEMEA, DE 1"</v>
          </cell>
          <cell r="C1766" t="str">
            <v xml:space="preserve">UN    </v>
          </cell>
          <cell r="D1766">
            <v>18.29</v>
          </cell>
        </row>
        <row r="1767">
          <cell r="A1767">
            <v>1784</v>
          </cell>
          <cell r="B1767" t="str">
            <v>CURVA 45 GRAUS DE FERRO GALVANIZADO, COM ROSCA BSP MACHO/FEMEA, DE 2 1/2"</v>
          </cell>
          <cell r="C1767" t="str">
            <v xml:space="preserve">UN    </v>
          </cell>
          <cell r="D1767">
            <v>100.27</v>
          </cell>
        </row>
        <row r="1768">
          <cell r="A1768">
            <v>1810</v>
          </cell>
          <cell r="B1768" t="str">
            <v>CURVA 45 GRAUS DE FERRO GALVANIZADO, COM ROSCA BSP MACHO/FEMEA, DE 2"</v>
          </cell>
          <cell r="C1768" t="str">
            <v xml:space="preserve">UN    </v>
          </cell>
          <cell r="D1768">
            <v>55.61</v>
          </cell>
        </row>
        <row r="1769">
          <cell r="A1769">
            <v>1811</v>
          </cell>
          <cell r="B1769" t="str">
            <v>CURVA 45 GRAUS DE FERRO GALVANIZADO, COM ROSCA BSP MACHO/FEMEA, DE 3/4"</v>
          </cell>
          <cell r="C1769" t="str">
            <v xml:space="preserve">UN    </v>
          </cell>
          <cell r="D1769">
            <v>12.03</v>
          </cell>
        </row>
        <row r="1770">
          <cell r="A1770">
            <v>1812</v>
          </cell>
          <cell r="B1770" t="str">
            <v>CURVA 45 GRAUS DE FERRO GALVANIZADO, COM ROSCA BSP MACHO/FEMEA, DE 3"</v>
          </cell>
          <cell r="C1770" t="str">
            <v xml:space="preserve">UN    </v>
          </cell>
          <cell r="D1770">
            <v>140.4</v>
          </cell>
        </row>
        <row r="1771">
          <cell r="A1771">
            <v>40386</v>
          </cell>
          <cell r="B1771" t="str">
            <v>CURVA 45 GRAUS EM ACO CARBONO, SOLDAVEL, PRESSAO 3.000 LBS, DN 1 1/2"</v>
          </cell>
          <cell r="C1771" t="str">
            <v xml:space="preserve">UN    </v>
          </cell>
          <cell r="D1771">
            <v>50.16</v>
          </cell>
        </row>
        <row r="1772">
          <cell r="A1772">
            <v>40384</v>
          </cell>
          <cell r="B1772" t="str">
            <v>CURVA 45 GRAUS EM ACO CARBONO, SOLDAVEL, PRESSAO 3.000 LBS, DN 1 1/4"</v>
          </cell>
          <cell r="C1772" t="str">
            <v xml:space="preserve">UN    </v>
          </cell>
          <cell r="D1772">
            <v>34.340000000000003</v>
          </cell>
        </row>
        <row r="1773">
          <cell r="A1773">
            <v>40379</v>
          </cell>
          <cell r="B1773" t="str">
            <v>CURVA 45 GRAUS EM ACO CARBONO, SOLDAVEL, PRESSAO 3.000 LBS, DN 1/2"</v>
          </cell>
          <cell r="C1773" t="str">
            <v xml:space="preserve">UN    </v>
          </cell>
          <cell r="D1773">
            <v>11.87</v>
          </cell>
        </row>
        <row r="1774">
          <cell r="A1774">
            <v>40423</v>
          </cell>
          <cell r="B1774" t="str">
            <v>CURVA 45 GRAUS EM ACO CARBONO, SOLDAVEL, PRESSAO 3.000 LBS, DN 1"</v>
          </cell>
          <cell r="C1774" t="str">
            <v xml:space="preserve">UN    </v>
          </cell>
          <cell r="D1774">
            <v>22.47</v>
          </cell>
        </row>
        <row r="1775">
          <cell r="A1775">
            <v>40389</v>
          </cell>
          <cell r="B1775" t="str">
            <v>CURVA 45 GRAUS EM ACO CARBONO, SOLDAVEL, PRESSAO 3.000 LBS, DN 2 1/2"</v>
          </cell>
          <cell r="C1775" t="str">
            <v xml:space="preserve">UN    </v>
          </cell>
          <cell r="D1775">
            <v>142.49</v>
          </cell>
        </row>
        <row r="1776">
          <cell r="A1776">
            <v>40388</v>
          </cell>
          <cell r="B1776" t="str">
            <v>CURVA 45 GRAUS EM ACO CARBONO, SOLDAVEL, PRESSAO 3.000 LBS, DN 2"</v>
          </cell>
          <cell r="C1776" t="str">
            <v xml:space="preserve">UN    </v>
          </cell>
          <cell r="D1776">
            <v>71.319999999999993</v>
          </cell>
        </row>
        <row r="1777">
          <cell r="A1777">
            <v>40381</v>
          </cell>
          <cell r="B1777" t="str">
            <v>CURVA 45 GRAUS EM ACO CARBONO, SOLDAVEL, PRESSAO 3.000 LBS, DN 3/4"</v>
          </cell>
          <cell r="C1777" t="str">
            <v xml:space="preserve">UN    </v>
          </cell>
          <cell r="D1777">
            <v>15.83</v>
          </cell>
        </row>
        <row r="1778">
          <cell r="A1778">
            <v>40391</v>
          </cell>
          <cell r="B1778" t="str">
            <v>CURVA 45 GRAUS EM ACO CARBONO, SOLDAVEL, PRESSAO 3.000 LBS, DN 3"</v>
          </cell>
          <cell r="C1778" t="str">
            <v xml:space="preserve">UN    </v>
          </cell>
          <cell r="D1778">
            <v>369.84</v>
          </cell>
        </row>
        <row r="1779">
          <cell r="A1779">
            <v>40414</v>
          </cell>
          <cell r="B1779" t="str">
            <v>CURVA 45 GRAUS RANHURADA EM FERRO FUNDIDO, DN 50 MM (2")</v>
          </cell>
          <cell r="C1779" t="str">
            <v xml:space="preserve">UN    </v>
          </cell>
          <cell r="D1779">
            <v>18.059999999999999</v>
          </cell>
        </row>
        <row r="1780">
          <cell r="A1780">
            <v>40416</v>
          </cell>
          <cell r="B1780" t="str">
            <v>CURVA 45 GRAUS RANHURADA EM FERRO FUNDIDO, DN 65 MM (2 1/2")</v>
          </cell>
          <cell r="C1780" t="str">
            <v xml:space="preserve">UN    </v>
          </cell>
          <cell r="D1780">
            <v>24.96</v>
          </cell>
        </row>
        <row r="1781">
          <cell r="A1781">
            <v>40418</v>
          </cell>
          <cell r="B1781" t="str">
            <v>CURVA 45 GRAUS RANHURADA EM FERRO FUNDIDO, DN 80 MM (3")</v>
          </cell>
          <cell r="C1781" t="str">
            <v xml:space="preserve">UN    </v>
          </cell>
          <cell r="D1781">
            <v>29.77</v>
          </cell>
        </row>
        <row r="1782">
          <cell r="A1782">
            <v>2609</v>
          </cell>
          <cell r="B1782" t="str">
            <v>CURVA 45 GRAUS, PARA ELETRODUTO, EM ACO GALVANIZADO ELETROLITICO, DIAMETRO DE 20 MM (3/4")</v>
          </cell>
          <cell r="C1782" t="str">
            <v xml:space="preserve">UN    </v>
          </cell>
          <cell r="D1782">
            <v>4.46</v>
          </cell>
        </row>
        <row r="1783">
          <cell r="A1783">
            <v>2634</v>
          </cell>
          <cell r="B1783" t="str">
            <v>CURVA 45 GRAUS, PARA ELETRODUTO, EM ACO GALVANIZADO ELETROLITICO, DIAMETRO DE 25 MM (1")</v>
          </cell>
          <cell r="C1783" t="str">
            <v xml:space="preserve">UN    </v>
          </cell>
          <cell r="D1783">
            <v>5.85</v>
          </cell>
        </row>
        <row r="1784">
          <cell r="A1784">
            <v>2611</v>
          </cell>
          <cell r="B1784" t="str">
            <v>CURVA 45 GRAUS, PARA ELETRODUTO, EM ACO GALVANIZADO ELETROLITICO, DIAMETRO DE 40 MM (1 1/2")</v>
          </cell>
          <cell r="C1784" t="str">
            <v xml:space="preserve">UN    </v>
          </cell>
          <cell r="D1784">
            <v>16.5</v>
          </cell>
        </row>
        <row r="1785">
          <cell r="A1785">
            <v>34359</v>
          </cell>
          <cell r="B1785" t="str">
            <v>CURVA 90 GRAUS DE BARRA CHATA EM ALUMINIO 3/4 " X 1/4 " X 300 MM</v>
          </cell>
          <cell r="C1785" t="str">
            <v xml:space="preserve">UN    </v>
          </cell>
          <cell r="D1785">
            <v>7.53</v>
          </cell>
        </row>
        <row r="1786">
          <cell r="A1786">
            <v>1789</v>
          </cell>
          <cell r="B1786" t="str">
            <v>CURVA 90 GRAUS DE FERRO GALVANIZADO, COM ROSCA BSP FEMEA, DE 1 1/2"</v>
          </cell>
          <cell r="C1786" t="str">
            <v xml:space="preserve">UN    </v>
          </cell>
          <cell r="D1786">
            <v>44.41</v>
          </cell>
        </row>
        <row r="1787">
          <cell r="A1787">
            <v>1788</v>
          </cell>
          <cell r="B1787" t="str">
            <v>CURVA 90 GRAUS DE FERRO GALVANIZADO, COM ROSCA BSP FEMEA, DE 1 1/4"</v>
          </cell>
          <cell r="C1787" t="str">
            <v xml:space="preserve">UN    </v>
          </cell>
          <cell r="D1787">
            <v>35.6</v>
          </cell>
        </row>
        <row r="1788">
          <cell r="A1788">
            <v>1786</v>
          </cell>
          <cell r="B1788" t="str">
            <v>CURVA 90 GRAUS DE FERRO GALVANIZADO, COM ROSCA BSP FEMEA, DE 1/2"</v>
          </cell>
          <cell r="C1788" t="str">
            <v xml:space="preserve">UN    </v>
          </cell>
          <cell r="D1788">
            <v>8.84</v>
          </cell>
        </row>
        <row r="1789">
          <cell r="A1789">
            <v>1787</v>
          </cell>
          <cell r="B1789" t="str">
            <v>CURVA 90 GRAUS DE FERRO GALVANIZADO, COM ROSCA BSP FEMEA, DE 1"</v>
          </cell>
          <cell r="C1789" t="str">
            <v xml:space="preserve">UN    </v>
          </cell>
          <cell r="D1789">
            <v>21.17</v>
          </cell>
        </row>
        <row r="1790">
          <cell r="A1790">
            <v>1791</v>
          </cell>
          <cell r="B1790" t="str">
            <v>CURVA 90 GRAUS DE FERRO GALVANIZADO, COM ROSCA BSP FEMEA, DE 2 1/2"</v>
          </cell>
          <cell r="C1790" t="str">
            <v xml:space="preserve">UN    </v>
          </cell>
          <cell r="D1790">
            <v>128.36000000000001</v>
          </cell>
        </row>
        <row r="1791">
          <cell r="A1791">
            <v>1790</v>
          </cell>
          <cell r="B1791" t="str">
            <v>CURVA 90 GRAUS DE FERRO GALVANIZADO, COM ROSCA BSP FEMEA, DE 2"</v>
          </cell>
          <cell r="C1791" t="str">
            <v xml:space="preserve">UN    </v>
          </cell>
          <cell r="D1791">
            <v>73.97</v>
          </cell>
        </row>
        <row r="1792">
          <cell r="A1792">
            <v>1813</v>
          </cell>
          <cell r="B1792" t="str">
            <v>CURVA 90 GRAUS DE FERRO GALVANIZADO, COM ROSCA BSP FEMEA, DE 3/4"</v>
          </cell>
          <cell r="C1792" t="str">
            <v xml:space="preserve">UN    </v>
          </cell>
          <cell r="D1792">
            <v>14.03</v>
          </cell>
        </row>
        <row r="1793">
          <cell r="A1793">
            <v>1792</v>
          </cell>
          <cell r="B1793" t="str">
            <v>CURVA 90 GRAUS DE FERRO GALVANIZADO, COM ROSCA BSP FEMEA, DE 3"</v>
          </cell>
          <cell r="C1793" t="str">
            <v xml:space="preserve">UN    </v>
          </cell>
          <cell r="D1793">
            <v>173.27</v>
          </cell>
        </row>
        <row r="1794">
          <cell r="A1794">
            <v>1793</v>
          </cell>
          <cell r="B1794" t="str">
            <v>CURVA 90 GRAUS DE FERRO GALVANIZADO, COM ROSCA BSP FEMEA, DE 4"</v>
          </cell>
          <cell r="C1794" t="str">
            <v xml:space="preserve">UN    </v>
          </cell>
          <cell r="D1794">
            <v>350.13</v>
          </cell>
        </row>
        <row r="1795">
          <cell r="A1795">
            <v>1809</v>
          </cell>
          <cell r="B1795" t="str">
            <v>CURVA 90 GRAUS DE FERRO GALVANIZADO, COM ROSCA BSP MACHO/FEMEA, DE 1 1/2"</v>
          </cell>
          <cell r="C1795" t="str">
            <v xml:space="preserve">UN    </v>
          </cell>
          <cell r="D1795">
            <v>41.64</v>
          </cell>
        </row>
        <row r="1796">
          <cell r="A1796">
            <v>1814</v>
          </cell>
          <cell r="B1796" t="str">
            <v>CURVA 90 GRAUS DE FERRO GALVANIZADO, COM ROSCA BSP MACHO/FEMEA, DE 1 1/4"</v>
          </cell>
          <cell r="C1796" t="str">
            <v xml:space="preserve">UN    </v>
          </cell>
          <cell r="D1796">
            <v>34.21</v>
          </cell>
        </row>
        <row r="1797">
          <cell r="A1797">
            <v>1803</v>
          </cell>
          <cell r="B1797" t="str">
            <v>CURVA 90 GRAUS DE FERRO GALVANIZADO, COM ROSCA BSP MACHO/FEMEA, DE 1/2"</v>
          </cell>
          <cell r="C1797" t="str">
            <v xml:space="preserve">UN    </v>
          </cell>
          <cell r="D1797">
            <v>8.64</v>
          </cell>
        </row>
        <row r="1798">
          <cell r="A1798">
            <v>1805</v>
          </cell>
          <cell r="B1798" t="str">
            <v>CURVA 90 GRAUS DE FERRO GALVANIZADO, COM ROSCA BSP MACHO/FEMEA, DE 1"</v>
          </cell>
          <cell r="C1798" t="str">
            <v xml:space="preserve">UN    </v>
          </cell>
          <cell r="D1798">
            <v>19.850000000000001</v>
          </cell>
        </row>
        <row r="1799">
          <cell r="A1799">
            <v>1821</v>
          </cell>
          <cell r="B1799" t="str">
            <v>CURVA 90 GRAUS DE FERRO GALVANIZADO, COM ROSCA BSP MACHO/FEMEA, DE 2 1/2"</v>
          </cell>
          <cell r="C1799" t="str">
            <v xml:space="preserve">UN    </v>
          </cell>
          <cell r="D1799">
            <v>117.28</v>
          </cell>
        </row>
        <row r="1800">
          <cell r="A1800">
            <v>1806</v>
          </cell>
          <cell r="B1800" t="str">
            <v>CURVA 90 GRAUS DE FERRO GALVANIZADO, COM ROSCA BSP MACHO/FEMEA, DE 2"</v>
          </cell>
          <cell r="C1800" t="str">
            <v xml:space="preserve">UN    </v>
          </cell>
          <cell r="D1800">
            <v>69.8</v>
          </cell>
        </row>
        <row r="1801">
          <cell r="A1801">
            <v>1804</v>
          </cell>
          <cell r="B1801" t="str">
            <v>CURVA 90 GRAUS DE FERRO GALVANIZADO, COM ROSCA BSP MACHO/FEMEA, DE 3/4"</v>
          </cell>
          <cell r="C1801" t="str">
            <v xml:space="preserve">UN    </v>
          </cell>
          <cell r="D1801">
            <v>12.3</v>
          </cell>
        </row>
        <row r="1802">
          <cell r="A1802">
            <v>1807</v>
          </cell>
          <cell r="B1802" t="str">
            <v>CURVA 90 GRAUS DE FERRO GALVANIZADO, COM ROSCA BSP MACHO/FEMEA, DE 3"</v>
          </cell>
          <cell r="C1802" t="str">
            <v xml:space="preserve">UN    </v>
          </cell>
          <cell r="D1802">
            <v>167.73</v>
          </cell>
        </row>
        <row r="1803">
          <cell r="A1803">
            <v>1808</v>
          </cell>
          <cell r="B1803" t="str">
            <v>CURVA 90 GRAUS DE FERRO GALVANIZADO, COM ROSCA BSP MACHO/FEMEA, DE 4"</v>
          </cell>
          <cell r="C1803" t="str">
            <v xml:space="preserve">UN    </v>
          </cell>
          <cell r="D1803">
            <v>336.27</v>
          </cell>
        </row>
        <row r="1804">
          <cell r="A1804">
            <v>1797</v>
          </cell>
          <cell r="B1804" t="str">
            <v>CURVA 90 GRAUS DE FERRO GALVANIZADO, COM ROSCA BSP MACHO, DE 1 1/2"</v>
          </cell>
          <cell r="C1804" t="str">
            <v xml:space="preserve">UN    </v>
          </cell>
          <cell r="D1804">
            <v>50.43</v>
          </cell>
        </row>
        <row r="1805">
          <cell r="A1805">
            <v>1796</v>
          </cell>
          <cell r="B1805" t="str">
            <v>CURVA 90 GRAUS DE FERRO GALVANIZADO, COM ROSCA BSP MACHO, DE 1 1/4"</v>
          </cell>
          <cell r="C1805" t="str">
            <v xml:space="preserve">UN    </v>
          </cell>
          <cell r="D1805">
            <v>38.68</v>
          </cell>
        </row>
        <row r="1806">
          <cell r="A1806">
            <v>1794</v>
          </cell>
          <cell r="B1806" t="str">
            <v>CURVA 90 GRAUS DE FERRO GALVANIZADO, COM ROSCA BSP MACHO, DE 1/2"</v>
          </cell>
          <cell r="C1806" t="str">
            <v xml:space="preserve">UN    </v>
          </cell>
          <cell r="D1806">
            <v>9.23</v>
          </cell>
        </row>
        <row r="1807">
          <cell r="A1807">
            <v>1816</v>
          </cell>
          <cell r="B1807" t="str">
            <v>CURVA 90 GRAUS DE FERRO GALVANIZADO, COM ROSCA BSP MACHO, DE 1"</v>
          </cell>
          <cell r="C1807" t="str">
            <v xml:space="preserve">UN    </v>
          </cell>
          <cell r="D1807">
            <v>20.82</v>
          </cell>
        </row>
        <row r="1808">
          <cell r="A1808">
            <v>1815</v>
          </cell>
          <cell r="B1808" t="str">
            <v>CURVA 90 GRAUS DE FERRO GALVANIZADO, COM ROSCA BSP MACHO, DE 2 1/2"</v>
          </cell>
          <cell r="C1808" t="str">
            <v xml:space="preserve">UN    </v>
          </cell>
          <cell r="D1808">
            <v>159.91</v>
          </cell>
        </row>
        <row r="1809">
          <cell r="A1809">
            <v>1798</v>
          </cell>
          <cell r="B1809" t="str">
            <v>CURVA 90 GRAUS DE FERRO GALVANIZADO, COM ROSCA BSP MACHO, DE 2"</v>
          </cell>
          <cell r="C1809" t="str">
            <v xml:space="preserve">UN    </v>
          </cell>
          <cell r="D1809">
            <v>71.55</v>
          </cell>
        </row>
        <row r="1810">
          <cell r="A1810">
            <v>1795</v>
          </cell>
          <cell r="B1810" t="str">
            <v>CURVA 90 GRAUS DE FERRO GALVANIZADO, COM ROSCA BSP MACHO, DE 3/4"</v>
          </cell>
          <cell r="C1810" t="str">
            <v xml:space="preserve">UN    </v>
          </cell>
          <cell r="D1810">
            <v>12.79</v>
          </cell>
        </row>
        <row r="1811">
          <cell r="A1811">
            <v>1799</v>
          </cell>
          <cell r="B1811" t="str">
            <v>CURVA 90 GRAUS DE FERRO GALVANIZADO, COM ROSCA BSP MACHO, DE 3"</v>
          </cell>
          <cell r="C1811" t="str">
            <v xml:space="preserve">UN    </v>
          </cell>
          <cell r="D1811">
            <v>208.27</v>
          </cell>
        </row>
        <row r="1812">
          <cell r="A1812">
            <v>1800</v>
          </cell>
          <cell r="B1812" t="str">
            <v>CURVA 90 GRAUS DE FERRO GALVANIZADO, COM ROSCA BSP MACHO, DE 4"</v>
          </cell>
          <cell r="C1812" t="str">
            <v xml:space="preserve">UN    </v>
          </cell>
          <cell r="D1812">
            <v>397.62</v>
          </cell>
        </row>
        <row r="1813">
          <cell r="A1813">
            <v>1802</v>
          </cell>
          <cell r="B1813" t="str">
            <v>CURVA 90 GRAUS DE FERRO GALVANIZADO, COM ROSCA BSP MACHO, DE 6"</v>
          </cell>
          <cell r="C1813" t="str">
            <v xml:space="preserve">UN    </v>
          </cell>
          <cell r="D1813">
            <v>994.6</v>
          </cell>
        </row>
        <row r="1814">
          <cell r="A1814">
            <v>40385</v>
          </cell>
          <cell r="B1814" t="str">
            <v>CURVA 90 GRAUS EM ACO CARBONO, RAIO CURTO, SOLDAVEL, PRESSAO 3.000 LBS, DN 1 1/2"</v>
          </cell>
          <cell r="C1814" t="str">
            <v xml:space="preserve">UN    </v>
          </cell>
          <cell r="D1814">
            <v>50.16</v>
          </cell>
        </row>
        <row r="1815">
          <cell r="A1815">
            <v>40383</v>
          </cell>
          <cell r="B1815" t="str">
            <v>CURVA 90 GRAUS EM ACO CARBONO, RAIO CURTO, SOLDAVEL, PRESSAO 3.000 LBS, DN 1 1/4"</v>
          </cell>
          <cell r="C1815" t="str">
            <v xml:space="preserve">UN    </v>
          </cell>
          <cell r="D1815">
            <v>34.340000000000003</v>
          </cell>
        </row>
        <row r="1816">
          <cell r="A1816">
            <v>40378</v>
          </cell>
          <cell r="B1816" t="str">
            <v>CURVA 90 GRAUS EM ACO CARBONO, RAIO CURTO, SOLDAVEL, PRESSAO 3.000 LBS, DN 1/2"</v>
          </cell>
          <cell r="C1816" t="str">
            <v xml:space="preserve">UN    </v>
          </cell>
          <cell r="D1816">
            <v>11.87</v>
          </cell>
        </row>
        <row r="1817">
          <cell r="A1817">
            <v>40382</v>
          </cell>
          <cell r="B1817" t="str">
            <v>CURVA 90 GRAUS EM ACO CARBONO, RAIO CURTO, SOLDAVEL, PRESSAO 3.000 LBS, DN 1"</v>
          </cell>
          <cell r="C1817" t="str">
            <v xml:space="preserve">UN    </v>
          </cell>
          <cell r="D1817">
            <v>22.47</v>
          </cell>
        </row>
        <row r="1818">
          <cell r="A1818">
            <v>40422</v>
          </cell>
          <cell r="B1818" t="str">
            <v>CURVA 90 GRAUS EM ACO CARBONO, RAIO CURTO, SOLDAVEL, PRESSAO 3.000 LBS, DN 2 1/2"</v>
          </cell>
          <cell r="C1818" t="str">
            <v xml:space="preserve">UN    </v>
          </cell>
          <cell r="D1818">
            <v>153.07</v>
          </cell>
        </row>
        <row r="1819">
          <cell r="A1819">
            <v>40387</v>
          </cell>
          <cell r="B1819" t="str">
            <v>CURVA 90 GRAUS EM ACO CARBONO, RAIO CURTO, SOLDAVEL, PRESSAO 3.000 LBS, DN 2"</v>
          </cell>
          <cell r="C1819" t="str">
            <v xml:space="preserve">UN    </v>
          </cell>
          <cell r="D1819">
            <v>77.94</v>
          </cell>
        </row>
        <row r="1820">
          <cell r="A1820">
            <v>40380</v>
          </cell>
          <cell r="B1820" t="str">
            <v>CURVA 90 GRAUS EM ACO CARBONO, RAIO CURTO, SOLDAVEL, PRESSAO 3.000 LBS, DN 3/4"</v>
          </cell>
          <cell r="C1820" t="str">
            <v xml:space="preserve">UN    </v>
          </cell>
          <cell r="D1820">
            <v>15.83</v>
          </cell>
        </row>
        <row r="1821">
          <cell r="A1821">
            <v>40390</v>
          </cell>
          <cell r="B1821" t="str">
            <v>CURVA 90 GRAUS EM ACO CARBONO, RAIO CURTO, SOLDAVEL, PRESSAO 3.000 LBS, DN 3"</v>
          </cell>
          <cell r="C1821" t="str">
            <v xml:space="preserve">UN    </v>
          </cell>
          <cell r="D1821">
            <v>322.38</v>
          </cell>
        </row>
        <row r="1822">
          <cell r="A1822">
            <v>40413</v>
          </cell>
          <cell r="B1822" t="str">
            <v>CURVA 90 GRAUS RANHURADA EM FERRO FUNDIDO, DN 50 MM (2")</v>
          </cell>
          <cell r="C1822" t="str">
            <v xml:space="preserve">UN    </v>
          </cell>
          <cell r="D1822">
            <v>19.62</v>
          </cell>
        </row>
        <row r="1823">
          <cell r="A1823">
            <v>40415</v>
          </cell>
          <cell r="B1823" t="str">
            <v>CURVA 90 GRAUS RANHURADA EM FERRO FUNDIDO, DN 65 MM (2 1/2")</v>
          </cell>
          <cell r="C1823" t="str">
            <v xml:space="preserve">UN    </v>
          </cell>
          <cell r="D1823">
            <v>27.96</v>
          </cell>
        </row>
        <row r="1824">
          <cell r="A1824">
            <v>40417</v>
          </cell>
          <cell r="B1824" t="str">
            <v>CURVA 90 GRAUS RANHURADA EM FERRO FUNDIDO, DN 80 MM (3")</v>
          </cell>
          <cell r="C1824" t="str">
            <v xml:space="preserve">UN    </v>
          </cell>
          <cell r="D1824">
            <v>32.979999999999997</v>
          </cell>
        </row>
        <row r="1825">
          <cell r="A1825">
            <v>39271</v>
          </cell>
          <cell r="B1825" t="str">
            <v>CURVA 90 GRAUS, CURTA, DE PVC RIGIDO ROSCAVEL, DE 1/2", PARA ELETRODUTO</v>
          </cell>
          <cell r="C1825" t="str">
            <v xml:space="preserve">UN    </v>
          </cell>
          <cell r="D1825">
            <v>1.45</v>
          </cell>
        </row>
        <row r="1826">
          <cell r="A1826">
            <v>39273</v>
          </cell>
          <cell r="B1826" t="str">
            <v>CURVA 90 GRAUS, CURTA, DE PVC RIGIDO ROSCAVEL, DE 1", PARA ELETRODUTO</v>
          </cell>
          <cell r="C1826" t="str">
            <v xml:space="preserve">UN    </v>
          </cell>
          <cell r="D1826">
            <v>2.46</v>
          </cell>
        </row>
        <row r="1827">
          <cell r="A1827">
            <v>39272</v>
          </cell>
          <cell r="B1827" t="str">
            <v>CURVA 90 GRAUS, CURTA, DE PVC RIGIDO ROSCAVEL, DE 3/4", PARA ELETRODUTO</v>
          </cell>
          <cell r="C1827" t="str">
            <v xml:space="preserve">UN    </v>
          </cell>
          <cell r="D1827">
            <v>1.78</v>
          </cell>
        </row>
        <row r="1828">
          <cell r="A1828">
            <v>1875</v>
          </cell>
          <cell r="B1828" t="str">
            <v>CURVA 90 GRAUS, LONGA, DE PVC RIGIDO ROSCAVEL, DE 1 1/2", PARA ELETRODUTO</v>
          </cell>
          <cell r="C1828" t="str">
            <v xml:space="preserve">UN    </v>
          </cell>
          <cell r="D1828">
            <v>3.94</v>
          </cell>
        </row>
        <row r="1829">
          <cell r="A1829">
            <v>1874</v>
          </cell>
          <cell r="B1829" t="str">
            <v>CURVA 90 GRAUS, LONGA, DE PVC RIGIDO ROSCAVEL, DE 1 1/4", PARA ELETRODUTO</v>
          </cell>
          <cell r="C1829" t="str">
            <v xml:space="preserve">UN    </v>
          </cell>
          <cell r="D1829">
            <v>3.25</v>
          </cell>
        </row>
        <row r="1830">
          <cell r="A1830">
            <v>1870</v>
          </cell>
          <cell r="B1830" t="str">
            <v>CURVA 90 GRAUS, LONGA, DE PVC RIGIDO ROSCAVEL, DE 1/2", PARA ELETRODUTO</v>
          </cell>
          <cell r="C1830" t="str">
            <v xml:space="preserve">UN    </v>
          </cell>
          <cell r="D1830">
            <v>1.88</v>
          </cell>
        </row>
        <row r="1831">
          <cell r="A1831">
            <v>1884</v>
          </cell>
          <cell r="B1831" t="str">
            <v>CURVA 90 GRAUS, LONGA, DE PVC RIGIDO ROSCAVEL, DE 1", PARA ELETRODUTO</v>
          </cell>
          <cell r="C1831" t="str">
            <v xml:space="preserve">UN    </v>
          </cell>
          <cell r="D1831">
            <v>2.88</v>
          </cell>
        </row>
        <row r="1832">
          <cell r="A1832">
            <v>1887</v>
          </cell>
          <cell r="B1832" t="str">
            <v>CURVA 90 GRAUS, LONGA, DE PVC RIGIDO ROSCAVEL, DE 2 1/2", PARA ELETRODUTO</v>
          </cell>
          <cell r="C1832" t="str">
            <v xml:space="preserve">UN    </v>
          </cell>
          <cell r="D1832">
            <v>16.34</v>
          </cell>
        </row>
        <row r="1833">
          <cell r="A1833">
            <v>1876</v>
          </cell>
          <cell r="B1833" t="str">
            <v>CURVA 90 GRAUS, LONGA, DE PVC RIGIDO ROSCAVEL, DE 2", PARA ELETRODUTO</v>
          </cell>
          <cell r="C1833" t="str">
            <v xml:space="preserve">UN    </v>
          </cell>
          <cell r="D1833">
            <v>6.4</v>
          </cell>
        </row>
        <row r="1834">
          <cell r="A1834">
            <v>1879</v>
          </cell>
          <cell r="B1834" t="str">
            <v>CURVA 90 GRAUS, LONGA, DE PVC RIGIDO ROSCAVEL, DE 3/4", PARA ELETRODUTO</v>
          </cell>
          <cell r="C1834" t="str">
            <v xml:space="preserve">UN    </v>
          </cell>
          <cell r="D1834">
            <v>1.9</v>
          </cell>
        </row>
        <row r="1835">
          <cell r="A1835">
            <v>1877</v>
          </cell>
          <cell r="B1835" t="str">
            <v>CURVA 90 GRAUS, LONGA, DE PVC RIGIDO ROSCAVEL, DE 3", PARA ELETRODUTO</v>
          </cell>
          <cell r="C1835" t="str">
            <v xml:space="preserve">UN    </v>
          </cell>
          <cell r="D1835">
            <v>16.36</v>
          </cell>
        </row>
        <row r="1836">
          <cell r="A1836">
            <v>1878</v>
          </cell>
          <cell r="B1836" t="str">
            <v>CURVA 90 GRAUS, LONGA, DE PVC RIGIDO ROSCAVEL, DE 4", PARA ELETRODUTO</v>
          </cell>
          <cell r="C1836" t="str">
            <v xml:space="preserve">UN    </v>
          </cell>
          <cell r="D1836">
            <v>32.880000000000003</v>
          </cell>
        </row>
        <row r="1837">
          <cell r="A1837">
            <v>2621</v>
          </cell>
          <cell r="B1837" t="str">
            <v>CURVA 90 GRAUS, PARA ELETRODUTO, EM ACO GALVANIZADO ELETROLITICO, DIAMETRO DE 100 MM (4")</v>
          </cell>
          <cell r="C1837" t="str">
            <v xml:space="preserve">UN    </v>
          </cell>
          <cell r="D1837">
            <v>141.19</v>
          </cell>
        </row>
        <row r="1838">
          <cell r="A1838">
            <v>2616</v>
          </cell>
          <cell r="B1838" t="str">
            <v>CURVA 90 GRAUS, PARA ELETRODUTO, EM ACO GALVANIZADO ELETROLITICO, DIAMETRO DE 15 MM (1/2")</v>
          </cell>
          <cell r="C1838" t="str">
            <v xml:space="preserve">UN    </v>
          </cell>
          <cell r="D1838">
            <v>3.99</v>
          </cell>
        </row>
        <row r="1839">
          <cell r="A1839">
            <v>2633</v>
          </cell>
          <cell r="B1839" t="str">
            <v>CURVA 90 GRAUS, PARA ELETRODUTO, EM ACO GALVANIZADO ELETROLITICO, DIAMETRO DE 20 MM (3/4")</v>
          </cell>
          <cell r="C1839" t="str">
            <v xml:space="preserve">UN    </v>
          </cell>
          <cell r="D1839">
            <v>4.5199999999999996</v>
          </cell>
        </row>
        <row r="1840">
          <cell r="A1840">
            <v>2617</v>
          </cell>
          <cell r="B1840" t="str">
            <v>CURVA 90 GRAUS, PARA ELETRODUTO, EM ACO GALVANIZADO ELETROLITICO, DIAMETRO DE 25 MM (1")</v>
          </cell>
          <cell r="C1840" t="str">
            <v xml:space="preserve">UN    </v>
          </cell>
          <cell r="D1840">
            <v>6.14</v>
          </cell>
        </row>
        <row r="1841">
          <cell r="A1841">
            <v>2618</v>
          </cell>
          <cell r="B1841" t="str">
            <v>CURVA 90 GRAUS, PARA ELETRODUTO, EM ACO GALVANIZADO ELETROLITICO, DIAMETRO DE 32 MM (1 1/4")</v>
          </cell>
          <cell r="C1841" t="str">
            <v xml:space="preserve">UN    </v>
          </cell>
          <cell r="D1841">
            <v>13.98</v>
          </cell>
        </row>
        <row r="1842">
          <cell r="A1842">
            <v>2632</v>
          </cell>
          <cell r="B1842" t="str">
            <v>CURVA 90 GRAUS, PARA ELETRODUTO, EM ACO GALVANIZADO ELETROLITICO, DIAMETRO DE 40 MM (1 1/2")</v>
          </cell>
          <cell r="C1842" t="str">
            <v xml:space="preserve">UN    </v>
          </cell>
          <cell r="D1842">
            <v>17.059999999999999</v>
          </cell>
        </row>
        <row r="1843">
          <cell r="A1843">
            <v>2631</v>
          </cell>
          <cell r="B1843" t="str">
            <v>CURVA 90 GRAUS, PARA ELETRODUTO, EM ACO GALVANIZADO ELETROLITICO, DIAMETRO DE 50 MM (2")</v>
          </cell>
          <cell r="C1843" t="str">
            <v xml:space="preserve">UN    </v>
          </cell>
          <cell r="D1843">
            <v>25.04</v>
          </cell>
        </row>
        <row r="1844">
          <cell r="A1844">
            <v>2619</v>
          </cell>
          <cell r="B1844" t="str">
            <v>CURVA 90 GRAUS, PARA ELETRODUTO, EM ACO GALVANIZADO ELETROLITICO, DIAMETRO DE 65 MM (2 1/2")</v>
          </cell>
          <cell r="C1844" t="str">
            <v xml:space="preserve">UN    </v>
          </cell>
          <cell r="D1844">
            <v>63.41</v>
          </cell>
        </row>
        <row r="1845">
          <cell r="A1845">
            <v>2620</v>
          </cell>
          <cell r="B1845" t="str">
            <v>CURVA 90 GRAUS, PARA ELETRODUTO, EM ACO GALVANIZADO ELETROLITICO, DIAMETRO DE 80 MM (3")</v>
          </cell>
          <cell r="C1845" t="str">
            <v xml:space="preserve">UN    </v>
          </cell>
          <cell r="D1845">
            <v>83.25</v>
          </cell>
        </row>
        <row r="1846">
          <cell r="A1846">
            <v>25968</v>
          </cell>
          <cell r="B1846" t="str">
            <v>DENTE PARA FRESADORA</v>
          </cell>
          <cell r="C1846" t="str">
            <v xml:space="preserve">UN    </v>
          </cell>
          <cell r="D1846">
            <v>41.06</v>
          </cell>
        </row>
        <row r="1847">
          <cell r="A1847">
            <v>38369</v>
          </cell>
          <cell r="B1847" t="str">
            <v>DESEMPENADEIRA DE ACO DENTADA 12 X *25* CM, DENTES 8 X 8 MM, CABO FECHADO DE MADEIRA</v>
          </cell>
          <cell r="C1847" t="str">
            <v xml:space="preserve">UN    </v>
          </cell>
          <cell r="D1847">
            <v>12.01</v>
          </cell>
        </row>
        <row r="1848">
          <cell r="A1848">
            <v>38370</v>
          </cell>
          <cell r="B1848" t="str">
            <v>DESEMPENADEIRA DE ACO LISA 12 X *25* CM COM CABO FECHADO DE MADEIRA</v>
          </cell>
          <cell r="C1848" t="str">
            <v xml:space="preserve">UN    </v>
          </cell>
          <cell r="D1848">
            <v>12.01</v>
          </cell>
        </row>
        <row r="1849">
          <cell r="A1849">
            <v>38372</v>
          </cell>
          <cell r="B1849" t="str">
            <v>DESEMPENADEIRA PLASTICA LISA *14 X 27* CM</v>
          </cell>
          <cell r="C1849" t="str">
            <v xml:space="preserve">UN    </v>
          </cell>
          <cell r="D1849">
            <v>18.43</v>
          </cell>
        </row>
        <row r="1850">
          <cell r="A1850">
            <v>2357</v>
          </cell>
          <cell r="B1850" t="str">
            <v>DESENHISTA COPISTA</v>
          </cell>
          <cell r="C1850" t="str">
            <v xml:space="preserve">H     </v>
          </cell>
          <cell r="D1850">
            <v>16.79</v>
          </cell>
        </row>
        <row r="1851">
          <cell r="A1851">
            <v>40806</v>
          </cell>
          <cell r="B1851" t="str">
            <v>DESENHISTA COPISTA (MENSALISTA)</v>
          </cell>
          <cell r="C1851" t="str">
            <v xml:space="preserve">MES   </v>
          </cell>
          <cell r="D1851">
            <v>2980.72</v>
          </cell>
        </row>
        <row r="1852">
          <cell r="A1852">
            <v>2355</v>
          </cell>
          <cell r="B1852" t="str">
            <v>DESENHISTA DETALHISTA</v>
          </cell>
          <cell r="C1852" t="str">
            <v xml:space="preserve">H     </v>
          </cell>
          <cell r="D1852">
            <v>22.27</v>
          </cell>
        </row>
        <row r="1853">
          <cell r="A1853">
            <v>40805</v>
          </cell>
          <cell r="B1853" t="str">
            <v>DESENHISTA DETALHISTA (MENSALISTA)</v>
          </cell>
          <cell r="C1853" t="str">
            <v xml:space="preserve">MES   </v>
          </cell>
          <cell r="D1853">
            <v>3951.66</v>
          </cell>
        </row>
        <row r="1854">
          <cell r="A1854">
            <v>2358</v>
          </cell>
          <cell r="B1854" t="str">
            <v>DESENHISTA PROJETISTA</v>
          </cell>
          <cell r="C1854" t="str">
            <v xml:space="preserve">H     </v>
          </cell>
          <cell r="D1854">
            <v>17.8</v>
          </cell>
        </row>
        <row r="1855">
          <cell r="A1855">
            <v>40807</v>
          </cell>
          <cell r="B1855" t="str">
            <v>DESENHISTA PROJETISTA (MENSALISTA)</v>
          </cell>
          <cell r="C1855" t="str">
            <v xml:space="preserve">MES   </v>
          </cell>
          <cell r="D1855">
            <v>3158.69</v>
          </cell>
        </row>
        <row r="1856">
          <cell r="A1856">
            <v>2359</v>
          </cell>
          <cell r="B1856" t="str">
            <v>DESENHISTA TECNICO AUXILIAR</v>
          </cell>
          <cell r="C1856" t="str">
            <v xml:space="preserve">H     </v>
          </cell>
          <cell r="D1856">
            <v>17.8</v>
          </cell>
        </row>
        <row r="1857">
          <cell r="A1857">
            <v>40808</v>
          </cell>
          <cell r="B1857" t="str">
            <v>DESENHISTA TECNICO AUXILIAR (MENSALISTA)</v>
          </cell>
          <cell r="C1857" t="str">
            <v xml:space="preserve">MES   </v>
          </cell>
          <cell r="D1857">
            <v>3157.81</v>
          </cell>
        </row>
        <row r="1858">
          <cell r="A1858">
            <v>43144</v>
          </cell>
          <cell r="B1858" t="str">
            <v>DESMOLDANTE PARA CONCRETO ESTAMPADO</v>
          </cell>
          <cell r="C1858" t="str">
            <v xml:space="preserve">KG    </v>
          </cell>
          <cell r="D1858">
            <v>26.34</v>
          </cell>
        </row>
        <row r="1859">
          <cell r="A1859">
            <v>39397</v>
          </cell>
          <cell r="B1859" t="str">
            <v>DESMOLDANTE PARA FORMAS METALICAS A BASE DE OLEO VEGETAL</v>
          </cell>
          <cell r="C1859" t="str">
            <v xml:space="preserve">L     </v>
          </cell>
          <cell r="D1859">
            <v>12</v>
          </cell>
        </row>
        <row r="1860">
          <cell r="A1860">
            <v>2692</v>
          </cell>
          <cell r="B1860" t="str">
            <v>DESMOLDANTE PROTETOR PARA FORMAS DE MADEIRA, DE BASE OLEOSA EMULSIONADA EM AGUA</v>
          </cell>
          <cell r="C1860" t="str">
            <v xml:space="preserve">L     </v>
          </cell>
          <cell r="D1860">
            <v>4.84</v>
          </cell>
        </row>
        <row r="1861">
          <cell r="A1861">
            <v>6</v>
          </cell>
          <cell r="B1861" t="str">
            <v>DETERGENTE AMONIACO (AMONIA DILUIDA)</v>
          </cell>
          <cell r="C1861" t="str">
            <v xml:space="preserve">L     </v>
          </cell>
          <cell r="D1861">
            <v>3.5</v>
          </cell>
        </row>
        <row r="1862">
          <cell r="A1862">
            <v>5330</v>
          </cell>
          <cell r="B1862" t="str">
            <v>DILUENTE EPOXI</v>
          </cell>
          <cell r="C1862" t="str">
            <v xml:space="preserve">L     </v>
          </cell>
          <cell r="D1862">
            <v>36.729999999999997</v>
          </cell>
        </row>
        <row r="1863">
          <cell r="A1863">
            <v>26017</v>
          </cell>
          <cell r="B1863" t="str">
            <v>DISCO DE BORRACHA PARA LIXADEIRA RIGIDO 7 " COM ARRUELA CENTRAL</v>
          </cell>
          <cell r="C1863" t="str">
            <v xml:space="preserve">UN    </v>
          </cell>
          <cell r="D1863">
            <v>36.33</v>
          </cell>
        </row>
        <row r="1864">
          <cell r="A1864">
            <v>25931</v>
          </cell>
          <cell r="B1864" t="str">
            <v>DISCO DE CORTE DIAMANTADO SEGMENTADO DIAMETRO DE 180 MM PARA ESMERILHADEIRA 7 "</v>
          </cell>
          <cell r="C1864" t="str">
            <v xml:space="preserve">UN    </v>
          </cell>
          <cell r="D1864">
            <v>115.46</v>
          </cell>
        </row>
        <row r="1865">
          <cell r="A1865">
            <v>38140</v>
          </cell>
          <cell r="B1865" t="str">
            <v>DISCO DE CORTE DIAMANTADO SEGMENTADO PARA CONCRETO, DIAMETRO DE 110 MM, FURO DE 20 MM</v>
          </cell>
          <cell r="C1865" t="str">
            <v xml:space="preserve">UN    </v>
          </cell>
          <cell r="D1865">
            <v>28</v>
          </cell>
        </row>
        <row r="1866">
          <cell r="A1866">
            <v>13887</v>
          </cell>
          <cell r="B1866" t="str">
            <v>DISCO DE CORTE DIAMANTADO SEGMENTADO PARA CONCRETO, DIAMETRO DE 350 MM, FURO DE 1 " (14 X 1 ")</v>
          </cell>
          <cell r="C1866" t="str">
            <v xml:space="preserve">UN    </v>
          </cell>
          <cell r="D1866">
            <v>662.92</v>
          </cell>
        </row>
        <row r="1867">
          <cell r="A1867">
            <v>26018</v>
          </cell>
          <cell r="B1867" t="str">
            <v>DISCO DE CORTE PARA METAL COM DUAS TELAS 12 X 1/8 X 3/4 " (300 X 3,2 X 19,05 MM)</v>
          </cell>
          <cell r="C1867" t="str">
            <v xml:space="preserve">UN    </v>
          </cell>
          <cell r="D1867">
            <v>29.51</v>
          </cell>
        </row>
        <row r="1868">
          <cell r="A1868">
            <v>26019</v>
          </cell>
          <cell r="B1868" t="str">
            <v>DISCO DE DESBASTE PARA METAL FERROSO EM GERAL, COM TRES TELAS,  9 X 1/4 X 7/8 " (228,6 X 6,4 X 22,2 MM)</v>
          </cell>
          <cell r="C1868" t="str">
            <v xml:space="preserve">UN    </v>
          </cell>
          <cell r="D1868">
            <v>27.87</v>
          </cell>
        </row>
        <row r="1869">
          <cell r="A1869">
            <v>26020</v>
          </cell>
          <cell r="B1869" t="str">
            <v>DISCO DE LIXA PARA METAL, DIAMETRO = 180 MM, GRAO 120</v>
          </cell>
          <cell r="C1869" t="str">
            <v xml:space="preserve">UN    </v>
          </cell>
          <cell r="D1869">
            <v>7.26</v>
          </cell>
        </row>
        <row r="1870">
          <cell r="A1870">
            <v>34544</v>
          </cell>
          <cell r="B1870" t="str">
            <v>DISJUNTOR  TERMOMAGNETICO TRIPOLAR 3 X 400 A / ICC - 25 KA</v>
          </cell>
          <cell r="C1870" t="str">
            <v xml:space="preserve">UN    </v>
          </cell>
          <cell r="D1870">
            <v>1276.69</v>
          </cell>
        </row>
        <row r="1871">
          <cell r="A1871">
            <v>34729</v>
          </cell>
          <cell r="B1871" t="str">
            <v>DISJUNTOR TERMICO E MAGNETICO AJUSTAVEIS, TRIPOLAR DE 100 ATE 250A, CAPACIDADE DE INTERRUPCAO DE 35KA</v>
          </cell>
          <cell r="C1871" t="str">
            <v xml:space="preserve">UN    </v>
          </cell>
          <cell r="D1871">
            <v>1004.32</v>
          </cell>
        </row>
        <row r="1872">
          <cell r="A1872">
            <v>34734</v>
          </cell>
          <cell r="B1872" t="str">
            <v>DISJUNTOR TERMICO E MAGNETICO AJUSTAVEIS, TRIPOLAR DE 300 ATE 400A, CAPACIDADE DE INTERRUPCAO DE 35KA</v>
          </cell>
          <cell r="C1872" t="str">
            <v xml:space="preserve">UN    </v>
          </cell>
          <cell r="D1872">
            <v>1555</v>
          </cell>
        </row>
        <row r="1873">
          <cell r="A1873">
            <v>34738</v>
          </cell>
          <cell r="B1873" t="str">
            <v>DISJUNTOR TERMICO E MAGNETICO AJUSTAVEIS, TRIPOLAR DE 450 ATE 600A, CAPACIDADE DE INTERRUPCAO DE 35KA</v>
          </cell>
          <cell r="C1873" t="str">
            <v xml:space="preserve">UN    </v>
          </cell>
          <cell r="D1873">
            <v>3632.98</v>
          </cell>
        </row>
        <row r="1874">
          <cell r="A1874">
            <v>2391</v>
          </cell>
          <cell r="B1874" t="str">
            <v>DISJUNTOR TERMOMAGNETICO TRIPOLAR 125A</v>
          </cell>
          <cell r="C1874" t="str">
            <v xml:space="preserve">UN    </v>
          </cell>
          <cell r="D1874">
            <v>295.48</v>
          </cell>
        </row>
        <row r="1875">
          <cell r="A1875">
            <v>2374</v>
          </cell>
          <cell r="B1875" t="str">
            <v>DISJUNTOR TERMOMAGNETICO TRIPOLAR 150 A / 600 V, TIPO FXD / ICC - 35 KA</v>
          </cell>
          <cell r="C1875" t="str">
            <v xml:space="preserve">UN    </v>
          </cell>
          <cell r="D1875">
            <v>335.21</v>
          </cell>
        </row>
        <row r="1876">
          <cell r="A1876">
            <v>2377</v>
          </cell>
          <cell r="B1876" t="str">
            <v>DISJUNTOR TERMOMAGNETICO TRIPOLAR 200 A / 600 V, TIPO FXD / ICC - 35 KA</v>
          </cell>
          <cell r="C1876" t="str">
            <v xml:space="preserve">UN    </v>
          </cell>
          <cell r="D1876">
            <v>470.44</v>
          </cell>
        </row>
        <row r="1877">
          <cell r="A1877">
            <v>2393</v>
          </cell>
          <cell r="B1877" t="str">
            <v>DISJUNTOR TERMOMAGNETICO TRIPOLAR 250 A / 600 V, TIPO FXD</v>
          </cell>
          <cell r="C1877" t="str">
            <v xml:space="preserve">UN    </v>
          </cell>
          <cell r="D1877">
            <v>787.81</v>
          </cell>
        </row>
        <row r="1878">
          <cell r="A1878">
            <v>34705</v>
          </cell>
          <cell r="B1878" t="str">
            <v>DISJUNTOR TERMOMAGNETICO TRIPOLAR 3  X 250 A/ICC - 25 KA</v>
          </cell>
          <cell r="C1878" t="str">
            <v xml:space="preserve">UN    </v>
          </cell>
          <cell r="D1878">
            <v>689.05</v>
          </cell>
        </row>
        <row r="1879">
          <cell r="A1879">
            <v>34707</v>
          </cell>
          <cell r="B1879" t="str">
            <v>DISJUNTOR TERMOMAGNETICO TRIPOLAR 3 X 350 A/ICC - 25 KA</v>
          </cell>
          <cell r="C1879" t="str">
            <v xml:space="preserve">UN    </v>
          </cell>
          <cell r="D1879">
            <v>1276.83</v>
          </cell>
        </row>
        <row r="1880">
          <cell r="A1880">
            <v>2378</v>
          </cell>
          <cell r="B1880" t="str">
            <v>DISJUNTOR TERMOMAGNETICO TRIPOLAR 300 A / 600 V, TIPO JXD / ICC - 40 KA</v>
          </cell>
          <cell r="C1880" t="str">
            <v xml:space="preserve">UN    </v>
          </cell>
          <cell r="D1880">
            <v>1082.1600000000001</v>
          </cell>
        </row>
        <row r="1881">
          <cell r="A1881">
            <v>2379</v>
          </cell>
          <cell r="B1881" t="str">
            <v>DISJUNTOR TERMOMAGNETICO TRIPOLAR 400 A / 600 V, TIPO JXD / ICC - 40 KA</v>
          </cell>
          <cell r="C1881" t="str">
            <v xml:space="preserve">UN    </v>
          </cell>
          <cell r="D1881">
            <v>1082.1600000000001</v>
          </cell>
        </row>
        <row r="1882">
          <cell r="A1882">
            <v>2376</v>
          </cell>
          <cell r="B1882" t="str">
            <v>DISJUNTOR TERMOMAGNETICO TRIPOLAR 600 A / 600 V, TIPO LXD / ICC - 40 KA</v>
          </cell>
          <cell r="C1882" t="str">
            <v xml:space="preserve">UN    </v>
          </cell>
          <cell r="D1882">
            <v>1782.31</v>
          </cell>
        </row>
        <row r="1883">
          <cell r="A1883">
            <v>2394</v>
          </cell>
          <cell r="B1883" t="str">
            <v>DISJUNTOR TERMOMAGNETICO TRIPOLAR 800 A / 600 V, TIPO LMXD</v>
          </cell>
          <cell r="C1883" t="str">
            <v xml:space="preserve">UN    </v>
          </cell>
          <cell r="D1883">
            <v>3810.26</v>
          </cell>
        </row>
        <row r="1884">
          <cell r="A1884">
            <v>34686</v>
          </cell>
          <cell r="B1884" t="str">
            <v>DISJUNTOR TIPO DIN / IEC, MONOPOLAR DE 40  ATE 50A</v>
          </cell>
          <cell r="C1884" t="str">
            <v xml:space="preserve">UN    </v>
          </cell>
          <cell r="D1884">
            <v>11.43</v>
          </cell>
        </row>
        <row r="1885">
          <cell r="A1885">
            <v>34616</v>
          </cell>
          <cell r="B1885" t="str">
            <v>DISJUNTOR TIPO DIN/IEC, BIPOLAR DE 6 ATE 32A</v>
          </cell>
          <cell r="C1885" t="str">
            <v xml:space="preserve">UN    </v>
          </cell>
          <cell r="D1885">
            <v>44.21</v>
          </cell>
        </row>
        <row r="1886">
          <cell r="A1886">
            <v>34623</v>
          </cell>
          <cell r="B1886" t="str">
            <v>DISJUNTOR TIPO DIN/IEC, BIPOLAR 40 ATE 50A</v>
          </cell>
          <cell r="C1886" t="str">
            <v xml:space="preserve">UN    </v>
          </cell>
          <cell r="D1886">
            <v>43.53</v>
          </cell>
        </row>
        <row r="1887">
          <cell r="A1887">
            <v>34628</v>
          </cell>
          <cell r="B1887" t="str">
            <v>DISJUNTOR TIPO DIN/IEC, BIPOLAR 63 A</v>
          </cell>
          <cell r="C1887" t="str">
            <v xml:space="preserve">UN    </v>
          </cell>
          <cell r="D1887">
            <v>62.36</v>
          </cell>
        </row>
        <row r="1888">
          <cell r="A1888">
            <v>34653</v>
          </cell>
          <cell r="B1888" t="str">
            <v>DISJUNTOR TIPO DIN/IEC, MONOPOLAR DE 6  ATE  32A</v>
          </cell>
          <cell r="C1888" t="str">
            <v xml:space="preserve">UN    </v>
          </cell>
          <cell r="D1888">
            <v>7.71</v>
          </cell>
        </row>
        <row r="1889">
          <cell r="A1889">
            <v>34688</v>
          </cell>
          <cell r="B1889" t="str">
            <v>DISJUNTOR TIPO DIN/IEC, MONOPOLAR DE 63 A</v>
          </cell>
          <cell r="C1889" t="str">
            <v xml:space="preserve">UN    </v>
          </cell>
          <cell r="D1889">
            <v>13.98</v>
          </cell>
        </row>
        <row r="1890">
          <cell r="A1890">
            <v>34709</v>
          </cell>
          <cell r="B1890" t="str">
            <v>DISJUNTOR TIPO DIN/IEC, TRIPOLAR DE 10 ATE 50A</v>
          </cell>
          <cell r="C1890" t="str">
            <v xml:space="preserve">UN    </v>
          </cell>
          <cell r="D1890">
            <v>54.17</v>
          </cell>
        </row>
        <row r="1891">
          <cell r="A1891">
            <v>34714</v>
          </cell>
          <cell r="B1891" t="str">
            <v>DISJUNTOR TIPO DIN/IEC, TRIPOLAR 63 A</v>
          </cell>
          <cell r="C1891" t="str">
            <v xml:space="preserve">UN    </v>
          </cell>
          <cell r="D1891">
            <v>64.7</v>
          </cell>
        </row>
        <row r="1892">
          <cell r="A1892">
            <v>2388</v>
          </cell>
          <cell r="B1892" t="str">
            <v>DISJUNTOR TIPO NEMA, BIPOLAR 10  ATE  50 A, TENSAO MAXIMA 415 V</v>
          </cell>
          <cell r="C1892" t="str">
            <v xml:space="preserve">UN    </v>
          </cell>
          <cell r="D1892">
            <v>53.76</v>
          </cell>
        </row>
        <row r="1893">
          <cell r="A1893">
            <v>34606</v>
          </cell>
          <cell r="B1893" t="str">
            <v>DISJUNTOR TIPO NEMA, BIPOLAR 60 ATE 100A, TENSAO MAXIMA 415 V</v>
          </cell>
          <cell r="C1893" t="str">
            <v xml:space="preserve">UN    </v>
          </cell>
          <cell r="D1893">
            <v>82.47</v>
          </cell>
        </row>
        <row r="1894">
          <cell r="A1894">
            <v>34689</v>
          </cell>
          <cell r="B1894" t="str">
            <v>DISJUNTOR TIPO NEMA, MONOPOLAR DE 60 ATE 70A, TENSAO MAXIMA DE 240 V</v>
          </cell>
          <cell r="C1894" t="str">
            <v xml:space="preserve">UN    </v>
          </cell>
          <cell r="D1894">
            <v>26.25</v>
          </cell>
        </row>
        <row r="1895">
          <cell r="A1895">
            <v>2370</v>
          </cell>
          <cell r="B1895" t="str">
            <v>DISJUNTOR TIPO NEMA, MONOPOLAR 10 ATE 30A, TENSAO MAXIMA DE 240 V</v>
          </cell>
          <cell r="C1895" t="str">
            <v xml:space="preserve">UN    </v>
          </cell>
          <cell r="D1895">
            <v>9.99</v>
          </cell>
        </row>
        <row r="1896">
          <cell r="A1896">
            <v>2386</v>
          </cell>
          <cell r="B1896" t="str">
            <v>DISJUNTOR TIPO NEMA, MONOPOLAR 35  ATE  50 A, TENSAO MAXIMA DE 240 V</v>
          </cell>
          <cell r="C1896" t="str">
            <v xml:space="preserve">UN    </v>
          </cell>
          <cell r="D1896">
            <v>16.760000000000002</v>
          </cell>
        </row>
        <row r="1897">
          <cell r="A1897">
            <v>2392</v>
          </cell>
          <cell r="B1897" t="str">
            <v>DISJUNTOR TIPO NEMA, TRIPOLAR 10  ATE  50A, TENSAO MAXIMA DE 415 V</v>
          </cell>
          <cell r="C1897" t="str">
            <v xml:space="preserve">UN    </v>
          </cell>
          <cell r="D1897">
            <v>67.06</v>
          </cell>
        </row>
        <row r="1898">
          <cell r="A1898">
            <v>2373</v>
          </cell>
          <cell r="B1898" t="str">
            <v>DISJUNTOR TIPO NEMA, TRIPOLAR 60 ATE 100 A, TENSAO MAXIMA DE 415 V</v>
          </cell>
          <cell r="C1898" t="str">
            <v xml:space="preserve">UN    </v>
          </cell>
          <cell r="D1898">
            <v>94.48</v>
          </cell>
        </row>
        <row r="1899">
          <cell r="A1899">
            <v>39465</v>
          </cell>
          <cell r="B1899" t="str">
            <v>DISPOSITIVO DPS CLASSE II, 1 POLO, TENSAO MAXIMA DE 175 V, CORRENTE MAXIMA DE *20* KA (TIPO AC)</v>
          </cell>
          <cell r="C1899" t="str">
            <v xml:space="preserve">UN    </v>
          </cell>
          <cell r="D1899">
            <v>57.72</v>
          </cell>
        </row>
        <row r="1900">
          <cell r="A1900">
            <v>39466</v>
          </cell>
          <cell r="B1900" t="str">
            <v>DISPOSITIVO DPS CLASSE II, 1 POLO, TENSAO MAXIMA DE 175 V, CORRENTE MAXIMA DE *30* KA (TIPO AC)</v>
          </cell>
          <cell r="C1900" t="str">
            <v xml:space="preserve">UN    </v>
          </cell>
          <cell r="D1900">
            <v>64.930000000000007</v>
          </cell>
        </row>
        <row r="1901">
          <cell r="A1901">
            <v>39467</v>
          </cell>
          <cell r="B1901" t="str">
            <v>DISPOSITIVO DPS CLASSE II, 1 POLO, TENSAO MAXIMA DE 175 V, CORRENTE MAXIMA DE *45* KA (TIPO AC)</v>
          </cell>
          <cell r="C1901" t="str">
            <v xml:space="preserve">UN    </v>
          </cell>
          <cell r="D1901">
            <v>83.06</v>
          </cell>
        </row>
        <row r="1902">
          <cell r="A1902">
            <v>39468</v>
          </cell>
          <cell r="B1902" t="str">
            <v>DISPOSITIVO DPS CLASSE II, 1 POLO, TENSAO MAXIMA DE 175 V, CORRENTE MAXIMA DE *90* KA (TIPO AC)</v>
          </cell>
          <cell r="C1902" t="str">
            <v xml:space="preserve">UN    </v>
          </cell>
          <cell r="D1902">
            <v>147.63</v>
          </cell>
        </row>
        <row r="1903">
          <cell r="A1903">
            <v>39469</v>
          </cell>
          <cell r="B1903" t="str">
            <v>DISPOSITIVO DPS CLASSE II, 1 POLO, TENSAO MAXIMA DE 275 V, CORRENTE MAXIMA DE *20* KA (TIPO AC)</v>
          </cell>
          <cell r="C1903" t="str">
            <v xml:space="preserve">UN    </v>
          </cell>
          <cell r="D1903">
            <v>60.13</v>
          </cell>
        </row>
        <row r="1904">
          <cell r="A1904">
            <v>39470</v>
          </cell>
          <cell r="B1904" t="str">
            <v>DISPOSITIVO DPS CLASSE II, 1 POLO, TENSAO MAXIMA DE 275 V, CORRENTE MAXIMA DE *30* KA (TIPO AC)</v>
          </cell>
          <cell r="C1904" t="str">
            <v xml:space="preserve">UN    </v>
          </cell>
          <cell r="D1904">
            <v>73.89</v>
          </cell>
        </row>
        <row r="1905">
          <cell r="A1905">
            <v>39471</v>
          </cell>
          <cell r="B1905" t="str">
            <v>DISPOSITIVO DPS CLASSE II, 1 POLO, TENSAO MAXIMA DE 275 V, CORRENTE MAXIMA DE *45* KA (TIPO AC)</v>
          </cell>
          <cell r="C1905" t="str">
            <v xml:space="preserve">UN    </v>
          </cell>
          <cell r="D1905">
            <v>88.8</v>
          </cell>
        </row>
        <row r="1906">
          <cell r="A1906">
            <v>39472</v>
          </cell>
          <cell r="B1906" t="str">
            <v>DISPOSITIVO DPS CLASSE II, 1 POLO, TENSAO MAXIMA DE 275 V, CORRENTE MAXIMA DE *90* KA (TIPO AC)</v>
          </cell>
          <cell r="C1906" t="str">
            <v xml:space="preserve">UN    </v>
          </cell>
          <cell r="D1906">
            <v>154.28</v>
          </cell>
        </row>
        <row r="1907">
          <cell r="A1907">
            <v>39473</v>
          </cell>
          <cell r="B1907" t="str">
            <v>DISPOSITIVO DPS CLASSE II, 1 POLO, TENSAO MAXIMA DE 385 V, CORRENTE MAXIMA DE *20* KA (TIPO AC)</v>
          </cell>
          <cell r="C1907" t="str">
            <v xml:space="preserve">UN    </v>
          </cell>
          <cell r="D1907">
            <v>99.67</v>
          </cell>
        </row>
        <row r="1908">
          <cell r="A1908">
            <v>39474</v>
          </cell>
          <cell r="B1908" t="str">
            <v>DISPOSITIVO DPS CLASSE II, 1 POLO, TENSAO MAXIMA DE 385 V, CORRENTE MAXIMA DE *30* KA (TIPO AC)</v>
          </cell>
          <cell r="C1908" t="str">
            <v xml:space="preserve">UN    </v>
          </cell>
          <cell r="D1908">
            <v>106.25</v>
          </cell>
        </row>
        <row r="1909">
          <cell r="A1909">
            <v>39475</v>
          </cell>
          <cell r="B1909" t="str">
            <v>DISPOSITIVO DPS CLASSE II, 1 POLO, TENSAO MAXIMA DE 385 V, CORRENTE MAXIMA DE *45* KA (TIPO AC)</v>
          </cell>
          <cell r="C1909" t="str">
            <v xml:space="preserve">UN    </v>
          </cell>
          <cell r="D1909">
            <v>120.55</v>
          </cell>
        </row>
        <row r="1910">
          <cell r="A1910">
            <v>39476</v>
          </cell>
          <cell r="B1910" t="str">
            <v>DISPOSITIVO DPS CLASSE II, 1 POLO, TENSAO MAXIMA DE 385 V, CORRENTE MAXIMA DE *90* KA (TIPO AC)</v>
          </cell>
          <cell r="C1910" t="str">
            <v xml:space="preserve">UN    </v>
          </cell>
          <cell r="D1910">
            <v>226.93</v>
          </cell>
        </row>
        <row r="1911">
          <cell r="A1911">
            <v>39477</v>
          </cell>
          <cell r="B1911" t="str">
            <v>DISPOSITIVO DPS CLASSE II, 1 POLO, TENSAO MAXIMA DE 460 V, CORRENTE MAXIMA DE *20* KA (TIPO AC)</v>
          </cell>
          <cell r="C1911" t="str">
            <v xml:space="preserve">UN    </v>
          </cell>
          <cell r="D1911">
            <v>111.19</v>
          </cell>
        </row>
        <row r="1912">
          <cell r="A1912">
            <v>39478</v>
          </cell>
          <cell r="B1912" t="str">
            <v>DISPOSITIVO DPS CLASSE II, 1 POLO, TENSAO MAXIMA DE 460 V, CORRENTE MAXIMA DE *30* KA (TIPO AC)</v>
          </cell>
          <cell r="C1912" t="str">
            <v xml:space="preserve">UN    </v>
          </cell>
          <cell r="D1912">
            <v>114.63</v>
          </cell>
        </row>
        <row r="1913">
          <cell r="A1913">
            <v>39479</v>
          </cell>
          <cell r="B1913" t="str">
            <v>DISPOSITIVO DPS CLASSE II, 1 POLO, TENSAO MAXIMA DE 460 V, CORRENTE MAXIMA DE *45* KA (TIPO AC)</v>
          </cell>
          <cell r="C1913" t="str">
            <v xml:space="preserve">UN    </v>
          </cell>
          <cell r="D1913">
            <v>135.06</v>
          </cell>
        </row>
        <row r="1914">
          <cell r="A1914">
            <v>39480</v>
          </cell>
          <cell r="B1914" t="str">
            <v>DISPOSITIVO DPS CLASSE II, 1 POLO, TENSAO MAXIMA DE 460 V, CORRENTE MAXIMA DE *90* KA (TIPO AC)</v>
          </cell>
          <cell r="C1914" t="str">
            <v xml:space="preserve">UN    </v>
          </cell>
          <cell r="D1914">
            <v>278.69</v>
          </cell>
        </row>
        <row r="1915">
          <cell r="A1915">
            <v>39459</v>
          </cell>
          <cell r="B1915" t="str">
            <v>DISPOSITIVO DR, 2 POLOS, SENSIBILIDADE DE 30 MA, CORRENTE DE 100 A, TIPO AC</v>
          </cell>
          <cell r="C1915" t="str">
            <v xml:space="preserve">UN    </v>
          </cell>
          <cell r="D1915">
            <v>236.54</v>
          </cell>
        </row>
        <row r="1916">
          <cell r="A1916">
            <v>39445</v>
          </cell>
          <cell r="B1916" t="str">
            <v>DISPOSITIVO DR, 2 POLOS, SENSIBILIDADE DE 30 MA, CORRENTE DE 25 A, TIPO AC</v>
          </cell>
          <cell r="C1916" t="str">
            <v xml:space="preserve">UN    </v>
          </cell>
          <cell r="D1916">
            <v>118.77</v>
          </cell>
        </row>
        <row r="1917">
          <cell r="A1917">
            <v>39446</v>
          </cell>
          <cell r="B1917" t="str">
            <v>DISPOSITIVO DR, 2 POLOS, SENSIBILIDADE DE 30 MA, CORRENTE DE 40 A, TIPO AC</v>
          </cell>
          <cell r="C1917" t="str">
            <v xml:space="preserve">UN    </v>
          </cell>
          <cell r="D1917">
            <v>120.88</v>
          </cell>
        </row>
        <row r="1918">
          <cell r="A1918">
            <v>39447</v>
          </cell>
          <cell r="B1918" t="str">
            <v>DISPOSITIVO DR, 2 POLOS, SENSIBILIDADE DE 30 MA, CORRENTE DE 63 A, TIPO AC</v>
          </cell>
          <cell r="C1918" t="str">
            <v xml:space="preserve">UN    </v>
          </cell>
          <cell r="D1918">
            <v>129.27000000000001</v>
          </cell>
        </row>
        <row r="1919">
          <cell r="A1919">
            <v>39448</v>
          </cell>
          <cell r="B1919" t="str">
            <v>DISPOSITIVO DR, 2 POLOS, SENSIBILIDADE DE 30 MA, CORRENTE DE 80 A, TIPO AC</v>
          </cell>
          <cell r="C1919" t="str">
            <v xml:space="preserve">UN    </v>
          </cell>
          <cell r="D1919">
            <v>220.42</v>
          </cell>
        </row>
        <row r="1920">
          <cell r="A1920">
            <v>39450</v>
          </cell>
          <cell r="B1920" t="str">
            <v>DISPOSITIVO DR, 2 POLOS, SENSIBILIDADE DE 300 MA, CORRENTE DE 25 A, TIPO AC</v>
          </cell>
          <cell r="C1920" t="str">
            <v xml:space="preserve">UN    </v>
          </cell>
          <cell r="D1920">
            <v>134.47999999999999</v>
          </cell>
        </row>
        <row r="1921">
          <cell r="A1921">
            <v>39451</v>
          </cell>
          <cell r="B1921" t="str">
            <v>DISPOSITIVO DR, 2 POLOS, SENSIBILIDADE DE 300 MA, CORRENTE DE 40 A, TIPO AC</v>
          </cell>
          <cell r="C1921" t="str">
            <v xml:space="preserve">UN    </v>
          </cell>
          <cell r="D1921">
            <v>146.68</v>
          </cell>
        </row>
        <row r="1922">
          <cell r="A1922">
            <v>39452</v>
          </cell>
          <cell r="B1922" t="str">
            <v>DISPOSITIVO DR, 2 POLOS, SENSIBILIDADE DE 300 MA, CORRENTE DE 63 A, TIPO AC</v>
          </cell>
          <cell r="C1922" t="str">
            <v xml:space="preserve">UN    </v>
          </cell>
          <cell r="D1922">
            <v>147.56</v>
          </cell>
        </row>
        <row r="1923">
          <cell r="A1923">
            <v>39523</v>
          </cell>
          <cell r="B1923" t="str">
            <v>DISPOSITIVO DR, 2 POLOS, SENSIBILIDADE DE 300 MA, CORRENTE DE 80 A, TIPO  AC</v>
          </cell>
          <cell r="C1923" t="str">
            <v xml:space="preserve">UN    </v>
          </cell>
          <cell r="D1923">
            <v>246.94</v>
          </cell>
        </row>
        <row r="1924">
          <cell r="A1924">
            <v>39449</v>
          </cell>
          <cell r="B1924" t="str">
            <v>DISPOSITIVO DR, 4 POLOS, SENSIBILIDADE DE 30 MA, CORRENTE DE 100 A, TIPO AC</v>
          </cell>
          <cell r="C1924" t="str">
            <v xml:space="preserve">UN    </v>
          </cell>
          <cell r="D1924">
            <v>273.47000000000003</v>
          </cell>
        </row>
        <row r="1925">
          <cell r="A1925">
            <v>39455</v>
          </cell>
          <cell r="B1925" t="str">
            <v>DISPOSITIVO DR, 4 POLOS, SENSIBILIDADE DE 30 MA, CORRENTE DE 25 A, TIPO AC</v>
          </cell>
          <cell r="C1925" t="str">
            <v xml:space="preserve">UN    </v>
          </cell>
          <cell r="D1925">
            <v>135.32</v>
          </cell>
        </row>
        <row r="1926">
          <cell r="A1926">
            <v>39456</v>
          </cell>
          <cell r="B1926" t="str">
            <v>DISPOSITIVO DR, 4 POLOS, SENSIBILIDADE DE 30 MA, CORRENTE DE 40 A, TIPO AC</v>
          </cell>
          <cell r="C1926" t="str">
            <v xml:space="preserve">UN    </v>
          </cell>
          <cell r="D1926">
            <v>135.41999999999999</v>
          </cell>
        </row>
        <row r="1927">
          <cell r="A1927">
            <v>39457</v>
          </cell>
          <cell r="B1927" t="str">
            <v>DISPOSITIVO DR, 4 POLOS, SENSIBILIDADE DE 30 MA, CORRENTE DE 63 A, TIPO AC</v>
          </cell>
          <cell r="C1927" t="str">
            <v xml:space="preserve">UN    </v>
          </cell>
          <cell r="D1927">
            <v>147.63</v>
          </cell>
        </row>
        <row r="1928">
          <cell r="A1928">
            <v>39458</v>
          </cell>
          <cell r="B1928" t="str">
            <v>DISPOSITIVO DR, 4 POLOS, SENSIBILIDADE DE 30 MA, CORRENTE DE 80 A, TIPO AC</v>
          </cell>
          <cell r="C1928" t="str">
            <v xml:space="preserve">UN    </v>
          </cell>
          <cell r="D1928">
            <v>275.48</v>
          </cell>
        </row>
        <row r="1929">
          <cell r="A1929">
            <v>39464</v>
          </cell>
          <cell r="B1929" t="str">
            <v>DISPOSITIVO DR, 4 POLOS, SENSIBILIDADE DE 300 MA, CORRENTE DE 100 A, TIPO AC</v>
          </cell>
          <cell r="C1929" t="str">
            <v xml:space="preserve">UN    </v>
          </cell>
          <cell r="D1929">
            <v>443</v>
          </cell>
        </row>
        <row r="1930">
          <cell r="A1930">
            <v>39460</v>
          </cell>
          <cell r="B1930" t="str">
            <v>DISPOSITIVO DR, 4 POLOS, SENSIBILIDADE DE 300 MA, CORRENTE DE 25 A, TIPO AC</v>
          </cell>
          <cell r="C1930" t="str">
            <v xml:space="preserve">UN    </v>
          </cell>
          <cell r="D1930">
            <v>168.02</v>
          </cell>
        </row>
        <row r="1931">
          <cell r="A1931">
            <v>39461</v>
          </cell>
          <cell r="B1931" t="str">
            <v>DISPOSITIVO DR, 4 POLOS, SENSIBILIDADE DE 300 MA, CORRENTE DE 40 A, TIPO AC</v>
          </cell>
          <cell r="C1931" t="str">
            <v xml:space="preserve">UN    </v>
          </cell>
          <cell r="D1931">
            <v>196.88</v>
          </cell>
        </row>
        <row r="1932">
          <cell r="A1932">
            <v>39462</v>
          </cell>
          <cell r="B1932" t="str">
            <v>DISPOSITIVO DR, 4 POLOS, SENSIBILIDADE DE 300 MA, CORRENTE DE 63 A, TIPO AC</v>
          </cell>
          <cell r="C1932" t="str">
            <v xml:space="preserve">UN    </v>
          </cell>
          <cell r="D1932">
            <v>189.74</v>
          </cell>
        </row>
        <row r="1933">
          <cell r="A1933">
            <v>39463</v>
          </cell>
          <cell r="B1933" t="str">
            <v>DISPOSITIVO DR, 4 POLOS, SENSIBILIDADE DE 300 MA, CORRENTE DE 80 A, TIPO AC</v>
          </cell>
          <cell r="C1933" t="str">
            <v xml:space="preserve">UN    </v>
          </cell>
          <cell r="D1933">
            <v>439.56</v>
          </cell>
        </row>
        <row r="1934">
          <cell r="A1934">
            <v>26039</v>
          </cell>
          <cell r="B1934" t="str">
            <v>DISTRIBUIDOR DE AGREGADOS AUTOPROPELIDO, CAP 3 M3, A DIESEL, 6 CC, 176 CV</v>
          </cell>
          <cell r="C1934" t="str">
            <v xml:space="preserve">UN    </v>
          </cell>
          <cell r="D1934">
            <v>249588.52</v>
          </cell>
        </row>
        <row r="1935">
          <cell r="A1935">
            <v>2401</v>
          </cell>
          <cell r="B1935" t="str">
            <v>DISTRIBUIDOR DE AGREGADOS REBOCAVEL, CAPACIDADE 1,9 M3, LARGURA DE TRABALHO 3,66 M</v>
          </cell>
          <cell r="C1935" t="str">
            <v xml:space="preserve">UN    </v>
          </cell>
          <cell r="D1935">
            <v>57408.12</v>
          </cell>
        </row>
        <row r="1936">
          <cell r="A1936">
            <v>38870</v>
          </cell>
          <cell r="B1936" t="str">
            <v>DISTRIBUIDOR METALICO, COM ROSCA, 2 SAIDAS, DN 1" X 1/2", PARA CONEXAO COM ANEL DESLIZANTE EM TUBO PEX</v>
          </cell>
          <cell r="C1936" t="str">
            <v xml:space="preserve">UN    </v>
          </cell>
          <cell r="D1936">
            <v>35.979999999999997</v>
          </cell>
        </row>
        <row r="1937">
          <cell r="A1937">
            <v>38869</v>
          </cell>
          <cell r="B1937" t="str">
            <v>DISTRIBUIDOR METALICO, COM ROSCA, 2 SAIDAS, DN 3/4" X 1/2", PARA CONEXAO COM ANEL DESLIZANTE EM TUBO PEX</v>
          </cell>
          <cell r="C1937" t="str">
            <v xml:space="preserve">UN    </v>
          </cell>
          <cell r="D1937">
            <v>31.74</v>
          </cell>
        </row>
        <row r="1938">
          <cell r="A1938">
            <v>38872</v>
          </cell>
          <cell r="B1938" t="str">
            <v>DISTRIBUIDOR METALICO, COM ROSCA, 3 SAIDAS, DN 1" X 1/2", PARA CONEXAO COM ANEL DESLIZANTE EM TUBO PEX</v>
          </cell>
          <cell r="C1938" t="str">
            <v xml:space="preserve">UN    </v>
          </cell>
          <cell r="D1938">
            <v>49.15</v>
          </cell>
        </row>
        <row r="1939">
          <cell r="A1939">
            <v>38871</v>
          </cell>
          <cell r="B1939" t="str">
            <v>DISTRIBUIDOR METALICO, COM ROSCA, 3 SAIDAS, DN 3/4" X 1/2", PARA CONEXAO COM ANEL DESLIZANTE EM TUBO PEX</v>
          </cell>
          <cell r="C1939" t="str">
            <v xml:space="preserve">UN    </v>
          </cell>
          <cell r="D1939">
            <v>39.54</v>
          </cell>
        </row>
        <row r="1940">
          <cell r="A1940">
            <v>39283</v>
          </cell>
          <cell r="B1940" t="str">
            <v>DISTRIBUIDOR, PLASTICO, 2 SAIDAS, DN 32 X 16 MM, PARA CONEXAO COM CRIMPAGEM EM TUBO PEX</v>
          </cell>
          <cell r="C1940" t="str">
            <v xml:space="preserve">UN    </v>
          </cell>
          <cell r="D1940">
            <v>123.16</v>
          </cell>
        </row>
        <row r="1941">
          <cell r="A1941">
            <v>39284</v>
          </cell>
          <cell r="B1941" t="str">
            <v>DISTRIBUIDOR, PLASTICO, 2 SAIDAS, DN 32 X 20 MM, PARA CONEXAO COM CRIMPAGEM EM TUBO PEX</v>
          </cell>
          <cell r="C1941" t="str">
            <v xml:space="preserve">UN    </v>
          </cell>
          <cell r="D1941">
            <v>133.46</v>
          </cell>
        </row>
        <row r="1942">
          <cell r="A1942">
            <v>39285</v>
          </cell>
          <cell r="B1942" t="str">
            <v>DISTRIBUIDOR, PLASTICO, 2 SAIDAS, DN 32 X 25 MM, PARA CONEXAO COM CRIMPAGEM EM TUBO PEX</v>
          </cell>
          <cell r="C1942" t="str">
            <v xml:space="preserve">UN    </v>
          </cell>
          <cell r="D1942">
            <v>135.38</v>
          </cell>
        </row>
        <row r="1943">
          <cell r="A1943">
            <v>39286</v>
          </cell>
          <cell r="B1943" t="str">
            <v>DISTRIBUIDOR, PLASTICO, 3 SAIDAS, DN 32 X 16 MM, PARA CONEXAO COM CRIMPAGEM EM TUBO PEX</v>
          </cell>
          <cell r="C1943" t="str">
            <v xml:space="preserve">UN    </v>
          </cell>
          <cell r="D1943">
            <v>132.43</v>
          </cell>
        </row>
        <row r="1944">
          <cell r="A1944">
            <v>39287</v>
          </cell>
          <cell r="B1944" t="str">
            <v>DISTRIBUIDOR, PLASTICO, 3 SAIDAS, DN 32 X 20 MM, PARA CONEXAO COM CRIMPAGEM EM TUBO PEX</v>
          </cell>
          <cell r="C1944" t="str">
            <v xml:space="preserve">UN    </v>
          </cell>
          <cell r="D1944">
            <v>155.5</v>
          </cell>
        </row>
        <row r="1945">
          <cell r="A1945">
            <v>39288</v>
          </cell>
          <cell r="B1945" t="str">
            <v>DISTRIBUIDOR, PLASTICO, 3 SAIDAS, DN 32 X 25 MM, PARA CONEXAO COM CRIMPAGEM EM TUBO PEX</v>
          </cell>
          <cell r="C1945" t="str">
            <v xml:space="preserve">UN    </v>
          </cell>
          <cell r="D1945">
            <v>165.96</v>
          </cell>
        </row>
        <row r="1946">
          <cell r="A1946">
            <v>2414</v>
          </cell>
          <cell r="B1946" t="str">
            <v>DIVISORIA (N2) PAINEL/VIDRO - PAINEL C/ MSO/COMEIA E=35MM - MONTANTE/RODAPE DUPLO ACO GALV PINTADO - COLOCADA</v>
          </cell>
          <cell r="C1946" t="str">
            <v xml:space="preserve">M2    </v>
          </cell>
          <cell r="D1946">
            <v>104.95</v>
          </cell>
        </row>
        <row r="1947">
          <cell r="A1947">
            <v>2413</v>
          </cell>
          <cell r="B1947" t="str">
            <v>DIVISORIA (N2) PAINEL/VIDRO - PAINEL C/ MSO/COMEIA E=35MM - PERFIS SIMPLES ACO GALV PINTADO - COLOCADA</v>
          </cell>
          <cell r="C1947" t="str">
            <v xml:space="preserve">M2    </v>
          </cell>
          <cell r="D1947">
            <v>100.97</v>
          </cell>
        </row>
        <row r="1948">
          <cell r="A1948">
            <v>2405</v>
          </cell>
          <cell r="B1948" t="str">
            <v>DIVISORIA (N2) PAINEL/VIDRO - PAINEL MSO/COMEIA E=35MM - MONTANTE/RODAPE DUPLO ALUMINIO ANOD NAT - COLOCADA</v>
          </cell>
          <cell r="C1948" t="str">
            <v xml:space="preserve">M2    </v>
          </cell>
          <cell r="D1948">
            <v>117.52</v>
          </cell>
        </row>
        <row r="1949">
          <cell r="A1949">
            <v>13361</v>
          </cell>
          <cell r="B1949" t="str">
            <v>DIVISORIA (N2) PAINEL/VIDRO - PAINEL MSO/COMEIA E=35MM - PERFIS SIMPLES ALUMINIO ANOD NAT - COLOCADA</v>
          </cell>
          <cell r="C1949" t="str">
            <v xml:space="preserve">M2    </v>
          </cell>
          <cell r="D1949">
            <v>98.31</v>
          </cell>
        </row>
        <row r="1950">
          <cell r="A1950">
            <v>11987</v>
          </cell>
          <cell r="B1950" t="str">
            <v>DIVISORIA (N2) PAINEL/VIDRO - PAINEL VERMICULITA E=35MM - PERFIS SIMPLES ALUMINIO ANOD NATURAL - COLOCADA</v>
          </cell>
          <cell r="C1950" t="str">
            <v xml:space="preserve">M2    </v>
          </cell>
          <cell r="D1950">
            <v>263.05</v>
          </cell>
        </row>
        <row r="1951">
          <cell r="A1951">
            <v>2416</v>
          </cell>
          <cell r="B1951" t="str">
            <v>DIVISORIA (N3) PAINEL/VIDRO/PAINEL MSO/COMEIA E=35MM - MONTANTE/RODAPE DUPLO ACO GALV PINTADO - COLOCADA</v>
          </cell>
          <cell r="C1951" t="str">
            <v xml:space="preserve">M2    </v>
          </cell>
          <cell r="D1951">
            <v>116.38</v>
          </cell>
        </row>
        <row r="1952">
          <cell r="A1952">
            <v>2412</v>
          </cell>
          <cell r="B1952" t="str">
            <v>DIVISORIA (N3) PAINEL/VIDRO/PAINEL MSO/COMEIA E=35MM - MONTANTE/RODAPE DUPLO ALUMINIO ANOD NAT - COLOCADA</v>
          </cell>
          <cell r="C1952" t="str">
            <v xml:space="preserve">M2    </v>
          </cell>
          <cell r="D1952">
            <v>112.39</v>
          </cell>
        </row>
        <row r="1953">
          <cell r="A1953">
            <v>2411</v>
          </cell>
          <cell r="B1953" t="str">
            <v>DIVISORIA (N3) PAINEL/VIDRO/PAINEL MSO/COMEIA E=35MM - PERFIS SIMPLES ACO GALV PINTADO - COLOCADA</v>
          </cell>
          <cell r="C1953" t="str">
            <v xml:space="preserve">M2    </v>
          </cell>
          <cell r="D1953">
            <v>98.31</v>
          </cell>
        </row>
        <row r="1954">
          <cell r="A1954">
            <v>2406</v>
          </cell>
          <cell r="B1954" t="str">
            <v>DIVISORIA (N3) PAINEL/VIDRO/PAINEL MSO/COMEIA E=35MM - PERFIS SIMPLES ALUMINIO ANOD NAT - COLOCADA</v>
          </cell>
          <cell r="C1954" t="str">
            <v xml:space="preserve">M2    </v>
          </cell>
          <cell r="D1954">
            <v>95.65</v>
          </cell>
        </row>
        <row r="1955">
          <cell r="A1955">
            <v>10571</v>
          </cell>
          <cell r="B1955" t="str">
            <v>DIVISORIA (N3) PAINEL/VIDRO/PAINEL VERMICULITA E=35MM - MONTANTE/RODAPE DUPLO ALUMINIO ANOD NATURAL - COLOCADA</v>
          </cell>
          <cell r="C1955" t="str">
            <v xml:space="preserve">M2    </v>
          </cell>
          <cell r="D1955">
            <v>233.82</v>
          </cell>
        </row>
        <row r="1956">
          <cell r="A1956">
            <v>11985</v>
          </cell>
          <cell r="B1956" t="str">
            <v>DIVISORIA (N3) PAINEL/VIDRO/PAINEL VERMICULITA E=35MM - MONTANTE/RODAPE PERFIL DUPLO ACO GALV PINTADO - COLOCADA</v>
          </cell>
          <cell r="C1956" t="str">
            <v xml:space="preserve">M2    </v>
          </cell>
          <cell r="D1956">
            <v>225.85</v>
          </cell>
        </row>
        <row r="1957">
          <cell r="A1957">
            <v>2410</v>
          </cell>
          <cell r="B1957" t="str">
            <v>DIVISORIA CEGA (N1) - PAINEL MSO/COMEIA E=35MM - MONTANTE/RODAPE DUPLO   ACO GALV PINTADO - COLOCADA</v>
          </cell>
          <cell r="C1957" t="str">
            <v xml:space="preserve">M2    </v>
          </cell>
          <cell r="D1957">
            <v>99.64</v>
          </cell>
        </row>
        <row r="1958">
          <cell r="A1958">
            <v>2417</v>
          </cell>
          <cell r="B1958" t="str">
            <v>DIVISORIA CEGA (N1) - PAINEL MSO/COMEIA E=35MM - MONTANTE/RODAPE DUPLO ALUMINIO ANOD NAT - COLOCADA</v>
          </cell>
          <cell r="C1958" t="str">
            <v xml:space="preserve">M2    </v>
          </cell>
          <cell r="D1958">
            <v>106.28</v>
          </cell>
        </row>
        <row r="1959">
          <cell r="A1959">
            <v>2415</v>
          </cell>
          <cell r="B1959" t="str">
            <v>DIVISORIA CEGA (N1) - PAINEL MSO/COMEIA E=35MM - PERFIS SIMPLES ACO GALV PINTADO   - COLOCADA</v>
          </cell>
          <cell r="C1959" t="str">
            <v xml:space="preserve">M2    </v>
          </cell>
          <cell r="D1959">
            <v>85.02</v>
          </cell>
        </row>
        <row r="1960">
          <cell r="A1960">
            <v>13360</v>
          </cell>
          <cell r="B1960" t="str">
            <v>DIVISORIA CEGA (N1) - PAINEL MSO/COMEIA E=35MM - PERFIS SIMPLES ALUMINIO ANOD NAT - COLOCADA</v>
          </cell>
          <cell r="C1960" t="str">
            <v xml:space="preserve">M2    </v>
          </cell>
          <cell r="D1960">
            <v>85.02</v>
          </cell>
        </row>
        <row r="1961">
          <cell r="A1961">
            <v>11983</v>
          </cell>
          <cell r="B1961" t="str">
            <v>DIVISORIA CEGA (N1) - PAINEL VERMICULITA E=35MM - MONTANTE/RODAPE PERFIS SIMPLES ACO GALV PINTADO - COLOCADA</v>
          </cell>
          <cell r="C1961" t="str">
            <v xml:space="preserve">M2    </v>
          </cell>
          <cell r="D1961">
            <v>207.25</v>
          </cell>
        </row>
        <row r="1962">
          <cell r="A1962">
            <v>11986</v>
          </cell>
          <cell r="B1962" t="str">
            <v>DIVISORIA CEGA (N1) - PAINEL VERMICULITA E=35MM - PERFIS SIMPLES ALUMINIO ANOD NATURAL - COLOCADA</v>
          </cell>
          <cell r="C1962" t="str">
            <v xml:space="preserve">M2    </v>
          </cell>
          <cell r="D1962">
            <v>252.42</v>
          </cell>
        </row>
        <row r="1963">
          <cell r="A1963">
            <v>25976</v>
          </cell>
          <cell r="B1963" t="str">
            <v>DIVISORIA EM GRANITO, COM DUAS FACES POLIDAS, TIPO ANDORINHA/ QUARTZ/ CASTELO/ CORUMBA OU OUTROS EQUIVALENTES DA REGIAO, E=  *3,0* CM</v>
          </cell>
          <cell r="C1963" t="str">
            <v xml:space="preserve">M2    </v>
          </cell>
          <cell r="D1963">
            <v>602.26</v>
          </cell>
        </row>
        <row r="1964">
          <cell r="A1964">
            <v>10629</v>
          </cell>
          <cell r="B1964" t="str">
            <v>DIVISORIA EM MARMORE, COM DUAS FACES POLIDAS, BRANCO COMUM, E=  *3,0* CM</v>
          </cell>
          <cell r="C1964" t="str">
            <v xml:space="preserve">M2    </v>
          </cell>
          <cell r="D1964">
            <v>493.87</v>
          </cell>
        </row>
        <row r="1965">
          <cell r="A1965">
            <v>10698</v>
          </cell>
          <cell r="B1965" t="str">
            <v>DIVISORIA, PLACA  PRE-MOLDADA EM GRANILITE, MARMORITE OU GRANITINA,  E = *3 CM</v>
          </cell>
          <cell r="C1965" t="str">
            <v xml:space="preserve">M2    </v>
          </cell>
          <cell r="D1965">
            <v>135.82</v>
          </cell>
        </row>
        <row r="1966">
          <cell r="A1966">
            <v>40521</v>
          </cell>
          <cell r="B1966" t="str">
            <v>DOBRADEIRA ELETROMECANICA DE VERGALHAO, PARA ACO DE DIAMETRO ATE 1 1/2 "Â, MOTOR ELETRICO TRIFASICO, POTENCIA DE 3 HP ATE 5 HP</v>
          </cell>
          <cell r="C1966" t="str">
            <v xml:space="preserve">UN    </v>
          </cell>
          <cell r="D1966">
            <v>100113.45</v>
          </cell>
        </row>
        <row r="1967">
          <cell r="A1967">
            <v>2432</v>
          </cell>
          <cell r="B1967" t="str">
            <v>DOBRADICA EM ACO/FERRO, 3 1/2" X  3", E= 1,9  A 2 MM, COM ANEL,  CROMADO OU ZINCADO, TAMPA BOLA, COM PARAFUSOS</v>
          </cell>
          <cell r="C1967" t="str">
            <v xml:space="preserve">UN    </v>
          </cell>
          <cell r="D1967">
            <v>17.48</v>
          </cell>
        </row>
        <row r="1968">
          <cell r="A1968">
            <v>2433</v>
          </cell>
          <cell r="B1968" t="str">
            <v>DOBRADICA EM ACO/FERRO, 3" X 2 1/2", E= 1,2 A 1,8 MM, SEM ANEL,  CROMADO OU ZINCADO, TAMPA CHATA, COM PARAFUSOS</v>
          </cell>
          <cell r="C1968" t="str">
            <v xml:space="preserve">UN    </v>
          </cell>
          <cell r="D1968">
            <v>5.92</v>
          </cell>
        </row>
        <row r="1969">
          <cell r="A1969">
            <v>2420</v>
          </cell>
          <cell r="B1969" t="str">
            <v>DOBRADICA EM ACO/FERRO, 3" X 2 1/2", E= 1,9 A 2 MM, SEM ANEL,  CROMADO OU ZINCADO, TAMPA BOLA, COM PARAFUSOS</v>
          </cell>
          <cell r="C1969" t="str">
            <v xml:space="preserve">UN    </v>
          </cell>
          <cell r="D1969">
            <v>10.17</v>
          </cell>
        </row>
        <row r="1970">
          <cell r="A1970">
            <v>11447</v>
          </cell>
          <cell r="B1970" t="str">
            <v>DOBRADICA EM LATAO, 3 " X 2 1/2 ", E= 1,9 A 2 MM, COM ANEL, CROMADO, TAMPA BOLA, COM PARAFUSOS</v>
          </cell>
          <cell r="C1970" t="str">
            <v xml:space="preserve">UN    </v>
          </cell>
          <cell r="D1970">
            <v>20.100000000000001</v>
          </cell>
        </row>
        <row r="1971">
          <cell r="A1971">
            <v>11451</v>
          </cell>
          <cell r="B1971" t="str">
            <v>DOBRADICA TIPO VAI-E-VEM EM ACO/FERRO, TAMANHO 3'', GALVANIZADO, COM PARAFUSOS</v>
          </cell>
          <cell r="C1971" t="str">
            <v xml:space="preserve">UN    </v>
          </cell>
          <cell r="D1971">
            <v>53.89</v>
          </cell>
        </row>
        <row r="1972">
          <cell r="A1972">
            <v>11116</v>
          </cell>
          <cell r="B1972" t="str">
            <v>DOMOS INDIVIDUAL EM ACRILICO BRANCO *95 X 95* CM, SEM INSTALACAO</v>
          </cell>
          <cell r="C1972" t="str">
            <v xml:space="preserve">UN    </v>
          </cell>
          <cell r="D1972">
            <v>525.94000000000005</v>
          </cell>
        </row>
        <row r="1973">
          <cell r="A1973">
            <v>38411</v>
          </cell>
          <cell r="B1973" t="str">
            <v>DOSADOR DE AREIA, CAPACIDADE DE *26* LITROS</v>
          </cell>
          <cell r="C1973" t="str">
            <v xml:space="preserve">UN    </v>
          </cell>
          <cell r="D1973">
            <v>1199.83</v>
          </cell>
        </row>
        <row r="1974">
          <cell r="A1974">
            <v>1370</v>
          </cell>
          <cell r="B1974" t="str">
            <v>DUCHA HIGIENICA PLASTICA COM REGISTRO METALICO 1/2 "</v>
          </cell>
          <cell r="C1974" t="str">
            <v xml:space="preserve">UN    </v>
          </cell>
          <cell r="D1974">
            <v>86.81</v>
          </cell>
        </row>
        <row r="1975">
          <cell r="A1975">
            <v>38189</v>
          </cell>
          <cell r="B1975" t="str">
            <v>DUCHA METALICA DE PAREDE, ARTICULAVEL, COM BRACO/CANO, SEM DESVIADOR</v>
          </cell>
          <cell r="C1975" t="str">
            <v xml:space="preserve">UN    </v>
          </cell>
          <cell r="D1975">
            <v>186.24</v>
          </cell>
        </row>
        <row r="1976">
          <cell r="A1976">
            <v>38190</v>
          </cell>
          <cell r="B1976" t="str">
            <v>DUCHA METALICA DE PAREDE, ARTICULAVEL, COM DESVIADOR E DUCHA MANUAL</v>
          </cell>
          <cell r="C1976" t="str">
            <v xml:space="preserve">UN    </v>
          </cell>
          <cell r="D1976">
            <v>418.82</v>
          </cell>
        </row>
        <row r="1977">
          <cell r="A1977">
            <v>36516</v>
          </cell>
          <cell r="B1977" t="str">
            <v>DUMPER COM CAPACIDADE DE CARGA DE 1700 KG, PARTIDA ELETRICA, MOTOR DIESEL COM POTENCIA DE 16 CV</v>
          </cell>
          <cell r="C1977" t="str">
            <v xml:space="preserve">UN    </v>
          </cell>
          <cell r="D1977">
            <v>71285.03</v>
          </cell>
        </row>
        <row r="1978">
          <cell r="A1978">
            <v>34777</v>
          </cell>
          <cell r="B1978" t="str">
            <v>ELEMENTO VAZADO CERAMICO DIAGONAL (TIPO FLOR/QUADRADO/XIS) 25 X 18 X 7 CM</v>
          </cell>
          <cell r="C1978" t="str">
            <v xml:space="preserve">UN    </v>
          </cell>
          <cell r="D1978">
            <v>2.2200000000000002</v>
          </cell>
        </row>
        <row r="1979">
          <cell r="A1979">
            <v>7272</v>
          </cell>
          <cell r="B1979" t="str">
            <v>ELEMENTO VAZADO CERAMICO QUADRADO (RETO OU REDONDO), *7 A 9 X 20 X 20* CM (L X A X C)</v>
          </cell>
          <cell r="C1979" t="str">
            <v xml:space="preserve">UN    </v>
          </cell>
          <cell r="D1979">
            <v>1.87</v>
          </cell>
        </row>
        <row r="1980">
          <cell r="A1980">
            <v>10605</v>
          </cell>
          <cell r="B1980" t="str">
            <v>ELEMENTO VAZADO DE CONCRETO, QUADRICULADO, 1 FURO *10 X 10 X 10* CM</v>
          </cell>
          <cell r="C1980" t="str">
            <v xml:space="preserve">UN    </v>
          </cell>
          <cell r="D1980">
            <v>3.46</v>
          </cell>
        </row>
        <row r="1981">
          <cell r="A1981">
            <v>10604</v>
          </cell>
          <cell r="B1981" t="str">
            <v>ELEMENTO VAZADO DE CONCRETO, QUADRICULADO, 1 FURO *20 X 10 X 7* CM</v>
          </cell>
          <cell r="C1981" t="str">
            <v xml:space="preserve">UN    </v>
          </cell>
          <cell r="D1981">
            <v>8.08</v>
          </cell>
        </row>
        <row r="1982">
          <cell r="A1982">
            <v>672</v>
          </cell>
          <cell r="B1982" t="str">
            <v>ELEMENTO VAZADO DE CONCRETO, QUADRICULADO, 1 FURO *20 X 20 X 6,5* CM</v>
          </cell>
          <cell r="C1982" t="str">
            <v xml:space="preserve">UN    </v>
          </cell>
          <cell r="D1982">
            <v>11.11</v>
          </cell>
        </row>
        <row r="1983">
          <cell r="A1983">
            <v>668</v>
          </cell>
          <cell r="B1983" t="str">
            <v>ELEMENTO VAZADO DE CONCRETO, QUADRICULADO, 16 FUROS *29 X 29 X 6* CM</v>
          </cell>
          <cell r="C1983" t="str">
            <v xml:space="preserve">UN    </v>
          </cell>
          <cell r="D1983">
            <v>13.41</v>
          </cell>
        </row>
        <row r="1984">
          <cell r="A1984">
            <v>10578</v>
          </cell>
          <cell r="B1984" t="str">
            <v>ELEMENTO VAZADO DE CONCRETO, QUADRICULADO, 16 FUROS *33 X 33 X 10* CM</v>
          </cell>
          <cell r="C1984" t="str">
            <v xml:space="preserve">UN    </v>
          </cell>
          <cell r="D1984">
            <v>15.62</v>
          </cell>
        </row>
        <row r="1985">
          <cell r="A1985">
            <v>666</v>
          </cell>
          <cell r="B1985" t="str">
            <v>ELEMENTO VAZADO DE CONCRETO, QUADRICULADO, 16 FUROS *40 X 40 X 7* CM</v>
          </cell>
          <cell r="C1985" t="str">
            <v xml:space="preserve">UN    </v>
          </cell>
          <cell r="D1985">
            <v>17.37</v>
          </cell>
        </row>
        <row r="1986">
          <cell r="A1986">
            <v>665</v>
          </cell>
          <cell r="B1986" t="str">
            <v>ELEMENTO VAZADO DE CONCRETO, QUADRICULADO, 16 FUROS *50 X 50 X 7* CM</v>
          </cell>
          <cell r="C1986" t="str">
            <v xml:space="preserve">UN    </v>
          </cell>
          <cell r="D1986">
            <v>23.23</v>
          </cell>
        </row>
        <row r="1987">
          <cell r="A1987">
            <v>10577</v>
          </cell>
          <cell r="B1987" t="str">
            <v>ELEMENTO VAZADO DE CONCRETO, QUADRICULADO, 25 FUROS *50 X 50 X 5* CM</v>
          </cell>
          <cell r="C1987" t="str">
            <v xml:space="preserve">UN    </v>
          </cell>
          <cell r="D1987">
            <v>20.6</v>
          </cell>
        </row>
        <row r="1988">
          <cell r="A1988">
            <v>10583</v>
          </cell>
          <cell r="B1988" t="str">
            <v>ELEMENTO VAZADO DE CONCRETO, VENEZIANA *39 X 22 X 15* CM</v>
          </cell>
          <cell r="C1988" t="str">
            <v xml:space="preserve">UN    </v>
          </cell>
          <cell r="D1988">
            <v>10.7</v>
          </cell>
        </row>
        <row r="1989">
          <cell r="A1989">
            <v>10579</v>
          </cell>
          <cell r="B1989" t="str">
            <v>ELEMENTO VAZADO DE CONCRETO, VENEZIANA *39 X 29 X 10* CM</v>
          </cell>
          <cell r="C1989" t="str">
            <v xml:space="preserve">UN    </v>
          </cell>
          <cell r="D1989">
            <v>18.66</v>
          </cell>
        </row>
        <row r="1990">
          <cell r="A1990">
            <v>10582</v>
          </cell>
          <cell r="B1990" t="str">
            <v>ELEMENTO VAZADO DE CONCRETO, VENEZIANA *40 X 10 X 10* CM</v>
          </cell>
          <cell r="C1990" t="str">
            <v xml:space="preserve">UN    </v>
          </cell>
          <cell r="D1990">
            <v>9.42</v>
          </cell>
        </row>
        <row r="1991">
          <cell r="A1991">
            <v>2436</v>
          </cell>
          <cell r="B1991" t="str">
            <v>ELETRICISTA</v>
          </cell>
          <cell r="C1991" t="str">
            <v xml:space="preserve">H     </v>
          </cell>
          <cell r="D1991">
            <v>15.32</v>
          </cell>
        </row>
        <row r="1992">
          <cell r="A1992">
            <v>40918</v>
          </cell>
          <cell r="B1992" t="str">
            <v>ELETRICISTA (MENSALISTA)</v>
          </cell>
          <cell r="C1992" t="str">
            <v xml:space="preserve">MES   </v>
          </cell>
          <cell r="D1992">
            <v>2717.21</v>
          </cell>
        </row>
        <row r="1993">
          <cell r="A1993">
            <v>2439</v>
          </cell>
          <cell r="B1993" t="str">
            <v>ELETRICISTA DE MANUTENCAO INDUSTRIAL</v>
          </cell>
          <cell r="C1993" t="str">
            <v xml:space="preserve">H     </v>
          </cell>
          <cell r="D1993">
            <v>15.32</v>
          </cell>
        </row>
        <row r="1994">
          <cell r="A1994">
            <v>40923</v>
          </cell>
          <cell r="B1994" t="str">
            <v>ELETRICISTA DE MANUTENCAO INDUSTRIAL (MENSALISTA)</v>
          </cell>
          <cell r="C1994" t="str">
            <v xml:space="preserve">MES   </v>
          </cell>
          <cell r="D1994">
            <v>2717.21</v>
          </cell>
        </row>
        <row r="1995">
          <cell r="A1995">
            <v>10998</v>
          </cell>
          <cell r="B1995" t="str">
            <v>ELETRODO REVESTIDO AWS - E-6010, DIAMETRO IGUAL A 4,00 MM</v>
          </cell>
          <cell r="C1995" t="str">
            <v xml:space="preserve">KG    </v>
          </cell>
          <cell r="D1995">
            <v>13.83</v>
          </cell>
        </row>
        <row r="1996">
          <cell r="A1996">
            <v>11002</v>
          </cell>
          <cell r="B1996" t="str">
            <v>ELETRODO REVESTIDO AWS - E6013, DIAMETRO IGUAL A 2,50 MM</v>
          </cell>
          <cell r="C1996" t="str">
            <v xml:space="preserve">KG    </v>
          </cell>
          <cell r="D1996">
            <v>12.67</v>
          </cell>
        </row>
        <row r="1997">
          <cell r="A1997">
            <v>10999</v>
          </cell>
          <cell r="B1997" t="str">
            <v>ELETRODO REVESTIDO AWS - E6013, DIAMETRO IGUAL A 4,00 MM</v>
          </cell>
          <cell r="C1997" t="str">
            <v xml:space="preserve">KG    </v>
          </cell>
          <cell r="D1997">
            <v>12.17</v>
          </cell>
        </row>
        <row r="1998">
          <cell r="A1998">
            <v>10997</v>
          </cell>
          <cell r="B1998" t="str">
            <v>ELETRODO REVESTIDO AWS - E7018, DIAMETRO IGUAL A 4,00 MM</v>
          </cell>
          <cell r="C1998" t="str">
            <v xml:space="preserve">KG    </v>
          </cell>
          <cell r="D1998">
            <v>13.2</v>
          </cell>
        </row>
        <row r="1999">
          <cell r="A1999">
            <v>2685</v>
          </cell>
          <cell r="B1999" t="str">
            <v>ELETRODUTO DE PVC RIGIDO ROSCAVEL DE 1 ", SEM LUVA</v>
          </cell>
          <cell r="C1999" t="str">
            <v xml:space="preserve">M     </v>
          </cell>
          <cell r="D1999">
            <v>3.91</v>
          </cell>
        </row>
        <row r="2000">
          <cell r="A2000">
            <v>2680</v>
          </cell>
          <cell r="B2000" t="str">
            <v>ELETRODUTO DE PVC RIGIDO ROSCAVEL DE 1 1/2 ", SEM LUVA</v>
          </cell>
          <cell r="C2000" t="str">
            <v xml:space="preserve">M     </v>
          </cell>
          <cell r="D2000">
            <v>5.72</v>
          </cell>
        </row>
        <row r="2001">
          <cell r="A2001">
            <v>2684</v>
          </cell>
          <cell r="B2001" t="str">
            <v>ELETRODUTO DE PVC RIGIDO ROSCAVEL DE 1 1/4 ", SEM LUVA</v>
          </cell>
          <cell r="C2001" t="str">
            <v xml:space="preserve">M     </v>
          </cell>
          <cell r="D2001">
            <v>5.2</v>
          </cell>
        </row>
        <row r="2002">
          <cell r="A2002">
            <v>2673</v>
          </cell>
          <cell r="B2002" t="str">
            <v>ELETRODUTO DE PVC RIGIDO ROSCAVEL DE 1/2 ", SEM LUVA</v>
          </cell>
          <cell r="C2002" t="str">
            <v xml:space="preserve">M     </v>
          </cell>
          <cell r="D2002">
            <v>2.0099999999999998</v>
          </cell>
        </row>
        <row r="2003">
          <cell r="A2003">
            <v>2681</v>
          </cell>
          <cell r="B2003" t="str">
            <v>ELETRODUTO DE PVC RIGIDO ROSCAVEL DE 2 ", SEM LUVA</v>
          </cell>
          <cell r="C2003" t="str">
            <v xml:space="preserve">M     </v>
          </cell>
          <cell r="D2003">
            <v>9.35</v>
          </cell>
        </row>
        <row r="2004">
          <cell r="A2004">
            <v>2682</v>
          </cell>
          <cell r="B2004" t="str">
            <v>ELETRODUTO DE PVC RIGIDO ROSCAVEL DE 2 1/2 ", SEM LUVA</v>
          </cell>
          <cell r="C2004" t="str">
            <v xml:space="preserve">M     </v>
          </cell>
          <cell r="D2004">
            <v>13.64</v>
          </cell>
        </row>
        <row r="2005">
          <cell r="A2005">
            <v>2686</v>
          </cell>
          <cell r="B2005" t="str">
            <v>ELETRODUTO DE PVC RIGIDO ROSCAVEL DE 3 ", SEM LUVA</v>
          </cell>
          <cell r="C2005" t="str">
            <v xml:space="preserve">M     </v>
          </cell>
          <cell r="D2005">
            <v>17.11</v>
          </cell>
        </row>
        <row r="2006">
          <cell r="A2006">
            <v>2674</v>
          </cell>
          <cell r="B2006" t="str">
            <v>ELETRODUTO DE PVC RIGIDO ROSCAVEL DE 3/4 ", SEM LUVA</v>
          </cell>
          <cell r="C2006" t="str">
            <v xml:space="preserve">M     </v>
          </cell>
          <cell r="D2006">
            <v>2.5</v>
          </cell>
        </row>
        <row r="2007">
          <cell r="A2007">
            <v>2683</v>
          </cell>
          <cell r="B2007" t="str">
            <v>ELETRODUTO DE PVC RIGIDO ROSCAVEL DE 4 ", SEM LUVA</v>
          </cell>
          <cell r="C2007" t="str">
            <v xml:space="preserve">M     </v>
          </cell>
          <cell r="D2007">
            <v>26.96</v>
          </cell>
        </row>
        <row r="2008">
          <cell r="A2008">
            <v>2676</v>
          </cell>
          <cell r="B2008" t="str">
            <v>ELETRODUTO DE PVC RIGIDO SOLDAVEL, CLASSE B, DE 20 MM</v>
          </cell>
          <cell r="C2008" t="str">
            <v xml:space="preserve">M     </v>
          </cell>
          <cell r="D2008">
            <v>1.17</v>
          </cell>
        </row>
        <row r="2009">
          <cell r="A2009">
            <v>2678</v>
          </cell>
          <cell r="B2009" t="str">
            <v>ELETRODUTO DE PVC RIGIDO SOLDAVEL, CLASSE B, DE 25 MM</v>
          </cell>
          <cell r="C2009" t="str">
            <v xml:space="preserve">M     </v>
          </cell>
          <cell r="D2009">
            <v>1.46</v>
          </cell>
        </row>
        <row r="2010">
          <cell r="A2010">
            <v>2679</v>
          </cell>
          <cell r="B2010" t="str">
            <v>ELETRODUTO DE PVC RIGIDO SOLDAVEL, CLASSE B, DE 32 MM</v>
          </cell>
          <cell r="C2010" t="str">
            <v xml:space="preserve">M     </v>
          </cell>
          <cell r="D2010">
            <v>2.25</v>
          </cell>
        </row>
        <row r="2011">
          <cell r="A2011">
            <v>12070</v>
          </cell>
          <cell r="B2011" t="str">
            <v>ELETRODUTO DE PVC RIGIDO SOLDAVEL, CLASSE B, DE 40 MM</v>
          </cell>
          <cell r="C2011" t="str">
            <v xml:space="preserve">M     </v>
          </cell>
          <cell r="D2011">
            <v>3.14</v>
          </cell>
        </row>
        <row r="2012">
          <cell r="A2012">
            <v>2675</v>
          </cell>
          <cell r="B2012" t="str">
            <v>ELETRODUTO DE PVC RIGIDO SOLDAVEL, CLASSE B, DE 50 MM</v>
          </cell>
          <cell r="C2012" t="str">
            <v xml:space="preserve">M     </v>
          </cell>
          <cell r="D2012">
            <v>4.08</v>
          </cell>
        </row>
        <row r="2013">
          <cell r="A2013">
            <v>12067</v>
          </cell>
          <cell r="B2013" t="str">
            <v>ELETRODUTO DE PVC RIGIDO SOLDAVEL, CLASSE B, DE 60 MM</v>
          </cell>
          <cell r="C2013" t="str">
            <v xml:space="preserve">M     </v>
          </cell>
          <cell r="D2013">
            <v>5.54</v>
          </cell>
        </row>
        <row r="2014">
          <cell r="A2014">
            <v>40401</v>
          </cell>
          <cell r="B2014" t="str">
            <v>ELETRODUTO FLEXIVEL PLANO EM PEAD, COR PRETA E LARANJA,  DIAMETRO 32 MM</v>
          </cell>
          <cell r="C2014" t="str">
            <v xml:space="preserve">M     </v>
          </cell>
          <cell r="D2014">
            <v>2.09</v>
          </cell>
        </row>
        <row r="2015">
          <cell r="A2015">
            <v>40402</v>
          </cell>
          <cell r="B2015" t="str">
            <v>ELETRODUTO FLEXIVEL PLANO EM PEAD, COR PRETA E LARANJA,  DIAMETRO 40 MM</v>
          </cell>
          <cell r="C2015" t="str">
            <v xml:space="preserve">M     </v>
          </cell>
          <cell r="D2015">
            <v>2.68</v>
          </cell>
        </row>
        <row r="2016">
          <cell r="A2016">
            <v>40400</v>
          </cell>
          <cell r="B2016" t="str">
            <v>ELETRODUTO FLEXIVEL PLANO EM PEAD, COR PRETA E LARANJA, DIAMETRO 25 MM</v>
          </cell>
          <cell r="C2016" t="str">
            <v xml:space="preserve">M     </v>
          </cell>
          <cell r="D2016">
            <v>1.42</v>
          </cell>
        </row>
        <row r="2017">
          <cell r="A2017">
            <v>2504</v>
          </cell>
          <cell r="B2017" t="str">
            <v>ELETRODUTO FLEXIVEL, EM ACO GALVANIZADO, REVESTIDO EXTERNAMENTE COM PVC PRETO, DIAMETRO EXTERNO DE 25 MM (3/4"), TIPO SEALTUBO</v>
          </cell>
          <cell r="C2017" t="str">
            <v xml:space="preserve">M     </v>
          </cell>
          <cell r="D2017">
            <v>10.26</v>
          </cell>
        </row>
        <row r="2018">
          <cell r="A2018">
            <v>2501</v>
          </cell>
          <cell r="B2018" t="str">
            <v>ELETRODUTO FLEXIVEL, EM ACO GALVANIZADO, REVESTIDO EXTERNAMENTE COM PVC PRETO, DIAMETRO EXTERNO DE 32 MM (1"), TIPO SEALTUBO</v>
          </cell>
          <cell r="C2018" t="str">
            <v xml:space="preserve">M     </v>
          </cell>
          <cell r="D2018">
            <v>13.46</v>
          </cell>
        </row>
        <row r="2019">
          <cell r="A2019">
            <v>2502</v>
          </cell>
          <cell r="B2019" t="str">
            <v>ELETRODUTO FLEXIVEL, EM ACO GALVANIZADO, REVESTIDO EXTERNAMENTE COM PVC PRETO, DIAMETRO EXTERNO DE 40 MM (1 1/4"), TIPO SEALTUBO</v>
          </cell>
          <cell r="C2019" t="str">
            <v xml:space="preserve">M     </v>
          </cell>
          <cell r="D2019">
            <v>20.309999999999999</v>
          </cell>
        </row>
        <row r="2020">
          <cell r="A2020">
            <v>2503</v>
          </cell>
          <cell r="B2020" t="str">
            <v>ELETRODUTO FLEXIVEL, EM ACO GALVANIZADO, REVESTIDO EXTERNAMENTE COM PVC PRETO, DIAMETRO EXTERNO DE 50 MM( 1 1/2"), TIPO SEALTUBO</v>
          </cell>
          <cell r="C2020" t="str">
            <v xml:space="preserve">M     </v>
          </cell>
          <cell r="D2020">
            <v>26.14</v>
          </cell>
        </row>
        <row r="2021">
          <cell r="A2021">
            <v>2500</v>
          </cell>
          <cell r="B2021" t="str">
            <v>ELETRODUTO FLEXIVEL, EM ACO GALVANIZADO, REVESTIDO EXTERNAMENTE COM PVC PRETO, DIAMETRO EXTERNO DE 60 MM (2"), TIPO SEALTUBO</v>
          </cell>
          <cell r="C2021" t="str">
            <v xml:space="preserve">M     </v>
          </cell>
          <cell r="D2021">
            <v>34.81</v>
          </cell>
        </row>
        <row r="2022">
          <cell r="A2022">
            <v>2505</v>
          </cell>
          <cell r="B2022" t="str">
            <v>ELETRODUTO FLEXIVEL, EM ACO GALVANIZADO, REVESTIDO EXTERNAMENTE COM PVC PRETO, DIAMETRO EXTERNO DE 75 MM (2 1/2"), TIPO SEALTUBO</v>
          </cell>
          <cell r="C2022" t="str">
            <v xml:space="preserve">M     </v>
          </cell>
          <cell r="D2022">
            <v>54.26</v>
          </cell>
        </row>
        <row r="2023">
          <cell r="A2023">
            <v>12056</v>
          </cell>
          <cell r="B2023" t="str">
            <v>ELETRODUTO FLEXIVEL, EM ACO, TIPO CONDUITE, DIAMETRO DE 1 1/2"</v>
          </cell>
          <cell r="C2023" t="str">
            <v xml:space="preserve">M     </v>
          </cell>
          <cell r="D2023">
            <v>21.92</v>
          </cell>
        </row>
        <row r="2024">
          <cell r="A2024">
            <v>12057</v>
          </cell>
          <cell r="B2024" t="str">
            <v>ELETRODUTO FLEXIVEL, EM ACO, TIPO CONDUITE, DIAMETRO DE 1 1/4"</v>
          </cell>
          <cell r="C2024" t="str">
            <v xml:space="preserve">M     </v>
          </cell>
          <cell r="D2024">
            <v>18.62</v>
          </cell>
        </row>
        <row r="2025">
          <cell r="A2025">
            <v>12059</v>
          </cell>
          <cell r="B2025" t="str">
            <v>ELETRODUTO FLEXIVEL, EM ACO, TIPO CONDUITE, DIAMETRO DE 1/2"</v>
          </cell>
          <cell r="C2025" t="str">
            <v xml:space="preserve">M     </v>
          </cell>
          <cell r="D2025">
            <v>6.53</v>
          </cell>
        </row>
        <row r="2026">
          <cell r="A2026">
            <v>12058</v>
          </cell>
          <cell r="B2026" t="str">
            <v>ELETRODUTO FLEXIVEL, EM ACO, TIPO CONDUITE, DIAMETRO DE 1"</v>
          </cell>
          <cell r="C2026" t="str">
            <v xml:space="preserve">M     </v>
          </cell>
          <cell r="D2026">
            <v>11.61</v>
          </cell>
        </row>
        <row r="2027">
          <cell r="A2027">
            <v>12060</v>
          </cell>
          <cell r="B2027" t="str">
            <v>ELETRODUTO FLEXIVEL, EM ACO, TIPO CONDUITE, DIAMETRO DE 2 1/2"</v>
          </cell>
          <cell r="C2027" t="str">
            <v xml:space="preserve">M     </v>
          </cell>
          <cell r="D2027">
            <v>48.38</v>
          </cell>
        </row>
        <row r="2028">
          <cell r="A2028">
            <v>12061</v>
          </cell>
          <cell r="B2028" t="str">
            <v>ELETRODUTO FLEXIVEL, EM ACO, TIPO CONDUITE, DIAMETRO DE 2"</v>
          </cell>
          <cell r="C2028" t="str">
            <v xml:space="preserve">M     </v>
          </cell>
          <cell r="D2028">
            <v>29.54</v>
          </cell>
        </row>
        <row r="2029">
          <cell r="A2029">
            <v>12062</v>
          </cell>
          <cell r="B2029" t="str">
            <v>ELETRODUTO FLEXIVEL, EM ACO, TIPO CONDUITE, DIAMETRO DE 3"</v>
          </cell>
          <cell r="C2029" t="str">
            <v xml:space="preserve">M     </v>
          </cell>
          <cell r="D2029">
            <v>54.48</v>
          </cell>
        </row>
        <row r="2030">
          <cell r="A2030">
            <v>21137</v>
          </cell>
          <cell r="B2030" t="str">
            <v>ELETRODUTO METALICO FLEXIVEL REVESTIDO COM PVC PRETO, DIAMETRO EXTERNO DE 15 MM (3/8"), TIPO COPEX</v>
          </cell>
          <cell r="C2030" t="str">
            <v xml:space="preserve">M     </v>
          </cell>
          <cell r="D2030">
            <v>9.4700000000000006</v>
          </cell>
        </row>
        <row r="2031">
          <cell r="A2031">
            <v>2687</v>
          </cell>
          <cell r="B2031" t="str">
            <v>ELETRODUTO PVC FLEXIVEL CORRUGADO, COR AMARELA, DE 16 MM</v>
          </cell>
          <cell r="C2031" t="str">
            <v xml:space="preserve">M     </v>
          </cell>
          <cell r="D2031">
            <v>1.02</v>
          </cell>
        </row>
        <row r="2032">
          <cell r="A2032">
            <v>2689</v>
          </cell>
          <cell r="B2032" t="str">
            <v>ELETRODUTO PVC FLEXIVEL CORRUGADO, COR AMARELA, DE 20 MM</v>
          </cell>
          <cell r="C2032" t="str">
            <v xml:space="preserve">M     </v>
          </cell>
          <cell r="D2032">
            <v>1.21</v>
          </cell>
        </row>
        <row r="2033">
          <cell r="A2033">
            <v>2688</v>
          </cell>
          <cell r="B2033" t="str">
            <v>ELETRODUTO PVC FLEXIVEL CORRUGADO, COR AMARELA, DE 25 MM</v>
          </cell>
          <cell r="C2033" t="str">
            <v xml:space="preserve">M     </v>
          </cell>
          <cell r="D2033">
            <v>1.31</v>
          </cell>
        </row>
        <row r="2034">
          <cell r="A2034">
            <v>2690</v>
          </cell>
          <cell r="B2034" t="str">
            <v>ELETRODUTO PVC FLEXIVEL CORRUGADO, COR AMARELA, DE 32 MM</v>
          </cell>
          <cell r="C2034" t="str">
            <v xml:space="preserve">M     </v>
          </cell>
          <cell r="D2034">
            <v>2.25</v>
          </cell>
        </row>
        <row r="2035">
          <cell r="A2035">
            <v>39243</v>
          </cell>
          <cell r="B2035" t="str">
            <v>ELETRODUTO PVC FLEXIVEL CORRUGADO, REFORCADO, COR LARANJA, DE 20 MM, PARA LAJES E PISOS</v>
          </cell>
          <cell r="C2035" t="str">
            <v xml:space="preserve">M     </v>
          </cell>
          <cell r="D2035">
            <v>1.48</v>
          </cell>
        </row>
        <row r="2036">
          <cell r="A2036">
            <v>39244</v>
          </cell>
          <cell r="B2036" t="str">
            <v>ELETRODUTO PVC FLEXIVEL CORRUGADO, REFORCADO, COR LARANJA, DE 25 MM, PARA LAJES E PISOS</v>
          </cell>
          <cell r="C2036" t="str">
            <v xml:space="preserve">M     </v>
          </cell>
          <cell r="D2036">
            <v>2</v>
          </cell>
        </row>
        <row r="2037">
          <cell r="A2037">
            <v>39245</v>
          </cell>
          <cell r="B2037" t="str">
            <v>ELETRODUTO PVC FLEXIVEL CORRUGADO, REFORCADO, COR LARANJA, DE 32 MM, PARA LAJES E PISOS</v>
          </cell>
          <cell r="C2037" t="str">
            <v xml:space="preserve">M     </v>
          </cell>
          <cell r="D2037">
            <v>3.86</v>
          </cell>
        </row>
        <row r="2038">
          <cell r="A2038">
            <v>39254</v>
          </cell>
          <cell r="B2038" t="str">
            <v>ELETRODUTO/CONDULETE DE PVC RIGIDO, LISO, COR CINZA, DE 1/2", PARA INSTALACOES APARENTES (NBR 5410)</v>
          </cell>
          <cell r="C2038" t="str">
            <v xml:space="preserve">M     </v>
          </cell>
          <cell r="D2038">
            <v>5.77</v>
          </cell>
        </row>
        <row r="2039">
          <cell r="A2039">
            <v>39255</v>
          </cell>
          <cell r="B2039" t="str">
            <v>ELETRODUTO/CONDULETE DE PVC RIGIDO, LISO, COR CINZA, DE 1", PARA INSTALACOES APARENTES (NBR 5410)</v>
          </cell>
          <cell r="C2039" t="str">
            <v xml:space="preserve">M     </v>
          </cell>
          <cell r="D2039">
            <v>10.68</v>
          </cell>
        </row>
        <row r="2040">
          <cell r="A2040">
            <v>39253</v>
          </cell>
          <cell r="B2040" t="str">
            <v>ELETRODUTO/CONDULETE DE PVC RIGIDO, LISO, COR CINZA, DE 3/4", PARA INSTALACOES APARENTES (NBR 5410)</v>
          </cell>
          <cell r="C2040" t="str">
            <v xml:space="preserve">M     </v>
          </cell>
          <cell r="D2040">
            <v>7.35</v>
          </cell>
        </row>
        <row r="2041">
          <cell r="A2041">
            <v>2446</v>
          </cell>
          <cell r="B2041" t="str">
            <v>ELETRODUTO/DUTO PEAD FLEXIVEL PAREDE SIMPLES, CORRUGACAO HELICOIDAL, COR PRETA, SEM ROSCA, DE 2",  PARA CABEAMENTO SUBTERRANEO (NBR 15715)</v>
          </cell>
          <cell r="C2041" t="str">
            <v xml:space="preserve">M     </v>
          </cell>
          <cell r="D2041">
            <v>5.21</v>
          </cell>
        </row>
        <row r="2042">
          <cell r="A2042">
            <v>2442</v>
          </cell>
          <cell r="B2042" t="str">
            <v>ELETRODUTO/DUTO PEAD FLEXIVEL PAREDE SIMPLES, CORRUGACAO HELICOIDAL, COR PRETA, SEM ROSCA, DE 3",  PARA CABEAMENTO SUBTERRANEO (NBR 15715)</v>
          </cell>
          <cell r="C2042" t="str">
            <v xml:space="preserve">M     </v>
          </cell>
          <cell r="D2042">
            <v>7.3</v>
          </cell>
        </row>
        <row r="2043">
          <cell r="A2043">
            <v>39246</v>
          </cell>
          <cell r="B2043" t="str">
            <v>ELETRODUTODUTO PEAD FLEXIVEL PAREDE SIMPLES, CORRUGACAO HELICOIDAL, COR PRETA, SEM ROSCA, DE 1 1/2",  PARA CABEAMENTO SUBTERRANEO (NBR 15715)</v>
          </cell>
          <cell r="C2043" t="str">
            <v xml:space="preserve">M     </v>
          </cell>
          <cell r="D2043">
            <v>3.63</v>
          </cell>
        </row>
        <row r="2044">
          <cell r="A2044">
            <v>39247</v>
          </cell>
          <cell r="B2044" t="str">
            <v>ELETRODUTODUTO PEAD FLEXIVEL PAREDE SIMPLES, CORRUGACAO HELICOIDAL, COR PRETA, SEM ROSCA, DE 1 1/4",  PARA CABEAMENTO SUBTERRANEO (NBR 15715)</v>
          </cell>
          <cell r="C2044" t="str">
            <v xml:space="preserve">M     </v>
          </cell>
          <cell r="D2044">
            <v>3.16</v>
          </cell>
        </row>
        <row r="2045">
          <cell r="A2045">
            <v>39248</v>
          </cell>
          <cell r="B2045" t="str">
            <v>ELETRODUTODUTO PEAD FLEXIVEL PAREDE SIMPLES, CORRUGACAO HELICOIDAL, COR PRETA, SEM ROSCA, DE 4",  PARA CABEAMENTO SUBTERRANEO (NBR 15715)</v>
          </cell>
          <cell r="C2045" t="str">
            <v xml:space="preserve">M     </v>
          </cell>
          <cell r="D2045">
            <v>10.17</v>
          </cell>
        </row>
        <row r="2046">
          <cell r="A2046">
            <v>2438</v>
          </cell>
          <cell r="B2046" t="str">
            <v>ELETROTECNICO</v>
          </cell>
          <cell r="C2046" t="str">
            <v xml:space="preserve">H     </v>
          </cell>
          <cell r="D2046">
            <v>15.47</v>
          </cell>
        </row>
        <row r="2047">
          <cell r="A2047">
            <v>40922</v>
          </cell>
          <cell r="B2047" t="str">
            <v>ELETROTECNICO (MENSALISTA)</v>
          </cell>
          <cell r="C2047" t="str">
            <v xml:space="preserve">MES   </v>
          </cell>
          <cell r="D2047">
            <v>2747.41</v>
          </cell>
        </row>
        <row r="2048">
          <cell r="A2048">
            <v>36486</v>
          </cell>
          <cell r="B2048" t="str">
            <v>ELEVADOR DE CARGA A CABO, CABINE SEMI FECHADA 2,0 X 1,5 X 2,0 M, CAPACIDADE DE CARGA 1000 KG, TORRE  2,38 X 2,21 X 15 M, GUINCHO DE EMBREAGEM, FREIO DE SEGURANCA, LIMITADOR DE VELOCIDADE E CANCELA</v>
          </cell>
          <cell r="C2048" t="str">
            <v xml:space="preserve">UN    </v>
          </cell>
          <cell r="D2048">
            <v>38079.129999999997</v>
          </cell>
        </row>
        <row r="2049">
          <cell r="A2049">
            <v>37777</v>
          </cell>
          <cell r="B2049" t="str">
            <v>ELEVADOR DE CREMALHEIRA CABINE FECHADA 1,5 X 2,5 X 2,35 M (UMA POR TORRE), CAPACIDADE DE CARGA 1200 KG (15 PESSOAS), TORRE  24 M (16 MODULOS), FREIO DE SEGURANCA, LIMITADOR DE CARGA</v>
          </cell>
          <cell r="C2049" t="str">
            <v xml:space="preserve">UN    </v>
          </cell>
          <cell r="D2049">
            <v>179275.81</v>
          </cell>
        </row>
        <row r="2050">
          <cell r="A2050">
            <v>12624</v>
          </cell>
          <cell r="B2050" t="str">
            <v>EMENDA PARA CALHA PLUVIAL, PVC, DIAMETRO ENTRE 119 E 170 MM, PARA DRENAGEM PREDIAL</v>
          </cell>
          <cell r="C2050" t="str">
            <v xml:space="preserve">UN    </v>
          </cell>
          <cell r="D2050">
            <v>9.1999999999999993</v>
          </cell>
        </row>
        <row r="2051">
          <cell r="A2051">
            <v>10638</v>
          </cell>
          <cell r="B2051" t="str">
            <v>EMPILHADEIRA SOBRE PNEUS COM TORRE DE TRES ESTAGIOS, 4,70M DE ELEVACAO, C/ DESLOCADOR LATERAL DOS GARFOS, MOTOR GLP 4.3L, CAPACIDADE NOMINAL DE CARGA DE 6T</v>
          </cell>
          <cell r="C2051" t="str">
            <v xml:space="preserve">UN    </v>
          </cell>
          <cell r="D2051">
            <v>349851.06</v>
          </cell>
        </row>
        <row r="2052">
          <cell r="A2052">
            <v>10635</v>
          </cell>
          <cell r="B2052" t="str">
            <v>EMPILHADEIRA SOBRE PNEUS COM TORRE DE TRES ESTAGIOS, 4,80M DE ELEVACAO, C/ DESLOCADOR LATERAL DOS GARFOS, MOTOR GLP 2.2L, CAPACIDADE NOMINAL DE CARGA DE 3T</v>
          </cell>
          <cell r="C2052" t="str">
            <v xml:space="preserve">UN    </v>
          </cell>
          <cell r="D2052">
            <v>120926.32</v>
          </cell>
        </row>
        <row r="2053">
          <cell r="A2053">
            <v>10634</v>
          </cell>
          <cell r="B2053" t="str">
            <v>EMPILHADEIRA SOBRE PNEUS COM TORRE DE TRES ESTAGIOS, 4,80M DE ELEVACAO, C/ DESLOCADOR LATERAL DOS GARFOS, MOTOR GLP 2.4L, CAPACIDADE NOMINAL DE CARGA DE 2,5T</v>
          </cell>
          <cell r="C2053" t="str">
            <v xml:space="preserve">UN    </v>
          </cell>
          <cell r="D2053">
            <v>103550</v>
          </cell>
        </row>
        <row r="2054">
          <cell r="A2054">
            <v>10636</v>
          </cell>
          <cell r="B2054" t="str">
            <v>EMPILHADEIRA SOBRE PNEUS COM TORRE DE TRES ESTAGIOS, 4,80M DE ELEVACAO, C/ DESLOCADOR LATERAL DOS GARFOS, MOTOR GLP 4.3L, CAPACIDADE NOMINAL DE CARGA DE 4T</v>
          </cell>
          <cell r="C2054" t="str">
            <v xml:space="preserve">UN    </v>
          </cell>
          <cell r="D2054">
            <v>228042.45</v>
          </cell>
        </row>
        <row r="2055">
          <cell r="A2055">
            <v>10637</v>
          </cell>
          <cell r="B2055" t="str">
            <v>EMPILHADEIRA SOBRE PNEUS COM TORRE DE TRES ESTAGIOS, 4,80M DE ELEVACAO, C/ DESLOCADOR LATERAL DOS GARFOS, MOTOR GLP 4.3L, CAPACIDADE NOMINAL DE CARGA DE 5T</v>
          </cell>
          <cell r="C2055" t="str">
            <v xml:space="preserve">UN    </v>
          </cell>
          <cell r="D2055">
            <v>238534.81</v>
          </cell>
        </row>
        <row r="2056">
          <cell r="A2056">
            <v>517</v>
          </cell>
          <cell r="B2056" t="str">
            <v>EMULSAO ASFALTICA ANIONICA</v>
          </cell>
          <cell r="C2056" t="str">
            <v xml:space="preserve">L     </v>
          </cell>
          <cell r="D2056">
            <v>8.26</v>
          </cell>
        </row>
        <row r="2057">
          <cell r="A2057">
            <v>41904</v>
          </cell>
          <cell r="B2057" t="str">
            <v>EMULSAO ASFALTICA CATIONICA RL-1C PARA USO EM PAVIMENTACAO ASFALTICA (COLETADO CAIXA NA ANP ACRESCIDO DE ICMS)</v>
          </cell>
          <cell r="C2057" t="str">
            <v xml:space="preserve">T     </v>
          </cell>
          <cell r="D2057">
            <v>2500.8000000000002</v>
          </cell>
        </row>
        <row r="2058">
          <cell r="A2058">
            <v>41905</v>
          </cell>
          <cell r="B2058" t="str">
            <v>EMULSAO ASFALTICA CATIONICA RR-1C PARA USO EM PAVIMENTACAO ASFALTICA (COLETADO CAIXA NA ANP ACRESCIDO DE ICMS)</v>
          </cell>
          <cell r="C2058" t="str">
            <v xml:space="preserve">KG    </v>
          </cell>
          <cell r="D2058">
            <v>2.2999999999999998</v>
          </cell>
        </row>
        <row r="2059">
          <cell r="A2059">
            <v>41903</v>
          </cell>
          <cell r="B2059" t="str">
            <v>EMULSAO ASFALTICA CATIONICA RR-2C PARA USO EM PAVIMENTACAO ASFALTICA (COLETADO CAIXA NA ANP ACRESCIDO DE ICMS)</v>
          </cell>
          <cell r="C2059" t="str">
            <v xml:space="preserve">KG    </v>
          </cell>
          <cell r="D2059">
            <v>2.11</v>
          </cell>
        </row>
        <row r="2060">
          <cell r="A2060">
            <v>37534</v>
          </cell>
          <cell r="B2060" t="str">
            <v>EMULSAO EXPLOSIVA EM CARTUCHOS DE 1" X 12", DENSIDADE 1.15 G/CM3, INICIACAO ESPOLETA N. 8 / CORDEL</v>
          </cell>
          <cell r="C2060" t="str">
            <v xml:space="preserve">KG    </v>
          </cell>
          <cell r="D2060">
            <v>15.19</v>
          </cell>
        </row>
        <row r="2061">
          <cell r="A2061">
            <v>37535</v>
          </cell>
          <cell r="B2061" t="str">
            <v>EMULSAO EXPLOSIVA EM CARTUCHOS DE 1" X 24", DENSIDADE 1.15 G/CM3, INICIACAO ESPOLETA N. 8 / CORDEL</v>
          </cell>
          <cell r="C2061" t="str">
            <v xml:space="preserve">KG    </v>
          </cell>
          <cell r="D2061">
            <v>15.19</v>
          </cell>
        </row>
        <row r="2062">
          <cell r="A2062">
            <v>37533</v>
          </cell>
          <cell r="B2062" t="str">
            <v>EMULSAO EXPLOSIVA EM CARTUCHOS DE 1" X 8", DENSIDADE 1.15 G/CM3, INICIACAO ESPOLETA N. 8 / CORDEL</v>
          </cell>
          <cell r="C2062" t="str">
            <v xml:space="preserve">KG    </v>
          </cell>
          <cell r="D2062">
            <v>15.19</v>
          </cell>
        </row>
        <row r="2063">
          <cell r="A2063">
            <v>37537</v>
          </cell>
          <cell r="B2063" t="str">
            <v>EMULSAO EXPLOSIVA EM CARTUCHOS DE 2 1/2" X 24", DENSIDADE 1.15 G/CM3, INICIACAO ESPOLETA N. 8 / CORDEL</v>
          </cell>
          <cell r="C2063" t="str">
            <v xml:space="preserve">KG    </v>
          </cell>
          <cell r="D2063">
            <v>11.5</v>
          </cell>
        </row>
        <row r="2064">
          <cell r="A2064">
            <v>37536</v>
          </cell>
          <cell r="B2064" t="str">
            <v>EMULSAO EXPLOSIVA EM CARTUCHOS DE 2 1/4" X 24", DENSIDADE 1.15 G/CM3, INICIACAO ESPOLETA N. 8 / CORDEL</v>
          </cell>
          <cell r="C2064" t="str">
            <v xml:space="preserve">KG    </v>
          </cell>
          <cell r="D2064">
            <v>11.5</v>
          </cell>
        </row>
        <row r="2065">
          <cell r="A2065">
            <v>37532</v>
          </cell>
          <cell r="B2065" t="str">
            <v>EMULSAO EXPLOSIVA EM CARTUCHOS DE 2" X 24", DENSIDADE 1.15 G/CM3, INICIACAO ESPOLETA N. 8 / CORDEL</v>
          </cell>
          <cell r="C2065" t="str">
            <v xml:space="preserve">KG    </v>
          </cell>
          <cell r="D2065">
            <v>11.5</v>
          </cell>
        </row>
        <row r="2066">
          <cell r="A2066">
            <v>2696</v>
          </cell>
          <cell r="B2066" t="str">
            <v>ENCANADOR OU BOMBEIRO HIDRAULICO</v>
          </cell>
          <cell r="C2066" t="str">
            <v xml:space="preserve">H     </v>
          </cell>
          <cell r="D2066">
            <v>15.32</v>
          </cell>
        </row>
        <row r="2067">
          <cell r="A2067">
            <v>40928</v>
          </cell>
          <cell r="B2067" t="str">
            <v>ENCANADOR OU BOMBEIRO HIDRAULICO (MENSALISTA)</v>
          </cell>
          <cell r="C2067" t="str">
            <v xml:space="preserve">MES   </v>
          </cell>
          <cell r="D2067">
            <v>2717.21</v>
          </cell>
        </row>
        <row r="2068">
          <cell r="A2068">
            <v>4083</v>
          </cell>
          <cell r="B2068" t="str">
            <v>ENCARREGADO GERAL DE OBRAS</v>
          </cell>
          <cell r="C2068" t="str">
            <v xml:space="preserve">H     </v>
          </cell>
          <cell r="D2068">
            <v>19.84</v>
          </cell>
        </row>
        <row r="2069">
          <cell r="A2069">
            <v>40818</v>
          </cell>
          <cell r="B2069" t="str">
            <v>ENCARREGADO GERAL DE OBRAS (MENSALISTA)</v>
          </cell>
          <cell r="C2069" t="str">
            <v xml:space="preserve">MES   </v>
          </cell>
          <cell r="D2069">
            <v>3518.39</v>
          </cell>
        </row>
        <row r="2070">
          <cell r="A2070">
            <v>43146</v>
          </cell>
          <cell r="B2070" t="str">
            <v>ENDURECEDOR MINERAL DE BASE CIMENTICIA PARA PISO DE CONCRETO</v>
          </cell>
          <cell r="C2070" t="str">
            <v xml:space="preserve">KG    </v>
          </cell>
          <cell r="D2070">
            <v>6.2</v>
          </cell>
        </row>
        <row r="2071">
          <cell r="A2071">
            <v>2705</v>
          </cell>
          <cell r="B2071" t="str">
            <v>ENERGIA ELETRICA ATE 2000 KWH INDUSTRIAL, SEM DEMANDA</v>
          </cell>
          <cell r="C2071" t="str">
            <v xml:space="preserve">KW/H  </v>
          </cell>
          <cell r="D2071">
            <v>0.81</v>
          </cell>
        </row>
        <row r="2072">
          <cell r="A2072">
            <v>14250</v>
          </cell>
          <cell r="B2072" t="str">
            <v>ENERGIA ELETRICA COMERCIAL, BAIXA TENSAO, RELATIVA AO CONSUMO DE ATE 100 KWH, INCLUINDO ICMS, PIS/PASEP E COFINS</v>
          </cell>
          <cell r="C2072" t="str">
            <v xml:space="preserve">KW/H  </v>
          </cell>
          <cell r="D2072">
            <v>0.83</v>
          </cell>
        </row>
        <row r="2073">
          <cell r="A2073">
            <v>11683</v>
          </cell>
          <cell r="B2073" t="str">
            <v>ENGATE / RABICHO FLEXIVEL INOX 1/2 " X 30 CM</v>
          </cell>
          <cell r="C2073" t="str">
            <v xml:space="preserve">UN    </v>
          </cell>
          <cell r="D2073">
            <v>34.25</v>
          </cell>
        </row>
        <row r="2074">
          <cell r="A2074">
            <v>11684</v>
          </cell>
          <cell r="B2074" t="str">
            <v>ENGATE / RABICHO FLEXIVEL INOX 1/2 " X 40 CM</v>
          </cell>
          <cell r="C2074" t="str">
            <v xml:space="preserve">UN    </v>
          </cell>
          <cell r="D2074">
            <v>37.49</v>
          </cell>
        </row>
        <row r="2075">
          <cell r="A2075">
            <v>6141</v>
          </cell>
          <cell r="B2075" t="str">
            <v>ENGATE/RABICHO FLEXIVEL PLASTICO (PVC OU ABS) BRANCO 1/2 " X 30 CM</v>
          </cell>
          <cell r="C2075" t="str">
            <v xml:space="preserve">UN    </v>
          </cell>
          <cell r="D2075">
            <v>3.6</v>
          </cell>
        </row>
        <row r="2076">
          <cell r="A2076">
            <v>11681</v>
          </cell>
          <cell r="B2076" t="str">
            <v>ENGATE/RABICHO FLEXIVEL PLASTICO (PVC OU ABS) BRANCO 1/2 " X 40 CM</v>
          </cell>
          <cell r="C2076" t="str">
            <v xml:space="preserve">UN    </v>
          </cell>
          <cell r="D2076">
            <v>6.02</v>
          </cell>
        </row>
        <row r="2077">
          <cell r="A2077">
            <v>2706</v>
          </cell>
          <cell r="B2077" t="str">
            <v>ENGENHEIRO CIVIL DE OBRA JUNIOR</v>
          </cell>
          <cell r="C2077" t="str">
            <v xml:space="preserve">H     </v>
          </cell>
          <cell r="D2077">
            <v>89.64</v>
          </cell>
        </row>
        <row r="2078">
          <cell r="A2078">
            <v>40811</v>
          </cell>
          <cell r="B2078" t="str">
            <v>ENGENHEIRO CIVIL DE OBRA JUNIOR (MENSALISTA)</v>
          </cell>
          <cell r="C2078" t="str">
            <v xml:space="preserve">MES   </v>
          </cell>
          <cell r="D2078">
            <v>15891.36</v>
          </cell>
        </row>
        <row r="2079">
          <cell r="A2079">
            <v>2707</v>
          </cell>
          <cell r="B2079" t="str">
            <v>ENGENHEIRO CIVIL DE OBRA PLENO</v>
          </cell>
          <cell r="C2079" t="str">
            <v xml:space="preserve">H     </v>
          </cell>
          <cell r="D2079">
            <v>102.03</v>
          </cell>
        </row>
        <row r="2080">
          <cell r="A2080">
            <v>40813</v>
          </cell>
          <cell r="B2080" t="str">
            <v>ENGENHEIRO CIVIL DE OBRA PLENO (MENSALISTA)</v>
          </cell>
          <cell r="C2080" t="str">
            <v xml:space="preserve">MES   </v>
          </cell>
          <cell r="D2080">
            <v>18087.64</v>
          </cell>
        </row>
        <row r="2081">
          <cell r="A2081">
            <v>2708</v>
          </cell>
          <cell r="B2081" t="str">
            <v>ENGENHEIRO CIVIL DE OBRA SENIOR</v>
          </cell>
          <cell r="C2081" t="str">
            <v xml:space="preserve">H     </v>
          </cell>
          <cell r="D2081">
            <v>139.46</v>
          </cell>
        </row>
        <row r="2082">
          <cell r="A2082">
            <v>40814</v>
          </cell>
          <cell r="B2082" t="str">
            <v>ENGENHEIRO CIVIL DE OBRA SENIOR (MENSALISTA)</v>
          </cell>
          <cell r="C2082" t="str">
            <v xml:space="preserve">MES   </v>
          </cell>
          <cell r="D2082">
            <v>24725.32</v>
          </cell>
        </row>
        <row r="2083">
          <cell r="A2083">
            <v>34779</v>
          </cell>
          <cell r="B2083" t="str">
            <v>ENGENHEIRO CIVIL JUNIOR</v>
          </cell>
          <cell r="C2083" t="str">
            <v xml:space="preserve">H     </v>
          </cell>
          <cell r="D2083">
            <v>90.94</v>
          </cell>
        </row>
        <row r="2084">
          <cell r="A2084">
            <v>40936</v>
          </cell>
          <cell r="B2084" t="str">
            <v>ENGENHEIRO CIVIL JUNIOR (MENSALISTA)</v>
          </cell>
          <cell r="C2084" t="str">
            <v xml:space="preserve">MES   </v>
          </cell>
          <cell r="D2084">
            <v>16123.18</v>
          </cell>
        </row>
        <row r="2085">
          <cell r="A2085">
            <v>34780</v>
          </cell>
          <cell r="B2085" t="str">
            <v>ENGENHEIRO CIVIL PLENO</v>
          </cell>
          <cell r="C2085" t="str">
            <v xml:space="preserve">H     </v>
          </cell>
          <cell r="D2085">
            <v>102.6</v>
          </cell>
        </row>
        <row r="2086">
          <cell r="A2086">
            <v>40937</v>
          </cell>
          <cell r="B2086" t="str">
            <v>ENGENHEIRO CIVIL PLENO (MENSALISTA)</v>
          </cell>
          <cell r="C2086" t="str">
            <v xml:space="preserve">MES   </v>
          </cell>
          <cell r="D2086">
            <v>18190.14</v>
          </cell>
        </row>
        <row r="2087">
          <cell r="A2087">
            <v>34782</v>
          </cell>
          <cell r="B2087" t="str">
            <v>ENGENHEIRO CIVIL SENIOR</v>
          </cell>
          <cell r="C2087" t="str">
            <v xml:space="preserve">H     </v>
          </cell>
          <cell r="D2087">
            <v>140.62</v>
          </cell>
        </row>
        <row r="2088">
          <cell r="A2088">
            <v>40938</v>
          </cell>
          <cell r="B2088" t="str">
            <v>ENGENHEIRO CIVIL SENIOR (MENSALISTA)</v>
          </cell>
          <cell r="C2088" t="str">
            <v xml:space="preserve">MES   </v>
          </cell>
          <cell r="D2088">
            <v>24927.87</v>
          </cell>
        </row>
        <row r="2089">
          <cell r="A2089">
            <v>34783</v>
          </cell>
          <cell r="B2089" t="str">
            <v>ENGENHEIRO ELETRICISTA</v>
          </cell>
          <cell r="C2089" t="str">
            <v xml:space="preserve">H     </v>
          </cell>
          <cell r="D2089">
            <v>85.48</v>
          </cell>
        </row>
        <row r="2090">
          <cell r="A2090">
            <v>40939</v>
          </cell>
          <cell r="B2090" t="str">
            <v>ENGENHEIRO ELETRICISTA (MENSALISTA)</v>
          </cell>
          <cell r="C2090" t="str">
            <v xml:space="preserve">MES   </v>
          </cell>
          <cell r="D2090">
            <v>15157.78</v>
          </cell>
        </row>
        <row r="2091">
          <cell r="A2091">
            <v>34785</v>
          </cell>
          <cell r="B2091" t="str">
            <v>ENGENHEIRO SANITARISTA</v>
          </cell>
          <cell r="C2091" t="str">
            <v xml:space="preserve">H     </v>
          </cell>
          <cell r="D2091">
            <v>84.65</v>
          </cell>
        </row>
        <row r="2092">
          <cell r="A2092">
            <v>40940</v>
          </cell>
          <cell r="B2092" t="str">
            <v>ENGENHEIRO SANITARISTA (MENSALISTA)</v>
          </cell>
          <cell r="C2092" t="str">
            <v xml:space="preserve">MES   </v>
          </cell>
          <cell r="D2092">
            <v>15008.5</v>
          </cell>
        </row>
        <row r="2093">
          <cell r="A2093">
            <v>38403</v>
          </cell>
          <cell r="B2093" t="str">
            <v>ENXADA ESTREITA *25 X 23* CM COM CABO</v>
          </cell>
          <cell r="C2093" t="str">
            <v xml:space="preserve">UN    </v>
          </cell>
          <cell r="D2093">
            <v>29.72</v>
          </cell>
        </row>
        <row r="2094">
          <cell r="A2094">
            <v>43482</v>
          </cell>
          <cell r="B2094" t="str">
            <v>EPI - FAMILIA ALMOXARIFE - HORISTA (ENCARGOS COMPLEMENTARES - COLETADO CAIXA)</v>
          </cell>
          <cell r="C2094" t="str">
            <v xml:space="preserve">H     </v>
          </cell>
          <cell r="D2094">
            <v>0.61</v>
          </cell>
        </row>
        <row r="2095">
          <cell r="A2095">
            <v>43494</v>
          </cell>
          <cell r="B2095" t="str">
            <v>EPI - FAMILIA ALMOXARIFE - MENSALISTA (ENCARGOS COMPLEMENTARES - COLETADO CAIXA)</v>
          </cell>
          <cell r="C2095" t="str">
            <v xml:space="preserve">MES   </v>
          </cell>
          <cell r="D2095">
            <v>114.12</v>
          </cell>
        </row>
        <row r="2096">
          <cell r="A2096">
            <v>43483</v>
          </cell>
          <cell r="B2096" t="str">
            <v>EPI - FAMILIA CARPINTEIRO DE FORMAS - HORISTA (ENCARGOS COMPLEMENTARES - COLETADO CAIXA)</v>
          </cell>
          <cell r="C2096" t="str">
            <v xml:space="preserve">H     </v>
          </cell>
          <cell r="D2096">
            <v>1.08</v>
          </cell>
        </row>
        <row r="2097">
          <cell r="A2097">
            <v>43495</v>
          </cell>
          <cell r="B2097" t="str">
            <v>EPI - FAMILIA CARPINTEIRO DE FORMAS - MENSALISTA (ENCARGOS COMPLEMENTARES - COLETADO CAIXA)</v>
          </cell>
          <cell r="C2097" t="str">
            <v xml:space="preserve">MES   </v>
          </cell>
          <cell r="D2097">
            <v>203.86</v>
          </cell>
        </row>
        <row r="2098">
          <cell r="A2098">
            <v>43484</v>
          </cell>
          <cell r="B2098" t="str">
            <v>EPI - FAMILIA ELETRICISTA - HORISTA (ENCARGOS COMPLEMENTARES - COLETADO CAIXA)</v>
          </cell>
          <cell r="C2098" t="str">
            <v xml:space="preserve">H     </v>
          </cell>
          <cell r="D2098">
            <v>0.93</v>
          </cell>
        </row>
        <row r="2099">
          <cell r="A2099">
            <v>43496</v>
          </cell>
          <cell r="B2099" t="str">
            <v>EPI - FAMILIA ELETRICISTA - MENSALISTA (ENCARGOS COMPLEMENTARES - COLETADO CAIXA)</v>
          </cell>
          <cell r="C2099" t="str">
            <v xml:space="preserve">MES   </v>
          </cell>
          <cell r="D2099">
            <v>175.1</v>
          </cell>
        </row>
        <row r="2100">
          <cell r="A2100">
            <v>43485</v>
          </cell>
          <cell r="B2100" t="str">
            <v>EPI - FAMILIA ENCANADOR - HORISTA (ENCARGOS COMPLEMENTARES - COLETADO CAIXA)</v>
          </cell>
          <cell r="C2100" t="str">
            <v xml:space="preserve">H     </v>
          </cell>
          <cell r="D2100">
            <v>0.83</v>
          </cell>
        </row>
        <row r="2101">
          <cell r="A2101">
            <v>43497</v>
          </cell>
          <cell r="B2101" t="str">
            <v>EPI - FAMILIA ENCANADOR - MENSALISTA (ENCARGOS COMPLEMENTARES - COLETADO CAIXA)</v>
          </cell>
          <cell r="C2101" t="str">
            <v xml:space="preserve">MES   </v>
          </cell>
          <cell r="D2101">
            <v>156.65</v>
          </cell>
        </row>
        <row r="2102">
          <cell r="A2102">
            <v>43487</v>
          </cell>
          <cell r="B2102" t="str">
            <v>EPI - FAMILIA ENCARREGADO GERAL - HORISTA (ENCARGOS COMPLEMENTARES - COLETADO CAIXA)</v>
          </cell>
          <cell r="C2102" t="str">
            <v xml:space="preserve">H     </v>
          </cell>
          <cell r="D2102">
            <v>0.95</v>
          </cell>
        </row>
        <row r="2103">
          <cell r="A2103">
            <v>43499</v>
          </cell>
          <cell r="B2103" t="str">
            <v>EPI - FAMILIA ENCARREGADO GERAL - MENSALISTA (ENCARGOS COMPLEMENTARES - COLETADO CAIXA)</v>
          </cell>
          <cell r="C2103" t="str">
            <v xml:space="preserve">MES   </v>
          </cell>
          <cell r="D2103">
            <v>179.44</v>
          </cell>
        </row>
        <row r="2104">
          <cell r="A2104">
            <v>43486</v>
          </cell>
          <cell r="B2104" t="str">
            <v>EPI - FAMILIA ENGENHEIRO CIVIL - HORISTA (ENCARGOS COMPLEMENTARES - COLETADO CAIXA)</v>
          </cell>
          <cell r="C2104" t="str">
            <v xml:space="preserve">H     </v>
          </cell>
          <cell r="D2104">
            <v>0.56999999999999995</v>
          </cell>
        </row>
        <row r="2105">
          <cell r="A2105">
            <v>43498</v>
          </cell>
          <cell r="B2105" t="str">
            <v>EPI - FAMILIA ENGENHEIRO CIVIL - MENSALISTA (ENCARGOS COMPLEMENTARES - COLETADO CAIXA)</v>
          </cell>
          <cell r="C2105" t="str">
            <v xml:space="preserve">MES   </v>
          </cell>
          <cell r="D2105">
            <v>108.24</v>
          </cell>
        </row>
        <row r="2106">
          <cell r="A2106">
            <v>43488</v>
          </cell>
          <cell r="B2106" t="str">
            <v>EPI - FAMILIA OPERADOR ESCAVADEIRA - HORISTA (ENCARGOS COMPLEMENTARES - COLETADO CAIXA)</v>
          </cell>
          <cell r="C2106" t="str">
            <v xml:space="preserve">H     </v>
          </cell>
          <cell r="D2106">
            <v>0.66</v>
          </cell>
        </row>
        <row r="2107">
          <cell r="A2107">
            <v>43500</v>
          </cell>
          <cell r="B2107" t="str">
            <v>EPI - FAMILIA OPERADOR ESCAVADEIRA - MENSALISTA (ENCARGOS COMPLEMENTARES - COLETADO CAIXA)</v>
          </cell>
          <cell r="C2107" t="str">
            <v xml:space="preserve">MES   </v>
          </cell>
          <cell r="D2107">
            <v>125.38</v>
          </cell>
        </row>
        <row r="2108">
          <cell r="A2108">
            <v>43489</v>
          </cell>
          <cell r="B2108" t="str">
            <v>EPI - FAMILIA PEDREIRO - HORISTA (ENCARGOS COMPLEMENTARES - COLETADO CAIXA)</v>
          </cell>
          <cell r="C2108" t="str">
            <v xml:space="preserve">H     </v>
          </cell>
          <cell r="D2108">
            <v>0.96</v>
          </cell>
        </row>
        <row r="2109">
          <cell r="A2109">
            <v>43501</v>
          </cell>
          <cell r="B2109" t="str">
            <v>EPI - FAMILIA PEDREIRO - MENSALISTA (ENCARGOS COMPLEMENTARES - COLETADO CAIXA)</v>
          </cell>
          <cell r="C2109" t="str">
            <v xml:space="preserve">MES   </v>
          </cell>
          <cell r="D2109">
            <v>181.88</v>
          </cell>
        </row>
        <row r="2110">
          <cell r="A2110">
            <v>43490</v>
          </cell>
          <cell r="B2110" t="str">
            <v>EPI - FAMILIA PINTOR - HORISTA (ENCARGOS COMPLEMENTARES - COLETADO CAIXA)</v>
          </cell>
          <cell r="C2110" t="str">
            <v xml:space="preserve">H     </v>
          </cell>
          <cell r="D2110">
            <v>1.46</v>
          </cell>
        </row>
        <row r="2111">
          <cell r="A2111">
            <v>43502</v>
          </cell>
          <cell r="B2111" t="str">
            <v>EPI - FAMILIA PINTOR - MENSALISTA (ENCARGOS COMPLEMENTARES - COLETADO CAIXA)</v>
          </cell>
          <cell r="C2111" t="str">
            <v xml:space="preserve">MES   </v>
          </cell>
          <cell r="D2111">
            <v>275.92</v>
          </cell>
        </row>
        <row r="2112">
          <cell r="A2112">
            <v>43491</v>
          </cell>
          <cell r="B2112" t="str">
            <v>EPI - FAMILIA SERVENTE - HORISTA (ENCARGOS COMPLEMENTARES - COLETADO CAIXA)</v>
          </cell>
          <cell r="C2112" t="str">
            <v xml:space="preserve">H     </v>
          </cell>
          <cell r="D2112">
            <v>1.02</v>
          </cell>
        </row>
        <row r="2113">
          <cell r="A2113">
            <v>43503</v>
          </cell>
          <cell r="B2113" t="str">
            <v>EPI - FAMILIA SERVENTE - MENSALISTA (ENCARGOS COMPLEMENTARES - COLETADO CAIXA)</v>
          </cell>
          <cell r="C2113" t="str">
            <v xml:space="preserve">MES   </v>
          </cell>
          <cell r="D2113">
            <v>192.76</v>
          </cell>
        </row>
        <row r="2114">
          <cell r="A2114">
            <v>43492</v>
          </cell>
          <cell r="B2114" t="str">
            <v>EPI - FAMILIA SOLDADOR - HORISTA (ENCARGOS COMPLEMENTARES - COLETADO CAIXA)</v>
          </cell>
          <cell r="C2114" t="str">
            <v xml:space="preserve">H     </v>
          </cell>
          <cell r="D2114">
            <v>1.36</v>
          </cell>
        </row>
        <row r="2115">
          <cell r="A2115">
            <v>43504</v>
          </cell>
          <cell r="B2115" t="str">
            <v>EPI - FAMILIA SOLDADOR - MENSALISTA (ENCARGOS COMPLEMENTARES - COLETADO CAIXA)</v>
          </cell>
          <cell r="C2115" t="str">
            <v xml:space="preserve">MES   </v>
          </cell>
          <cell r="D2115">
            <v>255.78</v>
          </cell>
        </row>
        <row r="2116">
          <cell r="A2116">
            <v>43493</v>
          </cell>
          <cell r="B2116" t="str">
            <v>EPI - FAMILIA TOPOGRAFO - HORISTA (ENCARGOS COMPLEMENTARES - COLETADO CAIXA)</v>
          </cell>
          <cell r="C2116" t="str">
            <v xml:space="preserve">H     </v>
          </cell>
          <cell r="D2116">
            <v>0.54</v>
          </cell>
        </row>
        <row r="2117">
          <cell r="A2117">
            <v>43505</v>
          </cell>
          <cell r="B2117" t="str">
            <v>EPI - FAMILIA TOPOGRAFO - MENSALISTA (ENCARGOS COMPLEMENTARES - COLETADO CAIXA)</v>
          </cell>
          <cell r="C2117" t="str">
            <v xml:space="preserve">MES   </v>
          </cell>
          <cell r="D2117">
            <v>102.76</v>
          </cell>
        </row>
        <row r="2118">
          <cell r="A2118">
            <v>37774</v>
          </cell>
          <cell r="B2118" t="str">
            <v>EQUIPAMENTO DE LIMPEZA COMBINADO (VACUO/ALTA PRESSAO) 95% VACUO, TANQUE 7000 L, BOMBA 140 KGF/CM2 66 L/MIN COM MOTOR INDEPENDENTE A DIESEL DE 60 CV (INCLUI MONTAGEM, NAO INCLUI CAMINHAO)</v>
          </cell>
          <cell r="C2118" t="str">
            <v xml:space="preserve">UN    </v>
          </cell>
          <cell r="D2118">
            <v>188694.18</v>
          </cell>
        </row>
        <row r="2119">
          <cell r="A2119">
            <v>38630</v>
          </cell>
          <cell r="B2119" t="str">
            <v>EQUIPAMENTO PARA DEMARCACAO DE FAIXAS DE TRAFEGO A FRIO, A SER MONTADO SOBRE CAMINHAO DE PBT MINIMO DE 9 T E DISTANCIA MINIMA ENTRE EIXOS DE 4,3 M, CAPACIDADE PARA 800 L DE TINTA (INCLUI MONTAGEM, NAO INCLUI CAMINHAO)</v>
          </cell>
          <cell r="C2119" t="str">
            <v xml:space="preserve">UN    </v>
          </cell>
          <cell r="D2119">
            <v>1079521.8700000001</v>
          </cell>
        </row>
        <row r="2120">
          <cell r="A2120">
            <v>38629</v>
          </cell>
          <cell r="B2120" t="str">
            <v>EQUIPAMENTO PARA DEMARCACAO DE FAIXAS DE TRAFEGO A QUENTE, A SER MONTADO SOBRE CAMINHAO DE PBT MINIMO DE 17 T E DISTANCIA MINIMA ENTRE EIXOS DE 5,2 M, CAPACIDADE PARA 1.000 KG DE MATERIAL TERMOPLASTICO (INCLUI MONTAGEM, NAO INCLUI CAMINHAO E NEM COMPRESSOR DE AR)</v>
          </cell>
          <cell r="C2120" t="str">
            <v xml:space="preserve">UN    </v>
          </cell>
          <cell r="D2120">
            <v>1606921.87</v>
          </cell>
        </row>
        <row r="2121">
          <cell r="A2121">
            <v>38476</v>
          </cell>
          <cell r="B2121" t="str">
            <v>ESCADA DUPLA DE ABRIR EM ALUMINIO, MODELO PINTOR, 8 DEGRAUS</v>
          </cell>
          <cell r="C2121" t="str">
            <v xml:space="preserve">UN    </v>
          </cell>
          <cell r="D2121">
            <v>223.42</v>
          </cell>
        </row>
        <row r="2122">
          <cell r="A2122">
            <v>38477</v>
          </cell>
          <cell r="B2122" t="str">
            <v>ESCADA EXTENSIVEL EM ALUMINIO COM 6,00 M ESTENDIDA</v>
          </cell>
          <cell r="C2122" t="str">
            <v xml:space="preserve">UN    </v>
          </cell>
          <cell r="D2122">
            <v>632.73</v>
          </cell>
        </row>
        <row r="2123">
          <cell r="A2123">
            <v>40635</v>
          </cell>
          <cell r="B2123" t="str">
            <v>ESCAVADEIRA HIDRAULICA SOBRE ESTEIRA, COM GARRA GIRATORIA DE MANDIBULAS, PESO OPERACIONAL ENTRE 22,00 E 25,50 TON, POTENCIA LIQUIDA ENTRE 150 E 160 HP</v>
          </cell>
          <cell r="C2123" t="str">
            <v xml:space="preserve">UN    </v>
          </cell>
          <cell r="D2123">
            <v>527638.5</v>
          </cell>
        </row>
        <row r="2124">
          <cell r="A2124">
            <v>36483</v>
          </cell>
          <cell r="B2124" t="str">
            <v>ESCAVADEIRA HIDRAULICA SOBRE ESTEIRAS CACAMBA 0,40 A 1,20 M3, PESO OPERACIONAL 21,19 T, POTENCIA LIQUIDA 173 HP</v>
          </cell>
          <cell r="C2124" t="str">
            <v xml:space="preserve">UN    </v>
          </cell>
          <cell r="D2124">
            <v>478125</v>
          </cell>
        </row>
        <row r="2125">
          <cell r="A2125">
            <v>14525</v>
          </cell>
          <cell r="B2125" t="str">
            <v>ESCAVADEIRA HIDRAULICA SOBRE ESTEIRAS COM CACAMBA DE 1,20 M3, PESO OPERACIONAL 21 T, POTENCIA BRUTA 155 HP</v>
          </cell>
          <cell r="C2125" t="str">
            <v xml:space="preserve">UN    </v>
          </cell>
          <cell r="D2125">
            <v>500625</v>
          </cell>
        </row>
        <row r="2126">
          <cell r="A2126">
            <v>36482</v>
          </cell>
          <cell r="B2126" t="str">
            <v>ESCAVADEIRA HIDRAULICA SOBRE ESTEIRAS, CACAMBA  0,80 M3, PESO OPERACIONAL 17,8 T, POTENCIA LIQUIDA 110 HP</v>
          </cell>
          <cell r="C2126" t="str">
            <v xml:space="preserve">UN    </v>
          </cell>
          <cell r="D2126">
            <v>429355.66</v>
          </cell>
        </row>
        <row r="2127">
          <cell r="A2127">
            <v>36408</v>
          </cell>
          <cell r="B2127" t="str">
            <v>ESCAVADEIRA HIDRAULICA SOBRE ESTEIRAS, CACAMBA 0,4 A 1,70 M3, PESO OPERACIONAL 23,2 T, POTENCIA BRUTA 183 HP</v>
          </cell>
          <cell r="C2127" t="str">
            <v xml:space="preserve">UN    </v>
          </cell>
          <cell r="D2127">
            <v>513000</v>
          </cell>
        </row>
        <row r="2128">
          <cell r="A2128">
            <v>2723</v>
          </cell>
          <cell r="B2128" t="str">
            <v>ESCAVADEIRA HIDRAULICA SOBRE ESTEIRAS, CACAMBA 0,62M3, PESO OPERACIONAL 12,61T, POTENCIA LIQUIDA 95HP</v>
          </cell>
          <cell r="C2128" t="str">
            <v xml:space="preserve">UN    </v>
          </cell>
          <cell r="D2128">
            <v>393750</v>
          </cell>
        </row>
        <row r="2129">
          <cell r="A2129">
            <v>36481</v>
          </cell>
          <cell r="B2129" t="str">
            <v>ESCAVADEIRA HIDRAULICA SOBRE ESTEIRAS, CACAMBA 0,80 A 1,30 M3, PESO OPERACIONAL 22,18 T, POTENCIA LIQUIDA 170 HP</v>
          </cell>
          <cell r="C2129" t="str">
            <v xml:space="preserve">UN    </v>
          </cell>
          <cell r="D2129">
            <v>469687.5</v>
          </cell>
        </row>
        <row r="2130">
          <cell r="A2130">
            <v>10685</v>
          </cell>
          <cell r="B2130" t="str">
            <v>ESCAVADEIRA HIDRAULICA SOBRE ESTEIRAS, CACAMBA 0,80M3, PESO OPERACIONAL 17T, POTENCIA BRUTA 111HP</v>
          </cell>
          <cell r="C2130" t="str">
            <v xml:space="preserve">UN    </v>
          </cell>
          <cell r="D2130">
            <v>450000</v>
          </cell>
        </row>
        <row r="2131">
          <cell r="A2131">
            <v>40636</v>
          </cell>
          <cell r="B2131" t="str">
            <v>ESCAVADEIRA HIDRAULICA SOBRE ESTEIRAS, CAPACIDADE DA CACAMBA ENTRE 1,20 E 1,50 M3, PESO OPERACIONAL ENTRE 20,00 E 22,00 TON, POTENCIA LIQUIDA ENTRE 150 E 155 HP, EQUIPADA COM CLAMSHELL</v>
          </cell>
          <cell r="C2131" t="str">
            <v xml:space="preserve">UN    </v>
          </cell>
          <cell r="D2131">
            <v>507951</v>
          </cell>
        </row>
        <row r="2132">
          <cell r="A2132">
            <v>4111</v>
          </cell>
          <cell r="B2132" t="str">
            <v>ESCORA PRE-MOLDADA EM CONCRETO, *10 X 10* CM, H = 2,30M</v>
          </cell>
          <cell r="C2132" t="str">
            <v xml:space="preserve">UN    </v>
          </cell>
          <cell r="D2132">
            <v>34.729999999999997</v>
          </cell>
        </row>
        <row r="2133">
          <cell r="A2133">
            <v>26021</v>
          </cell>
          <cell r="B2133" t="str">
            <v>ESCOVA CIRCULAR EM ACO LATONADO, 6 X 1 " (DIAMETRO X ESPESSURA), FURO DE 1 1/4 ", FIO ONDULADO *0,30* MM</v>
          </cell>
          <cell r="C2133" t="str">
            <v xml:space="preserve">UN    </v>
          </cell>
          <cell r="D2133">
            <v>67.08</v>
          </cell>
        </row>
        <row r="2134">
          <cell r="A2134">
            <v>12</v>
          </cell>
          <cell r="B2134" t="str">
            <v>ESCOVA DE ACO, COM CABO, *4  X 15* FILEIRAS DE CERDAS</v>
          </cell>
          <cell r="C2134" t="str">
            <v xml:space="preserve">UN    </v>
          </cell>
          <cell r="D2134">
            <v>11</v>
          </cell>
        </row>
        <row r="2135">
          <cell r="A2135">
            <v>37554</v>
          </cell>
          <cell r="B2135" t="str">
            <v>ESGUICHO JATO REGULAVEL, TIPO ELKHART, ENGATE RAPIDO 1 1/2", PARA COMBATE A INCENDIO</v>
          </cell>
          <cell r="C2135" t="str">
            <v xml:space="preserve">UN    </v>
          </cell>
          <cell r="D2135">
            <v>152.97</v>
          </cell>
        </row>
        <row r="2136">
          <cell r="A2136">
            <v>37555</v>
          </cell>
          <cell r="B2136" t="str">
            <v>ESGUICHO JATO REGULAVEL, TIPO ELKHART, ENGATE RAPIDO 2 1/2", PARA COMBATE A INCENDIO</v>
          </cell>
          <cell r="C2136" t="str">
            <v xml:space="preserve">UN    </v>
          </cell>
          <cell r="D2136">
            <v>186.08</v>
          </cell>
        </row>
        <row r="2137">
          <cell r="A2137">
            <v>10902</v>
          </cell>
          <cell r="B2137" t="str">
            <v>ESGUICHO TIPO JATO SOLIDO, EM LATAO, ENGATE RAPIDO 1 1/2" X 13 MM, PARA MANGUEIRA EM INSTALACAO PREDIAL COMBATE A INCENDIO</v>
          </cell>
          <cell r="C2137" t="str">
            <v xml:space="preserve">UN    </v>
          </cell>
          <cell r="D2137">
            <v>46.69</v>
          </cell>
        </row>
        <row r="2138">
          <cell r="A2138">
            <v>20965</v>
          </cell>
          <cell r="B2138" t="str">
            <v>ESGUICHO TIPO JATO SOLIDO, EM LATAO, ENGATE RAPIDO 1 1/2" X 16 MM, PARA MANGUEIRA EM INSTALACAO PREDIAL COMBATE A INCENDIO</v>
          </cell>
          <cell r="C2138" t="str">
            <v xml:space="preserve">UN    </v>
          </cell>
          <cell r="D2138">
            <v>47.12</v>
          </cell>
        </row>
        <row r="2139">
          <cell r="A2139">
            <v>20966</v>
          </cell>
          <cell r="B2139" t="str">
            <v>ESGUICHO TIPO JATO SOLIDO, EM LATAO, ENGATE RAPIDO 1 1/2" X 19 MM, PARA MANGUEIRA EM INSTALACAO PREDIAL COMBATE A INCENDIO</v>
          </cell>
          <cell r="C2139" t="str">
            <v xml:space="preserve">UN    </v>
          </cell>
          <cell r="D2139">
            <v>50.74</v>
          </cell>
        </row>
        <row r="2140">
          <cell r="A2140">
            <v>10903</v>
          </cell>
          <cell r="B2140" t="str">
            <v>ESGUICHO TIPO JATO SOLIDO, EM LATAO, ENGATE RAPIDO 2 1/2" X 13 MM, PARA MANGUEIRA EM INSTALACAO PREDIAL COMBATE A INCENDIO</v>
          </cell>
          <cell r="C2140" t="str">
            <v xml:space="preserve">UN    </v>
          </cell>
          <cell r="D2140">
            <v>76.91</v>
          </cell>
        </row>
        <row r="2141">
          <cell r="A2141">
            <v>20967</v>
          </cell>
          <cell r="B2141" t="str">
            <v>ESGUICHO TIPO JATO SOLIDO, EM LATAO, ENGATE RAPIDO 2 1/2" X 16 MM, PARA MANGUEIRA EM INSTALACAO PREDIAL COMBATE A INCENDIO</v>
          </cell>
          <cell r="C2141" t="str">
            <v xml:space="preserve">UN    </v>
          </cell>
          <cell r="D2141">
            <v>76.91</v>
          </cell>
        </row>
        <row r="2142">
          <cell r="A2142">
            <v>20968</v>
          </cell>
          <cell r="B2142" t="str">
            <v>ESGUICHO TIPO JATO SOLIDO, EM LATAO, ENGATE RAPIDO 2 1/2" X 19 MM, PARA MANGUEIRA EM INSTALACAO PREDIAL COMBATE A INCENDIO</v>
          </cell>
          <cell r="C2142" t="str">
            <v xml:space="preserve">UN    </v>
          </cell>
          <cell r="D2142">
            <v>84.35</v>
          </cell>
        </row>
        <row r="2143">
          <cell r="A2143">
            <v>11359</v>
          </cell>
          <cell r="B2143" t="str">
            <v>ESMERILHADEIRA ANGULAR ELETRICA, DIAMETRO DO DISCO 7 '' (180 MM), ROTACAO 8500 RPM, POTENCIA 2400 W</v>
          </cell>
          <cell r="C2143" t="str">
            <v xml:space="preserve">UN    </v>
          </cell>
          <cell r="D2143">
            <v>829.4</v>
          </cell>
        </row>
        <row r="2144">
          <cell r="A2144">
            <v>39017</v>
          </cell>
          <cell r="B2144" t="str">
            <v>ESPACADOR / DISTANCIADOR CIRCULAR COM ENTRADA LATERAL, EM PLASTICO, PARA VERGALHAO *4,2 A 12,5* MM, COBRIMENTO 20 MM</v>
          </cell>
          <cell r="C2144" t="str">
            <v xml:space="preserve">UN    </v>
          </cell>
          <cell r="D2144">
            <v>0.13</v>
          </cell>
        </row>
        <row r="2145">
          <cell r="A2145">
            <v>39315</v>
          </cell>
          <cell r="B2145" t="str">
            <v>ESPACADOR / DISTANCIADOR TIPO GARRA DUPLA, EM PLASTICO, COBRIMENTO *20* MM, PARA FERRAGENS DE LAJES E FUNDO DE VIGAS</v>
          </cell>
          <cell r="C2145" t="str">
            <v xml:space="preserve">UN    </v>
          </cell>
          <cell r="D2145">
            <v>0.22</v>
          </cell>
        </row>
        <row r="2146">
          <cell r="A2146">
            <v>39016</v>
          </cell>
          <cell r="B2146" t="str">
            <v>ESPACADOR / DISTANCIADOR TIPO PINO EM PLASTICO, PARA VERGALHAO ATE 10 MM, PARA APOIO DE ARMADURA</v>
          </cell>
          <cell r="C2146" t="str">
            <v xml:space="preserve">UN    </v>
          </cell>
          <cell r="D2146">
            <v>0.22</v>
          </cell>
        </row>
        <row r="2147">
          <cell r="A2147">
            <v>40432</v>
          </cell>
          <cell r="B2147" t="str">
            <v>ESPACADOR / SEPARADOR DE BARRA , METALICO, TIPO CARAMBOLA, PARA TIRANTES, 25 X 84 MM</v>
          </cell>
          <cell r="C2147" t="str">
            <v xml:space="preserve">UN    </v>
          </cell>
          <cell r="D2147">
            <v>1.71</v>
          </cell>
        </row>
        <row r="2148">
          <cell r="A2148">
            <v>39481</v>
          </cell>
          <cell r="B2148" t="str">
            <v>ESPACADOR OU DISTANCIADOR, EM PLASTICO, TIPO APOIO DE CORDOALHA (CARANGUEJO), PARA ARMADURA NEGATIVA E PROTENSAO, COBRIMENTO 50 MM</v>
          </cell>
          <cell r="C2148" t="str">
            <v xml:space="preserve">UN    </v>
          </cell>
          <cell r="D2148">
            <v>1.07</v>
          </cell>
        </row>
        <row r="2149">
          <cell r="A2149">
            <v>40433</v>
          </cell>
          <cell r="B2149" t="str">
            <v>ESPACADOR/SEPARADOR DE CORDOALHA TIPO DISCO 12 FUROS DE 14 MM, PARA TIRANTES</v>
          </cell>
          <cell r="C2149" t="str">
            <v xml:space="preserve">UN    </v>
          </cell>
          <cell r="D2149">
            <v>0.95</v>
          </cell>
        </row>
        <row r="2150">
          <cell r="A2150">
            <v>20219</v>
          </cell>
          <cell r="B2150" t="str">
            <v>ESPARGIDOR DE ASFALTO PRESSURIZADO, REBOCAVEL, TANQUE DE 2500 L, PNEUMATICO,  COM MOTOR A GASOLINA 3,4HP</v>
          </cell>
          <cell r="C2150" t="str">
            <v xml:space="preserve">UN    </v>
          </cell>
          <cell r="D2150">
            <v>74000</v>
          </cell>
        </row>
        <row r="2151">
          <cell r="A2151">
            <v>36484</v>
          </cell>
          <cell r="B2151" t="str">
            <v>ESPARGIDOR DE ASFALTO PRESSURIZADO, TANQUE 6 M3 COM ISOLACAO TERMICA, AQUECIDO COM 2 MACARICOS, COM BARRA ESPARGIDORA 3,60 M, A SER MONTADO SOBRE CAMINHAO</v>
          </cell>
          <cell r="C2151" t="str">
            <v xml:space="preserve">UN    </v>
          </cell>
          <cell r="D2151">
            <v>157088.51999999999</v>
          </cell>
        </row>
        <row r="2152">
          <cell r="A2152">
            <v>38367</v>
          </cell>
          <cell r="B2152" t="str">
            <v>ESPATULA DE ACO INOX COM CABO DE MADEIRA, LARGURA 8 CM</v>
          </cell>
          <cell r="C2152" t="str">
            <v xml:space="preserve">UN    </v>
          </cell>
          <cell r="D2152">
            <v>12</v>
          </cell>
        </row>
        <row r="2153">
          <cell r="A2153">
            <v>38368</v>
          </cell>
          <cell r="B2153" t="str">
            <v>ESPATULA DE PLASTICO LISA, LARGURA 10 CM</v>
          </cell>
          <cell r="C2153" t="str">
            <v xml:space="preserve">UN    </v>
          </cell>
          <cell r="D2153">
            <v>7.16</v>
          </cell>
        </row>
        <row r="2154">
          <cell r="A2154">
            <v>38091</v>
          </cell>
          <cell r="B2154" t="str">
            <v>ESPELHO / PLACA CEGA 4" X 2", PARA INSTALACAO DE TOMADAS E INTERRUPTORES</v>
          </cell>
          <cell r="C2154" t="str">
            <v xml:space="preserve">UN    </v>
          </cell>
          <cell r="D2154">
            <v>1.45</v>
          </cell>
        </row>
        <row r="2155">
          <cell r="A2155">
            <v>38095</v>
          </cell>
          <cell r="B2155" t="str">
            <v>ESPELHO / PLACA CEGA 4" X 4", PARA INSTALACAO DE TOMADAS E INTERRUPTORES</v>
          </cell>
          <cell r="C2155" t="str">
            <v xml:space="preserve">UN    </v>
          </cell>
          <cell r="D2155">
            <v>3.07</v>
          </cell>
        </row>
        <row r="2156">
          <cell r="A2156">
            <v>38092</v>
          </cell>
          <cell r="B2156" t="str">
            <v>ESPELHO / PLACA DE 1 POSTO 4" X 2", PARA INSTALACAO DE TOMADAS E INTERRUPTORES</v>
          </cell>
          <cell r="C2156" t="str">
            <v xml:space="preserve">UN    </v>
          </cell>
          <cell r="D2156">
            <v>1.38</v>
          </cell>
        </row>
        <row r="2157">
          <cell r="A2157">
            <v>38093</v>
          </cell>
          <cell r="B2157" t="str">
            <v>ESPELHO / PLACA DE 2 POSTOS 4" X 2", PARA INSTALACAO DE TOMADAS E INTERRUPTORES</v>
          </cell>
          <cell r="C2157" t="str">
            <v xml:space="preserve">UN    </v>
          </cell>
          <cell r="D2157">
            <v>1.42</v>
          </cell>
        </row>
        <row r="2158">
          <cell r="A2158">
            <v>38096</v>
          </cell>
          <cell r="B2158" t="str">
            <v>ESPELHO / PLACA DE 2 POSTOS 4" X 4", PARA INSTALACAO DE TOMADAS E INTERRUPTORES</v>
          </cell>
          <cell r="C2158" t="str">
            <v xml:space="preserve">UN    </v>
          </cell>
          <cell r="D2158">
            <v>3.31</v>
          </cell>
        </row>
        <row r="2159">
          <cell r="A2159">
            <v>38094</v>
          </cell>
          <cell r="B2159" t="str">
            <v>ESPELHO / PLACA DE 3 POSTOS 4" X 2", PARA INSTALACAO DE TOMADAS E INTERRUPTORES</v>
          </cell>
          <cell r="C2159" t="str">
            <v xml:space="preserve">UN    </v>
          </cell>
          <cell r="D2159">
            <v>1.74</v>
          </cell>
        </row>
        <row r="2160">
          <cell r="A2160">
            <v>38097</v>
          </cell>
          <cell r="B2160" t="str">
            <v>ESPELHO / PLACA DE 4 POSTOS 4" X 4", PARA INSTALACAO DE TOMADAS E INTERRUPTORES</v>
          </cell>
          <cell r="C2160" t="str">
            <v xml:space="preserve">UN    </v>
          </cell>
          <cell r="D2160">
            <v>3.54</v>
          </cell>
        </row>
        <row r="2161">
          <cell r="A2161">
            <v>38098</v>
          </cell>
          <cell r="B2161" t="str">
            <v>ESPELHO / PLACA DE 6 POSTOS 4" X 4", PARA INSTALACAO DE TOMADAS E INTERRUPTORES</v>
          </cell>
          <cell r="C2161" t="str">
            <v xml:space="preserve">UN    </v>
          </cell>
          <cell r="D2161">
            <v>3.54</v>
          </cell>
        </row>
        <row r="2162">
          <cell r="A2162">
            <v>11186</v>
          </cell>
          <cell r="B2162" t="str">
            <v>ESPELHO CRISTAL E = 4 MM</v>
          </cell>
          <cell r="C2162" t="str">
            <v xml:space="preserve">M2    </v>
          </cell>
          <cell r="D2162">
            <v>318.58</v>
          </cell>
        </row>
        <row r="2163">
          <cell r="A2163">
            <v>11558</v>
          </cell>
          <cell r="B2163" t="str">
            <v>ESPELHO, RETO OU CURVO, EM LATAO CROMADO, ESPESSURA ATE 6 MM, LARGURA *40*MM, ALTURA *180*MM - PARA FECHADURA DE EMBUTIR</v>
          </cell>
          <cell r="C2163" t="str">
            <v xml:space="preserve">PAR   </v>
          </cell>
          <cell r="D2163">
            <v>11.88</v>
          </cell>
        </row>
        <row r="2164">
          <cell r="A2164">
            <v>11557</v>
          </cell>
          <cell r="B2164" t="str">
            <v>ESPELHO, RETO OU CURVO, EM LATAO CROMADO, ESPESSURA MINIMA 6 MM, LARGURA *43*MM, ALTURA *230*MM - PARA FECHADURA DE EMBUTIR</v>
          </cell>
          <cell r="C2164" t="str">
            <v xml:space="preserve">PAR   </v>
          </cell>
          <cell r="D2164">
            <v>30.09</v>
          </cell>
        </row>
        <row r="2165">
          <cell r="A2165">
            <v>2759</v>
          </cell>
          <cell r="B2165" t="str">
            <v>ESPOLETA SIMPLES N 8.</v>
          </cell>
          <cell r="C2165" t="str">
            <v xml:space="preserve">UN    </v>
          </cell>
          <cell r="D2165">
            <v>5.8</v>
          </cell>
        </row>
        <row r="2166">
          <cell r="A2166">
            <v>38124</v>
          </cell>
          <cell r="B2166" t="str">
            <v>ESPUMA EXPANSIVA DE POLIURETANO, APLICACAO MANUAL - 500 ML</v>
          </cell>
          <cell r="C2166" t="str">
            <v xml:space="preserve">UN    </v>
          </cell>
          <cell r="D2166">
            <v>28.99</v>
          </cell>
        </row>
        <row r="2167">
          <cell r="A2167">
            <v>38380</v>
          </cell>
          <cell r="B2167" t="str">
            <v>ESQUADRO DE ACO 12 " (300 MM), CABO DE ALUMINIO</v>
          </cell>
          <cell r="C2167" t="str">
            <v xml:space="preserve">UN    </v>
          </cell>
          <cell r="D2167">
            <v>19.07</v>
          </cell>
        </row>
        <row r="2168">
          <cell r="A2168">
            <v>20059</v>
          </cell>
          <cell r="B2168" t="str">
            <v>ESQUADRO INTERNO OU EXTERNO PARA CALHA PLUVIAL, PVC, DIAMETRO ENTRE 119 E 170 MM, PARA DRENAGEM PREDIAL</v>
          </cell>
          <cell r="C2168" t="str">
            <v xml:space="preserve">UN    </v>
          </cell>
          <cell r="D2168">
            <v>13.05</v>
          </cell>
        </row>
        <row r="2169">
          <cell r="A2169">
            <v>42429</v>
          </cell>
          <cell r="B2169" t="str">
            <v>ESQUI TRIPLO, EM TUBO DE ACO CARBONO, PINTURA NO PROCESSO ELETROSTATICO - EQUIPAMENTO DE GINASTICA PARA ACADEMIA AO AR LIVRE / ACADEMIA DA TERCEIRA IDADE - ATI</v>
          </cell>
          <cell r="C2169" t="str">
            <v xml:space="preserve">UN    </v>
          </cell>
          <cell r="D2169">
            <v>3353.46</v>
          </cell>
        </row>
        <row r="2170">
          <cell r="A2170">
            <v>39616</v>
          </cell>
          <cell r="B2170" t="str">
            <v>ESTABILIZADOR BIVOLT AUTOMATICO, 1000 VA</v>
          </cell>
          <cell r="C2170" t="str">
            <v xml:space="preserve">UN    </v>
          </cell>
          <cell r="D2170">
            <v>365.2</v>
          </cell>
        </row>
        <row r="2171">
          <cell r="A2171">
            <v>39618</v>
          </cell>
          <cell r="B2171" t="str">
            <v>ESTABILIZADOR BIVOLT AUTOMATICO, 1500 VA</v>
          </cell>
          <cell r="C2171" t="str">
            <v xml:space="preserve">UN    </v>
          </cell>
          <cell r="D2171">
            <v>662.41</v>
          </cell>
        </row>
        <row r="2172">
          <cell r="A2172">
            <v>39619</v>
          </cell>
          <cell r="B2172" t="str">
            <v>ESTABILIZADOR BIVOLT AUTOMATICO, 2000 VA</v>
          </cell>
          <cell r="C2172" t="str">
            <v xml:space="preserve">UN    </v>
          </cell>
          <cell r="D2172">
            <v>907.23</v>
          </cell>
        </row>
        <row r="2173">
          <cell r="A2173">
            <v>39613</v>
          </cell>
          <cell r="B2173" t="str">
            <v>ESTABILIZADOR BIVOLT AUTOMATICO, 300 VA</v>
          </cell>
          <cell r="C2173" t="str">
            <v xml:space="preserve">UN    </v>
          </cell>
          <cell r="D2173">
            <v>145.06</v>
          </cell>
        </row>
        <row r="2174">
          <cell r="A2174">
            <v>39614</v>
          </cell>
          <cell r="B2174" t="str">
            <v>ESTABILIZADOR BIVOLT AUTOMATICO, 500 VA</v>
          </cell>
          <cell r="C2174" t="str">
            <v xml:space="preserve">UN    </v>
          </cell>
          <cell r="D2174">
            <v>211.64</v>
          </cell>
        </row>
        <row r="2175">
          <cell r="A2175">
            <v>38538</v>
          </cell>
          <cell r="B2175" t="str">
            <v>ESTACA PRE-MOLDADA MACICA DE CONCRETO VIBRADO ARMADO, PARA CARGA DE 25 T, SECAO QUADRADA DE *16 X 16*, COM ANEL METALICO INCORPORADO A PECA (SOMENTE FORNECIMENTO)</v>
          </cell>
          <cell r="C2175" t="str">
            <v xml:space="preserve">M     </v>
          </cell>
          <cell r="D2175">
            <v>46</v>
          </cell>
        </row>
        <row r="2176">
          <cell r="A2176">
            <v>38539</v>
          </cell>
          <cell r="B2176" t="str">
            <v>ESTACA PRE-MOLDADA MACICA DE CONCRETO VIBRADO ARMADO, PARA CARGA DE 50 T, SECAO QUADRADA, COM ANEL METALICO INCORPORADO A PECA (SOMENTE FORNECIMENTO)</v>
          </cell>
          <cell r="C2176" t="str">
            <v xml:space="preserve">M     </v>
          </cell>
          <cell r="D2176">
            <v>62.55</v>
          </cell>
        </row>
        <row r="2177">
          <cell r="A2177">
            <v>38540</v>
          </cell>
          <cell r="B2177" t="str">
            <v>ESTACA PRE-MOLDADA VAZADA DE CONCRETO CENTRIFUGADO, PARA CARGA DE 100 T, SECAO CIRCULAR, COM ANEL METALICO INCORPORADO A PECA (SOMENTE FORNECIMENTO)</v>
          </cell>
          <cell r="C2177" t="str">
            <v xml:space="preserve">M     </v>
          </cell>
          <cell r="D2177">
            <v>160.31</v>
          </cell>
        </row>
        <row r="2178">
          <cell r="A2178">
            <v>38384</v>
          </cell>
          <cell r="B2178" t="str">
            <v>ESTILETE DE METAL, LAMINA 18 MM</v>
          </cell>
          <cell r="C2178" t="str">
            <v xml:space="preserve">UN    </v>
          </cell>
          <cell r="D2178">
            <v>18.57</v>
          </cell>
        </row>
        <row r="2179">
          <cell r="A2179">
            <v>13</v>
          </cell>
          <cell r="B2179" t="str">
            <v>ESTOPA</v>
          </cell>
          <cell r="C2179" t="str">
            <v xml:space="preserve">KG    </v>
          </cell>
          <cell r="D2179">
            <v>16.93</v>
          </cell>
        </row>
        <row r="2180">
          <cell r="A2180">
            <v>2762</v>
          </cell>
          <cell r="B2180" t="str">
            <v>ESTOPIM SIMPLES</v>
          </cell>
          <cell r="C2180" t="str">
            <v xml:space="preserve">M     </v>
          </cell>
          <cell r="D2180">
            <v>7.25</v>
          </cell>
        </row>
        <row r="2181">
          <cell r="A2181">
            <v>21142</v>
          </cell>
          <cell r="B2181" t="str">
            <v>ESTRIBO COM PARAFUSO EM CHAPA DE FERRO FUNDIDO DE 2" X 3/16" X 35 CM, SECAO "U", PARA MADEIRAMENTO DE TELHADO</v>
          </cell>
          <cell r="C2181" t="str">
            <v xml:space="preserve">UN    </v>
          </cell>
          <cell r="D2181">
            <v>18.850000000000001</v>
          </cell>
        </row>
        <row r="2182">
          <cell r="A2182">
            <v>12865</v>
          </cell>
          <cell r="B2182" t="str">
            <v>ESTUCADOR</v>
          </cell>
          <cell r="C2182" t="str">
            <v xml:space="preserve">H     </v>
          </cell>
          <cell r="D2182">
            <v>15.54</v>
          </cell>
        </row>
        <row r="2183">
          <cell r="A2183">
            <v>41074</v>
          </cell>
          <cell r="B2183" t="str">
            <v>ESTUCADOR (MENSALISTA)</v>
          </cell>
          <cell r="C2183" t="str">
            <v xml:space="preserve">MES   </v>
          </cell>
          <cell r="D2183">
            <v>2755.78</v>
          </cell>
        </row>
        <row r="2184">
          <cell r="A2184">
            <v>4223</v>
          </cell>
          <cell r="B2184" t="str">
            <v>ETANOL</v>
          </cell>
          <cell r="C2184" t="str">
            <v xml:space="preserve">L     </v>
          </cell>
          <cell r="D2184">
            <v>2.54</v>
          </cell>
        </row>
        <row r="2185">
          <cell r="A2185">
            <v>37372</v>
          </cell>
          <cell r="B2185" t="str">
            <v>EXAMES - HORISTA (COLETADO CAIXA)</v>
          </cell>
          <cell r="C2185" t="str">
            <v xml:space="preserve">H     </v>
          </cell>
          <cell r="D2185">
            <v>0.35</v>
          </cell>
        </row>
        <row r="2186">
          <cell r="A2186">
            <v>40863</v>
          </cell>
          <cell r="B2186" t="str">
            <v>EXAMES - MENSALISTA (COLETADO CAIXA)</v>
          </cell>
          <cell r="C2186" t="str">
            <v xml:space="preserve">MES   </v>
          </cell>
          <cell r="D2186">
            <v>65.94</v>
          </cell>
        </row>
        <row r="2187">
          <cell r="A2187">
            <v>38475</v>
          </cell>
          <cell r="B2187" t="str">
            <v>EXTENSAO DE SOLDA 201 ACETILENO, E = *1,5 A 2,5* MM</v>
          </cell>
          <cell r="C2187" t="str">
            <v xml:space="preserve">UN    </v>
          </cell>
          <cell r="D2187">
            <v>29.78</v>
          </cell>
        </row>
        <row r="2188">
          <cell r="A2188">
            <v>38474</v>
          </cell>
          <cell r="B2188" t="str">
            <v>EXTENSAO DE SOLDA 201 GLP, E = *2,5 A 4,0* MM</v>
          </cell>
          <cell r="C2188" t="str">
            <v xml:space="preserve">UN    </v>
          </cell>
          <cell r="D2188">
            <v>36.81</v>
          </cell>
        </row>
        <row r="2189">
          <cell r="A2189">
            <v>10886</v>
          </cell>
          <cell r="B2189" t="str">
            <v>EXTINTOR DE INCENDIO PORTATIL COM CARGA DE AGUA PRESSURIZADA DE 10 L, CLASSE A</v>
          </cell>
          <cell r="C2189" t="str">
            <v xml:space="preserve">UN    </v>
          </cell>
          <cell r="D2189">
            <v>135.96</v>
          </cell>
        </row>
        <row r="2190">
          <cell r="A2190">
            <v>10888</v>
          </cell>
          <cell r="B2190" t="str">
            <v>EXTINTOR DE INCENDIO PORTATIL COM CARGA DE GAS CARBONICO CO2 DE 4 KG, CLASSE BC</v>
          </cell>
          <cell r="C2190" t="str">
            <v xml:space="preserve">UN    </v>
          </cell>
          <cell r="D2190">
            <v>430.31</v>
          </cell>
        </row>
        <row r="2191">
          <cell r="A2191">
            <v>10889</v>
          </cell>
          <cell r="B2191" t="str">
            <v>EXTINTOR DE INCENDIO PORTATIL COM CARGA DE GAS CARBONICO CO2 DE 6 KG, CLASSE BC</v>
          </cell>
          <cell r="C2191" t="str">
            <v xml:space="preserve">UN    </v>
          </cell>
          <cell r="D2191">
            <v>466.17</v>
          </cell>
        </row>
        <row r="2192">
          <cell r="A2192">
            <v>10890</v>
          </cell>
          <cell r="B2192" t="str">
            <v>EXTINTOR DE INCENDIO PORTATIL COM CARGA DE PO QUIMICO SECO (PQS) DE 12 KG, CLASSE BC</v>
          </cell>
          <cell r="C2192" t="str">
            <v xml:space="preserve">UN    </v>
          </cell>
          <cell r="D2192">
            <v>215.15</v>
          </cell>
        </row>
        <row r="2193">
          <cell r="A2193">
            <v>10891</v>
          </cell>
          <cell r="B2193" t="str">
            <v>EXTINTOR DE INCENDIO PORTATIL COM CARGA DE PO QUIMICO SECO (PQS) DE 4 KG, CLASSE BC</v>
          </cell>
          <cell r="C2193" t="str">
            <v xml:space="preserve">UN    </v>
          </cell>
          <cell r="D2193">
            <v>131.47999999999999</v>
          </cell>
        </row>
        <row r="2194">
          <cell r="A2194">
            <v>10892</v>
          </cell>
          <cell r="B2194" t="str">
            <v>EXTINTOR DE INCENDIO PORTATIL COM CARGA DE PO QUIMICO SECO (PQS) DE 6 KG, CLASSE BC</v>
          </cell>
          <cell r="C2194" t="str">
            <v xml:space="preserve">UN    </v>
          </cell>
          <cell r="D2194">
            <v>155.38999999999999</v>
          </cell>
        </row>
        <row r="2195">
          <cell r="A2195">
            <v>20977</v>
          </cell>
          <cell r="B2195" t="str">
            <v>EXTINTOR DE INCENDIO PORTATIL COM CARGA DE PO QUIMICO SECO (PQS) DE 8 KG, CLASSE BC</v>
          </cell>
          <cell r="C2195" t="str">
            <v xml:space="preserve">UN    </v>
          </cell>
          <cell r="D2195">
            <v>185.27</v>
          </cell>
        </row>
        <row r="2196">
          <cell r="A2196">
            <v>3073</v>
          </cell>
          <cell r="B2196" t="str">
            <v>EXTREMIDADE PVC PBA, BF, JE, DN 100/ DE 110 MM (NBR 10351)</v>
          </cell>
          <cell r="C2196" t="str">
            <v xml:space="preserve">UN    </v>
          </cell>
          <cell r="D2196">
            <v>146.83000000000001</v>
          </cell>
        </row>
        <row r="2197">
          <cell r="A2197">
            <v>3068</v>
          </cell>
          <cell r="B2197" t="str">
            <v>EXTREMIDADE PVC PBA, BF, JE, DN 50 / DE 60 MM (NBR 10351)</v>
          </cell>
          <cell r="C2197" t="str">
            <v xml:space="preserve">UN    </v>
          </cell>
          <cell r="D2197">
            <v>29.35</v>
          </cell>
        </row>
        <row r="2198">
          <cell r="A2198">
            <v>3074</v>
          </cell>
          <cell r="B2198" t="str">
            <v>EXTREMIDADE PVC PBA, BF, JE, DN 75/ DE 85 MM (NBR 10351)</v>
          </cell>
          <cell r="C2198" t="str">
            <v xml:space="preserve">UN    </v>
          </cell>
          <cell r="D2198">
            <v>92.7</v>
          </cell>
        </row>
        <row r="2199">
          <cell r="A2199">
            <v>3076</v>
          </cell>
          <cell r="B2199" t="str">
            <v>EXTREMIDADE PVC PBA, PF, JE, DN 100 / DE 110 MM (NBR 10351)</v>
          </cell>
          <cell r="C2199" t="str">
            <v xml:space="preserve">UN    </v>
          </cell>
          <cell r="D2199">
            <v>120.71</v>
          </cell>
        </row>
        <row r="2200">
          <cell r="A2200">
            <v>3072</v>
          </cell>
          <cell r="B2200" t="str">
            <v>EXTREMIDADE PVC PBA, PF, JE, DN 50/ DE 60 MM (NBR 10351)</v>
          </cell>
          <cell r="C2200" t="str">
            <v xml:space="preserve">UN    </v>
          </cell>
          <cell r="D2200">
            <v>30.41</v>
          </cell>
        </row>
        <row r="2201">
          <cell r="A2201">
            <v>3075</v>
          </cell>
          <cell r="B2201" t="str">
            <v>EXTREMIDADE PVC PBA, PF, JE, DN 75 / DE 85 MM (NBR 10351)</v>
          </cell>
          <cell r="C2201" t="str">
            <v xml:space="preserve">UN    </v>
          </cell>
          <cell r="D2201">
            <v>76.28</v>
          </cell>
        </row>
        <row r="2202">
          <cell r="A2202">
            <v>10780</v>
          </cell>
          <cell r="B2202" t="str">
            <v>EXTREMIDADE/TUBETE PARA HIDROMETRO PVC, COM ROSCA, CURTA, COM BUCHA LATAO, 1/2"</v>
          </cell>
          <cell r="C2202" t="str">
            <v xml:space="preserve">UN    </v>
          </cell>
          <cell r="D2202">
            <v>6.44</v>
          </cell>
        </row>
        <row r="2203">
          <cell r="A2203">
            <v>10781</v>
          </cell>
          <cell r="B2203" t="str">
            <v>EXTREMIDADE/TUBETE PARA HIDROMETRO PVC, COM ROSCA, CURTA, COM BUCHA LATAO, 3/4"</v>
          </cell>
          <cell r="C2203" t="str">
            <v xml:space="preserve">UN    </v>
          </cell>
          <cell r="D2203">
            <v>10.34</v>
          </cell>
        </row>
        <row r="2204">
          <cell r="A2204">
            <v>20106</v>
          </cell>
          <cell r="B2204" t="str">
            <v>EXTREMIDADE/TUBETE PARA HIDROMETRO PVC, COM ROSCA, CURTA, SEM BUCHA LATAO, 1/2"</v>
          </cell>
          <cell r="C2204" t="str">
            <v xml:space="preserve">UN    </v>
          </cell>
          <cell r="D2204">
            <v>3.41</v>
          </cell>
        </row>
        <row r="2205">
          <cell r="A2205">
            <v>20107</v>
          </cell>
          <cell r="B2205" t="str">
            <v>EXTREMIDADE/TUBETE PARA HIDROMETRO PVC, COM ROSCA, CURTA, SEM BUCHA LATAO, 3/4"</v>
          </cell>
          <cell r="C2205" t="str">
            <v xml:space="preserve">UN    </v>
          </cell>
          <cell r="D2205">
            <v>3.9</v>
          </cell>
        </row>
        <row r="2206">
          <cell r="A2206">
            <v>20108</v>
          </cell>
          <cell r="B2206" t="str">
            <v>EXTREMIDADE/TUBETE PARA HIDROMETRO PVC, COM ROSCA, LONGA, SEM BUCHA LATAO, 1/2"</v>
          </cell>
          <cell r="C2206" t="str">
            <v xml:space="preserve">UN    </v>
          </cell>
          <cell r="D2206">
            <v>5.15</v>
          </cell>
        </row>
        <row r="2207">
          <cell r="A2207">
            <v>20109</v>
          </cell>
          <cell r="B2207" t="str">
            <v>EXTREMIDADE/TUBETE PARA HIDROMETRO PVC, COM ROSCA, LONGA, SEM BUCHA LATAO, 3/4"</v>
          </cell>
          <cell r="C2207" t="str">
            <v xml:space="preserve">UN    </v>
          </cell>
          <cell r="D2207">
            <v>6.44</v>
          </cell>
        </row>
        <row r="2208">
          <cell r="A2208">
            <v>34795</v>
          </cell>
          <cell r="B2208" t="str">
            <v>FAIXA / FILETE / LISTELO EM CERAMICA, DECORADA, *8 X 30* CM (L X C)</v>
          </cell>
          <cell r="C2208" t="str">
            <v xml:space="preserve">M2    </v>
          </cell>
          <cell r="D2208">
            <v>238.01</v>
          </cell>
        </row>
        <row r="2209">
          <cell r="A2209">
            <v>34796</v>
          </cell>
          <cell r="B2209" t="str">
            <v>FAIXA / FILETE / LISTELO EM CERAMICA, LISO OU CORDAO, BRANCO, *2 X 30* CM (L X C)</v>
          </cell>
          <cell r="C2209" t="str">
            <v xml:space="preserve">M     </v>
          </cell>
          <cell r="D2209">
            <v>10.44</v>
          </cell>
        </row>
        <row r="2210">
          <cell r="A2210">
            <v>11480</v>
          </cell>
          <cell r="B2210" t="str">
            <v>FECHADURA AUXILIAR SEGURANCA, DE EMBUTIR, REFORCADA, MAQUINA DE 40 A 55 MM, COM CILINDRO, CROMADA, PARA PORTA EXTERNA - COMPLETA</v>
          </cell>
          <cell r="C2210" t="str">
            <v xml:space="preserve">CJ    </v>
          </cell>
          <cell r="D2210">
            <v>51.47</v>
          </cell>
        </row>
        <row r="2211">
          <cell r="A2211">
            <v>3103</v>
          </cell>
          <cell r="B2211" t="str">
            <v>FECHADURA C/ CILINDRO LATAO CROMADO P/ PORTA VIDRO TP AROUCA 2171-L OU EQUIV</v>
          </cell>
          <cell r="C2211" t="str">
            <v xml:space="preserve">UN    </v>
          </cell>
          <cell r="D2211">
            <v>53.73</v>
          </cell>
        </row>
        <row r="2212">
          <cell r="A2212">
            <v>11481</v>
          </cell>
          <cell r="B2212" t="str">
            <v>FECHADURA DE EMBUTIR PARA PORTA DE BANHEIRO, CHAVE TIPO TRANQUETA, MAQUINA 40 MM, SEM MACANETA, SEM ESPELHO (SOMENTE MAQUINA) - NIVEL SEGURANCA MEDIO</v>
          </cell>
          <cell r="C2212" t="str">
            <v xml:space="preserve">UN    </v>
          </cell>
          <cell r="D2212">
            <v>16.21</v>
          </cell>
        </row>
        <row r="2213">
          <cell r="A2213">
            <v>3097</v>
          </cell>
          <cell r="B2213" t="str">
            <v>FECHADURA DE EMBUTIR PARA PORTA DE BANHEIRO, TIPO TRANQUETA, MAQUINA 40 MM, MACANETAS ALAVANCA E ROSETAS REDONDAS EM METAL CROMADO - NIVEL SEGURANCA MEDIO - COMPLETA</v>
          </cell>
          <cell r="C2213" t="str">
            <v xml:space="preserve">CJ    </v>
          </cell>
          <cell r="D2213">
            <v>33.29</v>
          </cell>
        </row>
        <row r="2214">
          <cell r="A2214">
            <v>38153</v>
          </cell>
          <cell r="B2214" t="str">
            <v>FECHADURA DE EMBUTIR PARA PORTA DE BANHEIRO, TIPO TRANQUETA, MAQUINA 40 MM, MACANETAS ALAVANCA, ESPELHO EM METAL CROMADO - NIVEL SEGURANCA MEDIO - COMPLETA</v>
          </cell>
          <cell r="C2214" t="str">
            <v xml:space="preserve">CJ    </v>
          </cell>
          <cell r="D2214">
            <v>30.54</v>
          </cell>
        </row>
        <row r="2215">
          <cell r="A2215">
            <v>3099</v>
          </cell>
          <cell r="B2215" t="str">
            <v>FECHADURA DE EMBUTIR PARA PORTA DE BANHEIRO, TIPO TRANQUETA, MAQUINA 55 MM, MACANETAS ALAVANCA E ROSETAS REDONDAS EM METAL CROMADO - NIVEL SEGURANCA MEDIO - COMPLETA</v>
          </cell>
          <cell r="C2215" t="str">
            <v xml:space="preserve">CJ    </v>
          </cell>
          <cell r="D2215">
            <v>53.26</v>
          </cell>
        </row>
        <row r="2216">
          <cell r="A2216">
            <v>3080</v>
          </cell>
          <cell r="B2216" t="str">
            <v>FECHADURA DE EMBUTIR PARA PORTA EXTERNA / ENTRADA, MAQUINA 40 MM, COM CILINDRO, MACANETA ALAVANCA E ESPELHO EM METAL CROMADO - NIVEL SEGURANCA MEDIO - COMPLETA</v>
          </cell>
          <cell r="C2216" t="str">
            <v xml:space="preserve">CJ    </v>
          </cell>
          <cell r="D2216">
            <v>44.5</v>
          </cell>
        </row>
        <row r="2217">
          <cell r="A2217">
            <v>3081</v>
          </cell>
          <cell r="B2217" t="str">
            <v>FECHADURA DE EMBUTIR PARA PORTA EXTERNA / ENTRADA, MAQUINA 55 MM, COM CILINDRO, MACANETA ALAVANCA E ESPELHO EM METAL CROMADO - NIVEL SEGURANCA MEDIO - COMPLETA</v>
          </cell>
          <cell r="C2217" t="str">
            <v xml:space="preserve">CJ    </v>
          </cell>
          <cell r="D2217">
            <v>67.349999999999994</v>
          </cell>
        </row>
        <row r="2218">
          <cell r="A2218">
            <v>38151</v>
          </cell>
          <cell r="B2218" t="str">
            <v>FECHADURA DE EMBUTIR PARA PORTA EXTERNA, MAQUINA 40 MM, COM CILINDRO, MACANETA ALAVANCA E ROSETA REDONDA EM METAL CROMADO - NIVEL DE SEGURANCA MEDIO - COMPLETA</v>
          </cell>
          <cell r="C2218" t="str">
            <v xml:space="preserve">CJ    </v>
          </cell>
          <cell r="D2218">
            <v>42.16</v>
          </cell>
        </row>
        <row r="2219">
          <cell r="A2219">
            <v>11479</v>
          </cell>
          <cell r="B2219" t="str">
            <v>FECHADURA DE EMBUTIR PARA PORTA EXTERNA, MAQUINA 40 MM, SEM MACANETA, SEM ESPELHO (SOMENTE MAQUINA) - NIVEL DE SEGURANCA MEDIO</v>
          </cell>
          <cell r="C2219" t="str">
            <v xml:space="preserve">UN    </v>
          </cell>
          <cell r="D2219">
            <v>24.51</v>
          </cell>
        </row>
        <row r="2220">
          <cell r="A2220">
            <v>38152</v>
          </cell>
          <cell r="B2220" t="str">
            <v>FECHADURA DE EMBUTIR PARA PORTA EXTERNA, MAQUINA 55 MM, COM CILINDRO, MACANETA ALAVANCA E ROSETA REDONDA EM METAL CROMADO - NIVEL DE SEGURANCA MEDIO - COMPLETA</v>
          </cell>
          <cell r="C2220" t="str">
            <v xml:space="preserve">CJ    </v>
          </cell>
          <cell r="D2220">
            <v>61.02</v>
          </cell>
        </row>
        <row r="2221">
          <cell r="A2221">
            <v>11478</v>
          </cell>
          <cell r="B2221" t="str">
            <v>FECHADURA DE EMBUTIR PARA PORTA EXTERNA, MAQUINA 55 MM, SEM ESPELHO, SEM MACANETA (SOMENTE MAQUINA) - NIVEL DE SEGURANCA MEDIO</v>
          </cell>
          <cell r="C2221" t="str">
            <v xml:space="preserve">UN    </v>
          </cell>
          <cell r="D2221">
            <v>43.01</v>
          </cell>
        </row>
        <row r="2222">
          <cell r="A2222">
            <v>3090</v>
          </cell>
          <cell r="B2222" t="str">
            <v>FECHADURA DE EMBUTIR PARA PORTA INTERNA, TIPO GORGES (CHAVE GRANDE), MAQUINA 40 MM, MACANETA ALAVANCA E ESPELHO EM METAL CROMADO - NIVEL SEGURANCA MEDIO - COMPLETA</v>
          </cell>
          <cell r="C2222" t="str">
            <v xml:space="preserve">CJ    </v>
          </cell>
          <cell r="D2222">
            <v>35.979999999999997</v>
          </cell>
        </row>
        <row r="2223">
          <cell r="A2223">
            <v>3093</v>
          </cell>
          <cell r="B2223" t="str">
            <v>FECHADURA DE EMBUTIR PARA PORTA INTERNA, TIPO GORGES (CHAVE GRANDE), MAQUINA 55 MM, MACANETAS ALAVANCA E ROSETAS REDONDAS EM METAL CROMADO - NIVEL SEGURANCA MEDIO - COMPLETA</v>
          </cell>
          <cell r="C2223" t="str">
            <v xml:space="preserve">CJ    </v>
          </cell>
          <cell r="D2223">
            <v>59.79</v>
          </cell>
        </row>
        <row r="2224">
          <cell r="A2224">
            <v>11476</v>
          </cell>
          <cell r="B2224" t="str">
            <v>FECHADURA DE EMBUTIR PARA PORTA INTERNA, TIPO GORGES, MAQUINA 55 MM (SOMENTE MAQUINA, SEM ESPELHO E SEM MACANETA) - NIVEL DE SEGURANCA MEDIO</v>
          </cell>
          <cell r="C2224" t="str">
            <v xml:space="preserve">UN    </v>
          </cell>
          <cell r="D2224">
            <v>25.77</v>
          </cell>
        </row>
        <row r="2225">
          <cell r="A2225">
            <v>11484</v>
          </cell>
          <cell r="B2225" t="str">
            <v>FECHADURA DE SOBREPOR PARA PORTAO, CAIXA *100* MM, COM CILINDRO, CHAVE SIMPLES, TRINCO LATERAL, EM  LATAO OU ACO CROMADO OU POLIDO, COM OU SEM PINTURA - COMPLETA</v>
          </cell>
          <cell r="C2225" t="str">
            <v xml:space="preserve">UN    </v>
          </cell>
          <cell r="D2225">
            <v>29.69</v>
          </cell>
        </row>
        <row r="2226">
          <cell r="A2226">
            <v>38155</v>
          </cell>
          <cell r="B2226" t="str">
            <v>FECHADURA DE SOBREPOR PARA PORTAO, COM CHAVE TETRA, CAIXA *100* MM, TRINCO LATERAL, EM LATAO OU ACO CROMADO, PINTADO - COMPLETA</v>
          </cell>
          <cell r="C2226" t="str">
            <v xml:space="preserve">UN    </v>
          </cell>
          <cell r="D2226">
            <v>40.479999999999997</v>
          </cell>
        </row>
        <row r="2227">
          <cell r="A2227">
            <v>11468</v>
          </cell>
          <cell r="B2227" t="str">
            <v>FECHADURA DE SOBREPOR, CROMADA, COM CILINDRO REDONDO, PARA ARMARIO E GAVETA DE MADEIRA, COM PORTA DE APROXIMADAMENTE 20 MM</v>
          </cell>
          <cell r="C2227" t="str">
            <v xml:space="preserve">UN    </v>
          </cell>
          <cell r="D2227">
            <v>9.08</v>
          </cell>
        </row>
        <row r="2228">
          <cell r="A2228">
            <v>11469</v>
          </cell>
          <cell r="B2228" t="str">
            <v>FECHADURA TRADICIONAL DE EMBUTIR, CROMADA, COM CILINDRO, PARA GAVETAS E MOVEIS DE MADEIRA - COM ABINHAS LATERAIS CURVAS, CHAVES COM PROTECAO PLASTICA</v>
          </cell>
          <cell r="C2228" t="str">
            <v xml:space="preserve">UN    </v>
          </cell>
          <cell r="D2228">
            <v>10.85</v>
          </cell>
        </row>
        <row r="2229">
          <cell r="A2229">
            <v>38165</v>
          </cell>
          <cell r="B2229" t="str">
            <v>FECHO / FECHADURA COM PUXADOR CONCHA, COM TRANCA TIPO TRAVA, PARA JANELA / PORTA DE CORRER (INCLUI TESTA, FECHADURA, PUXADOR) - COMPLETA</v>
          </cell>
          <cell r="C2229" t="str">
            <v xml:space="preserve">CJ    </v>
          </cell>
          <cell r="D2229">
            <v>57.17</v>
          </cell>
        </row>
        <row r="2230">
          <cell r="A2230">
            <v>11456</v>
          </cell>
          <cell r="B2230" t="str">
            <v>FECHO / TRINCO / FERROLHO FIO REDONDO, DE SOBREPOR, 12", EM ACO GALVANIZADO / ZINCADO</v>
          </cell>
          <cell r="C2230" t="str">
            <v xml:space="preserve">UN    </v>
          </cell>
          <cell r="D2230">
            <v>12.67</v>
          </cell>
        </row>
        <row r="2231">
          <cell r="A2231">
            <v>3119</v>
          </cell>
          <cell r="B2231" t="str">
            <v>FECHO / TRINCO / FERROLHO FIO REDONDO, DE SOBREPOR, 2", EM ACO GALVANIZADO / ZINCADO</v>
          </cell>
          <cell r="C2231" t="str">
            <v xml:space="preserve">UN    </v>
          </cell>
          <cell r="D2231">
            <v>1.88</v>
          </cell>
        </row>
        <row r="2232">
          <cell r="A2232">
            <v>3122</v>
          </cell>
          <cell r="B2232" t="str">
            <v>FECHO / TRINCO / FERROLHO FIO REDONDO, DE SOBREPOR, 4", EM ACO GALVANIZADO / ZINCADO</v>
          </cell>
          <cell r="C2232" t="str">
            <v xml:space="preserve">UN    </v>
          </cell>
          <cell r="D2232">
            <v>2.64</v>
          </cell>
        </row>
        <row r="2233">
          <cell r="A2233">
            <v>3121</v>
          </cell>
          <cell r="B2233" t="str">
            <v>FECHO / TRINCO / FERROLHO FIO REDONDO, DE SOBREPOR, 5", EM ACO GALVANIZADO / ZINCADO</v>
          </cell>
          <cell r="C2233" t="str">
            <v xml:space="preserve">UN    </v>
          </cell>
          <cell r="D2233">
            <v>4.0999999999999996</v>
          </cell>
        </row>
        <row r="2234">
          <cell r="A2234">
            <v>3120</v>
          </cell>
          <cell r="B2234" t="str">
            <v>FECHO / TRINCO / FERROLHO FIO REDONDO, DE SOBREPOR, 6", EM ACO GALVANIZADO / ZINCADO</v>
          </cell>
          <cell r="C2234" t="str">
            <v xml:space="preserve">UN    </v>
          </cell>
          <cell r="D2234">
            <v>6.47</v>
          </cell>
        </row>
        <row r="2235">
          <cell r="A2235">
            <v>11455</v>
          </cell>
          <cell r="B2235" t="str">
            <v>FECHO / TRINCO / FERROLHO FIO REDONDO, DE SOBREPOR, 8", EM ACO GALVANIZADO / ZINCADO</v>
          </cell>
          <cell r="C2235" t="str">
            <v xml:space="preserve">UN    </v>
          </cell>
          <cell r="D2235">
            <v>9.08</v>
          </cell>
        </row>
        <row r="2236">
          <cell r="A2236">
            <v>3108</v>
          </cell>
          <cell r="B2236" t="str">
            <v>FECHO DE EMBUTIR, TIPO UNHA, COMANDO COM ALAVANCA, EM LATAO CROMADO, 22 CM, PARA PORTAS E JANELAS - INCLUI PARAFUSOS</v>
          </cell>
          <cell r="C2236" t="str">
            <v xml:space="preserve">UN    </v>
          </cell>
          <cell r="D2236">
            <v>22.8</v>
          </cell>
        </row>
        <row r="2237">
          <cell r="A2237">
            <v>3105</v>
          </cell>
          <cell r="B2237" t="str">
            <v>FECHO DE EMBUTIR, TIPO UNHA, COMANDO COM ALAVANCA, EM LATAO CROMADO, 40 CM, PARA PORTAS E JANELAS - INCLUI PARAFUSOS</v>
          </cell>
          <cell r="C2237" t="str">
            <v xml:space="preserve">UN    </v>
          </cell>
          <cell r="D2237">
            <v>35.42</v>
          </cell>
        </row>
        <row r="2238">
          <cell r="A2238">
            <v>38178</v>
          </cell>
          <cell r="B2238" t="str">
            <v>FECHO DE EMBUTIR, TIPO UNHA, COMANDO DESLIZANTE, COM TRAVA, 120 MM, EM LATAO CROMADO</v>
          </cell>
          <cell r="C2238" t="str">
            <v xml:space="preserve">UN    </v>
          </cell>
          <cell r="D2238">
            <v>23.15</v>
          </cell>
        </row>
        <row r="2239">
          <cell r="A2239">
            <v>11458</v>
          </cell>
          <cell r="B2239" t="str">
            <v>FECHO DE SEGURANCA, TIPO BATOM, EM LATAO / ZAMAC, CROMADO, PARA PORTAS E JANELAS - INCLUI PARAFUSOS</v>
          </cell>
          <cell r="C2239" t="str">
            <v xml:space="preserve">UN    </v>
          </cell>
          <cell r="D2239">
            <v>20.28</v>
          </cell>
        </row>
        <row r="2240">
          <cell r="A2240">
            <v>42481</v>
          </cell>
          <cell r="B2240" t="str">
            <v>FELTRO EM LA DE ROCHA, 1 FACE REVESTIDA COM PAPEL ALUMINIZADO, EM ROLO, DENSIDADE = 32 KG/M3, E=*50* MM (COLETADO CAIXA)</v>
          </cell>
          <cell r="C2240" t="str">
            <v xml:space="preserve">M2    </v>
          </cell>
          <cell r="D2240">
            <v>21.19</v>
          </cell>
        </row>
        <row r="2241">
          <cell r="A2241">
            <v>43458</v>
          </cell>
          <cell r="B2241" t="str">
            <v>FERRAMENTAS - FAMILIA ALMOXARIFE - HORISTA (ENCARGOS COMPLEMENTARES - COLETADO CAIXA)</v>
          </cell>
          <cell r="C2241" t="str">
            <v xml:space="preserve">H     </v>
          </cell>
          <cell r="D2241">
            <v>0.04</v>
          </cell>
        </row>
        <row r="2242">
          <cell r="A2242">
            <v>43470</v>
          </cell>
          <cell r="B2242" t="str">
            <v>FERRAMENTAS - FAMILIA ALMOXARIFE - MENSALISTA (ENCARGOS COMPLEMENTARES - COLETADO CAIXA)</v>
          </cell>
          <cell r="C2242" t="str">
            <v xml:space="preserve">MES   </v>
          </cell>
          <cell r="D2242">
            <v>7.37</v>
          </cell>
        </row>
        <row r="2243">
          <cell r="A2243">
            <v>43459</v>
          </cell>
          <cell r="B2243" t="str">
            <v>FERRAMENTAS - FAMILIA CARPINTEIRO DE FORMAS - HORISTA (ENCARGOS COMPLEMENTARES - COLETADO CAIXA)</v>
          </cell>
          <cell r="C2243" t="str">
            <v xml:space="preserve">H     </v>
          </cell>
          <cell r="D2243">
            <v>0.34</v>
          </cell>
        </row>
        <row r="2244">
          <cell r="A2244">
            <v>43471</v>
          </cell>
          <cell r="B2244" t="str">
            <v>FERRAMENTAS - FAMILIA CARPINTEIRO DE FORMAS - MENSALISTA (ENCARGOS COMPLEMENTARES - COLETADO CAIXA)</v>
          </cell>
          <cell r="C2244" t="str">
            <v xml:space="preserve">MES   </v>
          </cell>
          <cell r="D2244">
            <v>64.510000000000005</v>
          </cell>
        </row>
        <row r="2245">
          <cell r="A2245">
            <v>43460</v>
          </cell>
          <cell r="B2245" t="str">
            <v>FERRAMENTAS - FAMILIA ELETRICISTA - HORISTA (ENCARGOS COMPLEMENTARES - COLETADO CAIXA)</v>
          </cell>
          <cell r="C2245" t="str">
            <v xml:space="preserve">H     </v>
          </cell>
          <cell r="D2245">
            <v>0.55000000000000004</v>
          </cell>
        </row>
        <row r="2246">
          <cell r="A2246">
            <v>43472</v>
          </cell>
          <cell r="B2246" t="str">
            <v>FERRAMENTAS - FAMILIA ELETRICISTA - MENSALISTA (ENCARGOS COMPLEMENTARES - COLETADO CAIXA)</v>
          </cell>
          <cell r="C2246" t="str">
            <v xml:space="preserve">MES   </v>
          </cell>
          <cell r="D2246">
            <v>103.89</v>
          </cell>
        </row>
        <row r="2247">
          <cell r="A2247">
            <v>43461</v>
          </cell>
          <cell r="B2247" t="str">
            <v>FERRAMENTAS - FAMILIA ENCANADOR - HORISTA (ENCARGOS COMPLEMENTARES - COLETADO CAIXA)</v>
          </cell>
          <cell r="C2247" t="str">
            <v xml:space="preserve">H     </v>
          </cell>
          <cell r="D2247">
            <v>0.24</v>
          </cell>
        </row>
        <row r="2248">
          <cell r="A2248">
            <v>43473</v>
          </cell>
          <cell r="B2248" t="str">
            <v>FERRAMENTAS - FAMILIA ENCANADOR - MENSALISTA (ENCARGOS COMPLEMENTARES - COLETADO CAIXA)</v>
          </cell>
          <cell r="C2248" t="str">
            <v xml:space="preserve">MES   </v>
          </cell>
          <cell r="D2248">
            <v>45.78</v>
          </cell>
        </row>
        <row r="2249">
          <cell r="A2249">
            <v>43463</v>
          </cell>
          <cell r="B2249" t="str">
            <v>FERRAMENTAS - FAMILIA ENCARREGADO GERAL - HORISTA (ENCARGOS COMPLEMENTARES - COLETADO CAIXA)</v>
          </cell>
          <cell r="C2249" t="str">
            <v xml:space="preserve">H     </v>
          </cell>
          <cell r="D2249">
            <v>0.08</v>
          </cell>
        </row>
        <row r="2250">
          <cell r="A2250">
            <v>43475</v>
          </cell>
          <cell r="B2250" t="str">
            <v>FERRAMENTAS - FAMILIA ENCARREGADO GERAL - MENSALISTA (ENCARGOS COMPLEMENTARES - COLETADO CAIXA)</v>
          </cell>
          <cell r="C2250" t="str">
            <v xml:space="preserve">MES   </v>
          </cell>
          <cell r="D2250">
            <v>14.26</v>
          </cell>
        </row>
        <row r="2251">
          <cell r="A2251">
            <v>43462</v>
          </cell>
          <cell r="B2251" t="str">
            <v>FERRAMENTAS - FAMILIA ENGENHEIRO CIVIL - HORISTA (ENCARGOS COMPLEMENTARES - COLETADO CAIXA)</v>
          </cell>
          <cell r="C2251" t="str">
            <v xml:space="preserve">H     </v>
          </cell>
          <cell r="D2251">
            <v>0.01</v>
          </cell>
        </row>
        <row r="2252">
          <cell r="A2252">
            <v>43474</v>
          </cell>
          <cell r="B2252" t="str">
            <v>FERRAMENTAS - FAMILIA ENGENHEIRO CIVIL - MENSALISTA (ENCARGOS COMPLEMENTARES - COLETADO CAIXA)</v>
          </cell>
          <cell r="C2252" t="str">
            <v xml:space="preserve">MES   </v>
          </cell>
          <cell r="D2252">
            <v>1.45</v>
          </cell>
        </row>
        <row r="2253">
          <cell r="A2253">
            <v>43464</v>
          </cell>
          <cell r="B2253" t="str">
            <v>FERRAMENTAS - FAMILIA OPERADOR ESCAVADEIRA - HORISTA (ENCARGOS COMPLEMENTARES - COLETADO CAIXA)</v>
          </cell>
          <cell r="C2253" t="str">
            <v xml:space="preserve">H     </v>
          </cell>
          <cell r="D2253">
            <v>0.01</v>
          </cell>
        </row>
        <row r="2254">
          <cell r="A2254">
            <v>43476</v>
          </cell>
          <cell r="B2254" t="str">
            <v>FERRAMENTAS - FAMILIA OPERADOR ESCAVADEIRA - MENSALISTA (ENCARGOS COMPLEMENTARES - COLETADO CAIXA)</v>
          </cell>
          <cell r="C2254" t="str">
            <v xml:space="preserve">MES   </v>
          </cell>
          <cell r="D2254">
            <v>0.01</v>
          </cell>
        </row>
        <row r="2255">
          <cell r="A2255">
            <v>43465</v>
          </cell>
          <cell r="B2255" t="str">
            <v>FERRAMENTAS - FAMILIA PEDREIRO - HORISTA (ENCARGOS COMPLEMENTARES - COLETADO CAIXA)</v>
          </cell>
          <cell r="C2255" t="str">
            <v xml:space="preserve">H     </v>
          </cell>
          <cell r="D2255">
            <v>0.5</v>
          </cell>
        </row>
        <row r="2256">
          <cell r="A2256">
            <v>43477</v>
          </cell>
          <cell r="B2256" t="str">
            <v>FERRAMENTAS - FAMILIA PEDREIRO - MENSALISTA (ENCARGOS COMPLEMENTARES - COLETADO CAIXA)</v>
          </cell>
          <cell r="C2256" t="str">
            <v xml:space="preserve">MES   </v>
          </cell>
          <cell r="D2256">
            <v>94.89</v>
          </cell>
        </row>
        <row r="2257">
          <cell r="A2257">
            <v>43466</v>
          </cell>
          <cell r="B2257" t="str">
            <v>FERRAMENTAS - FAMILIA PINTOR - HORISTA (ENCARGOS COMPLEMENTARES - COLETADO CAIXA)</v>
          </cell>
          <cell r="C2257" t="str">
            <v xml:space="preserve">H     </v>
          </cell>
          <cell r="D2257">
            <v>1.17</v>
          </cell>
        </row>
        <row r="2258">
          <cell r="A2258">
            <v>43478</v>
          </cell>
          <cell r="B2258" t="str">
            <v>FERRAMENTAS - FAMILIA PINTOR - MENSALISTA (ENCARGOS COMPLEMENTARES - COLETADO CAIXA)</v>
          </cell>
          <cell r="C2258" t="str">
            <v xml:space="preserve">MES   </v>
          </cell>
          <cell r="D2258">
            <v>220.02</v>
          </cell>
        </row>
        <row r="2259">
          <cell r="A2259">
            <v>43467</v>
          </cell>
          <cell r="B2259" t="str">
            <v>FERRAMENTAS - FAMILIA SERVENTE - HORISTA (ENCARGOS COMPLEMENTARES - COLETADO CAIXA)</v>
          </cell>
          <cell r="C2259" t="str">
            <v xml:space="preserve">H     </v>
          </cell>
          <cell r="D2259">
            <v>0.38</v>
          </cell>
        </row>
        <row r="2260">
          <cell r="A2260">
            <v>43479</v>
          </cell>
          <cell r="B2260" t="str">
            <v>FERRAMENTAS - FAMILIA SERVENTE - MENSALISTA (ENCARGOS COMPLEMENTARES - COLETADO CAIXA)</v>
          </cell>
          <cell r="C2260" t="str">
            <v xml:space="preserve">MES   </v>
          </cell>
          <cell r="D2260">
            <v>71.290000000000006</v>
          </cell>
        </row>
        <row r="2261">
          <cell r="A2261">
            <v>43468</v>
          </cell>
          <cell r="B2261" t="str">
            <v>FERRAMENTAS - FAMILIA SOLDADOR - HORISTA (ENCARGOS COMPLEMENTARES - COLETADO CAIXA)</v>
          </cell>
          <cell r="C2261" t="str">
            <v xml:space="preserve">H     </v>
          </cell>
          <cell r="D2261">
            <v>0.84</v>
          </cell>
        </row>
        <row r="2262">
          <cell r="A2262">
            <v>43480</v>
          </cell>
          <cell r="B2262" t="str">
            <v>FERRAMENTAS - FAMILIA SOLDADOR - MENSALISTA (ENCARGOS COMPLEMENTARES - COLETADO CAIXA)</v>
          </cell>
          <cell r="C2262" t="str">
            <v xml:space="preserve">MES   </v>
          </cell>
          <cell r="D2262">
            <v>157.85</v>
          </cell>
        </row>
        <row r="2263">
          <cell r="A2263">
            <v>43469</v>
          </cell>
          <cell r="B2263" t="str">
            <v>FERRAMENTAS - FAMILIA TOPOGRAFO - HORISTA (ENCARGOS COMPLEMENTARES - COLETADO CAIXA)</v>
          </cell>
          <cell r="C2263" t="str">
            <v xml:space="preserve">H     </v>
          </cell>
          <cell r="D2263">
            <v>0.05</v>
          </cell>
        </row>
        <row r="2264">
          <cell r="A2264">
            <v>43481</v>
          </cell>
          <cell r="B2264" t="str">
            <v>FERRAMENTAS - FAMILIA TOPOGRAFO - MENSALISTA (ENCARGOS COMPLEMENTARES - COLETADO CAIXA)</v>
          </cell>
          <cell r="C2264" t="str">
            <v xml:space="preserve">MES   </v>
          </cell>
          <cell r="D2264">
            <v>10.02</v>
          </cell>
        </row>
        <row r="2265">
          <cell r="A2265">
            <v>11461</v>
          </cell>
          <cell r="B2265" t="str">
            <v>FERROLHO / FECHO CHATO, DE SOBREPOR, EM FERRO ZINCADO, REFORCADO, 5", COM PORTA CADEADO, PARA PORTAO, PORTA E JANELA - INCLUI PARAFUSOS</v>
          </cell>
          <cell r="C2265" t="str">
            <v xml:space="preserve">UN    </v>
          </cell>
          <cell r="D2265">
            <v>5.14</v>
          </cell>
        </row>
        <row r="2266">
          <cell r="A2266">
            <v>3106</v>
          </cell>
          <cell r="B2266" t="str">
            <v>FERROLHO / FECHO CHATO, DE SOBREPOR, EM FERRO ZINCADO, REFORCADO, 6", COM PORTA CADEADO, PARA PORTAO, PORTA E JANELA - INCLUI PARAFUSOS</v>
          </cell>
          <cell r="C2266" t="str">
            <v xml:space="preserve">UN    </v>
          </cell>
          <cell r="D2266">
            <v>3.91</v>
          </cell>
        </row>
        <row r="2267">
          <cell r="A2267">
            <v>3107</v>
          </cell>
          <cell r="B2267" t="str">
            <v>FERROLHO / FECHO CHATO, EM FERRO ZINCADO, LEVE, 3", COM PORTA CADEADO, PARA PORTAO, PORTA E JANELA - INCLUI PARAFUSOS</v>
          </cell>
          <cell r="C2267" t="str">
            <v xml:space="preserve">UN    </v>
          </cell>
          <cell r="D2267">
            <v>3.29</v>
          </cell>
        </row>
        <row r="2268">
          <cell r="A2268">
            <v>25951</v>
          </cell>
          <cell r="B2268" t="str">
            <v>FERTILIZANTE NPK - 10:10:10</v>
          </cell>
          <cell r="C2268" t="str">
            <v xml:space="preserve">KG    </v>
          </cell>
          <cell r="D2268">
            <v>1.74</v>
          </cell>
        </row>
        <row r="2269">
          <cell r="A2269">
            <v>3123</v>
          </cell>
          <cell r="B2269" t="str">
            <v>FERTILIZANTE NPK - 4: 14: 8</v>
          </cell>
          <cell r="C2269" t="str">
            <v xml:space="preserve">KG    </v>
          </cell>
          <cell r="D2269">
            <v>1.63</v>
          </cell>
        </row>
        <row r="2270">
          <cell r="A2270">
            <v>38125</v>
          </cell>
          <cell r="B2270" t="str">
            <v>FERTILIZANTE ORGANICO COMPOSTO, CLASSE A</v>
          </cell>
          <cell r="C2270" t="str">
            <v xml:space="preserve">KG    </v>
          </cell>
          <cell r="D2270">
            <v>0.87</v>
          </cell>
        </row>
        <row r="2271">
          <cell r="A2271">
            <v>39014</v>
          </cell>
          <cell r="B2271" t="str">
            <v>FIBRA DE ACO PARA REFORCO DO CONCRETO, SOLTA, TIPO A-I, FATOR DE FORMA *50* L / D, COMPRIMENTO DE *30* MM E RESISTENCIA A TRACAO DO ACO MAIOR 1000 MPA</v>
          </cell>
          <cell r="C2271" t="str">
            <v xml:space="preserve">KG    </v>
          </cell>
          <cell r="D2271">
            <v>6.81</v>
          </cell>
        </row>
        <row r="2272">
          <cell r="A2272">
            <v>39365</v>
          </cell>
          <cell r="B2272" t="str">
            <v>FILTRO ANAEROBIO, EM POLIETILENO DE ALTA DENSIDADE (PEAD), CAPACIDADE *1100* LITROS (NBR 13969)</v>
          </cell>
          <cell r="C2272" t="str">
            <v xml:space="preserve">UN    </v>
          </cell>
          <cell r="D2272">
            <v>793.07</v>
          </cell>
        </row>
        <row r="2273">
          <cell r="A2273">
            <v>39366</v>
          </cell>
          <cell r="B2273" t="str">
            <v>FILTRO ANAEROBIO, EM POLIETILENO DE ALTA DENSIDADE (PEAD), CAPACIDADE *2800* LITROS (NBR 13969)</v>
          </cell>
          <cell r="C2273" t="str">
            <v xml:space="preserve">UN    </v>
          </cell>
          <cell r="D2273">
            <v>2030.59</v>
          </cell>
        </row>
        <row r="2274">
          <cell r="A2274">
            <v>39367</v>
          </cell>
          <cell r="B2274" t="str">
            <v>FILTRO ANAEROBIO, EM POLIETILENO DE ALTA DENSIDADE (PEAD), CAPACIDADE *5000* LITROS (NBR 13969)</v>
          </cell>
          <cell r="C2274" t="str">
            <v xml:space="preserve">UN    </v>
          </cell>
          <cell r="D2274">
            <v>2775.46</v>
          </cell>
        </row>
        <row r="2275">
          <cell r="A2275">
            <v>37394</v>
          </cell>
          <cell r="B2275" t="str">
            <v>FINCAPINO CURTO CALIBRE 22 VERMELHO, CARGA MEDIA (ACAO DIRETA)</v>
          </cell>
          <cell r="C2275" t="str">
            <v xml:space="preserve">CENTO </v>
          </cell>
          <cell r="D2275">
            <v>35.94</v>
          </cell>
        </row>
        <row r="2276">
          <cell r="A2276">
            <v>14146</v>
          </cell>
          <cell r="B2276" t="str">
            <v>FINCAPINO LONGO CALIBRE 22, CARGA FORTE (ACAO DIRETA)</v>
          </cell>
          <cell r="C2276" t="str">
            <v xml:space="preserve">CENTO </v>
          </cell>
          <cell r="D2276">
            <v>57.8</v>
          </cell>
        </row>
        <row r="2277">
          <cell r="A2277">
            <v>38134</v>
          </cell>
          <cell r="B2277" t="str">
            <v>FIO COBRE NU DE 150 A 500 MM2, PARA TENSOES DE ATE 600 V</v>
          </cell>
          <cell r="C2277" t="str">
            <v xml:space="preserve">KG    </v>
          </cell>
          <cell r="D2277">
            <v>59.78</v>
          </cell>
        </row>
        <row r="2278">
          <cell r="A2278">
            <v>38132</v>
          </cell>
          <cell r="B2278" t="str">
            <v>FIO COBRE NU DE 16 A 35 MM2, PARA TENSOES DE ATE 600 V</v>
          </cell>
          <cell r="C2278" t="str">
            <v xml:space="preserve">KG    </v>
          </cell>
          <cell r="D2278">
            <v>60.98</v>
          </cell>
        </row>
        <row r="2279">
          <cell r="A2279">
            <v>38133</v>
          </cell>
          <cell r="B2279" t="str">
            <v>FIO COBRE NU DE 50 A 120 MM2, PARA TENSOES DE ATE 600 V</v>
          </cell>
          <cell r="C2279" t="str">
            <v xml:space="preserve">KG    </v>
          </cell>
          <cell r="D2279">
            <v>58.98</v>
          </cell>
        </row>
        <row r="2280">
          <cell r="A2280">
            <v>938</v>
          </cell>
          <cell r="B2280" t="str">
            <v>FIO DE COBRE, SOLIDO, CLASSE 1, ISOLACAO EM PVC/A, ANTICHAMA BWF-B, 450/750V, SECAO NOMINAL 1,5 MM2</v>
          </cell>
          <cell r="C2280" t="str">
            <v xml:space="preserve">M     </v>
          </cell>
          <cell r="D2280">
            <v>0.93</v>
          </cell>
        </row>
        <row r="2281">
          <cell r="A2281">
            <v>937</v>
          </cell>
          <cell r="B2281" t="str">
            <v>FIO DE COBRE, SOLIDO, CLASSE 1, ISOLACAO EM PVC/A, ANTICHAMA BWF-B, 450/750V, SECAO NOMINAL 10 MM2</v>
          </cell>
          <cell r="C2281" t="str">
            <v xml:space="preserve">M     </v>
          </cell>
          <cell r="D2281">
            <v>5.79</v>
          </cell>
        </row>
        <row r="2282">
          <cell r="A2282">
            <v>939</v>
          </cell>
          <cell r="B2282" t="str">
            <v>FIO DE COBRE, SOLIDO, CLASSE 1, ISOLACAO EM PVC/A, ANTICHAMA BWF-B, 450/750V, SECAO NOMINAL 2,5 MM2</v>
          </cell>
          <cell r="C2282" t="str">
            <v xml:space="preserve">M     </v>
          </cell>
          <cell r="D2282">
            <v>1.5</v>
          </cell>
        </row>
        <row r="2283">
          <cell r="A2283">
            <v>944</v>
          </cell>
          <cell r="B2283" t="str">
            <v>FIO DE COBRE, SOLIDO, CLASSE 1, ISOLACAO EM PVC/A, ANTICHAMA BWF-B, 450/750V, SECAO NOMINAL 4 MM2</v>
          </cell>
          <cell r="C2283" t="str">
            <v xml:space="preserve">M     </v>
          </cell>
          <cell r="D2283">
            <v>2.56</v>
          </cell>
        </row>
        <row r="2284">
          <cell r="A2284">
            <v>940</v>
          </cell>
          <cell r="B2284" t="str">
            <v>FIO DE COBRE, SOLIDO, CLASSE 1, ISOLACAO EM PVC/A, ANTICHAMA BWF-B, 450/750V, SECAO NOMINAL 6 MM2</v>
          </cell>
          <cell r="C2284" t="str">
            <v xml:space="preserve">M     </v>
          </cell>
          <cell r="D2284">
            <v>3.54</v>
          </cell>
        </row>
        <row r="2285">
          <cell r="A2285">
            <v>936</v>
          </cell>
          <cell r="B2285" t="str">
            <v>FIO TELEFONICO EXTERNO (FE) EM ACO COBREADO, ISOLACAO EM PEAD OU PVC ANTI-CHAMA, 2 CONDUTORES</v>
          </cell>
          <cell r="C2285" t="str">
            <v xml:space="preserve">M     </v>
          </cell>
          <cell r="D2285">
            <v>1.37</v>
          </cell>
        </row>
        <row r="2286">
          <cell r="A2286">
            <v>935</v>
          </cell>
          <cell r="B2286" t="str">
            <v>FIO TELEFONICO INTERNO (FI) EM COBRE ESTANHADO, ISOLACAO EM PVC ANTICHAMA, 2 CONDUTORES DE 0,6 MM (NBR 9115:2005)</v>
          </cell>
          <cell r="C2286" t="str">
            <v xml:space="preserve">M     </v>
          </cell>
          <cell r="D2286">
            <v>1.04</v>
          </cell>
        </row>
        <row r="2287">
          <cell r="A2287">
            <v>406</v>
          </cell>
          <cell r="B2287" t="str">
            <v>FITA ACO INOX PARA CINTAR POSTE, L = 19 MM, E = 0,5 MM (ROLO DE 30M)</v>
          </cell>
          <cell r="C2287" t="str">
            <v xml:space="preserve">UN    </v>
          </cell>
          <cell r="D2287">
            <v>63.08</v>
          </cell>
        </row>
        <row r="2288">
          <cell r="A2288">
            <v>42529</v>
          </cell>
          <cell r="B2288" t="str">
            <v>FITA ADESIVA ALUMINIZADA, PARA INSTALACAO DE MANTAS DE SUBCOBERTURA,  L = *5* CM</v>
          </cell>
          <cell r="C2288" t="str">
            <v xml:space="preserve">M     </v>
          </cell>
          <cell r="D2288">
            <v>1.1399999999999999</v>
          </cell>
        </row>
        <row r="2289">
          <cell r="A2289">
            <v>39634</v>
          </cell>
          <cell r="B2289" t="str">
            <v>FITA ADESIVA ANTICORROSIVA DE PVC FLEXIVEL, COR PRETA, PARA PROTECAO TUBULACAO, 50 MM X 30 M (L X C), E= *0,25* MM</v>
          </cell>
          <cell r="C2289" t="str">
            <v xml:space="preserve">M     </v>
          </cell>
          <cell r="D2289">
            <v>8.26</v>
          </cell>
        </row>
        <row r="2290">
          <cell r="A2290">
            <v>39701</v>
          </cell>
          <cell r="B2290" t="str">
            <v>FITA ADESIVA ASFALTICA ALUMINIZADA MULTIUSO, L = 10 CM, ROLO DE 10 M</v>
          </cell>
          <cell r="C2290" t="str">
            <v xml:space="preserve">UN    </v>
          </cell>
          <cell r="D2290">
            <v>61.24</v>
          </cell>
        </row>
        <row r="2291">
          <cell r="A2291">
            <v>12815</v>
          </cell>
          <cell r="B2291" t="str">
            <v>FITA CREPE ROLO DE 25 MM X 50 M</v>
          </cell>
          <cell r="C2291" t="str">
            <v xml:space="preserve">UN    </v>
          </cell>
          <cell r="D2291">
            <v>8.17</v>
          </cell>
        </row>
        <row r="2292">
          <cell r="A2292">
            <v>407</v>
          </cell>
          <cell r="B2292" t="str">
            <v>FITA DE ALUMINIO PARA PROTECAO DO CONDUTOR LARGURA 10 MM</v>
          </cell>
          <cell r="C2292" t="str">
            <v xml:space="preserve">KG    </v>
          </cell>
          <cell r="D2292">
            <v>40.64</v>
          </cell>
        </row>
        <row r="2293">
          <cell r="A2293">
            <v>39431</v>
          </cell>
          <cell r="B2293" t="str">
            <v>FITA DE PAPEL MICROPERFURADO, 50 X 150 MM, PARA TRATAMENTO DE JUNTAS DE CHAPA DE GESSO PARA DRYWALL</v>
          </cell>
          <cell r="C2293" t="str">
            <v xml:space="preserve">M     </v>
          </cell>
          <cell r="D2293">
            <v>0.23</v>
          </cell>
        </row>
        <row r="2294">
          <cell r="A2294">
            <v>39432</v>
          </cell>
          <cell r="B2294" t="str">
            <v>FITA DE PAPEL REFORCADA COM LAMINA DE METAL PARA REFORCO DE CANTOS DE CHAPA DE GESSO PARA DRYWALL</v>
          </cell>
          <cell r="C2294" t="str">
            <v xml:space="preserve">M     </v>
          </cell>
          <cell r="D2294">
            <v>2.96</v>
          </cell>
        </row>
        <row r="2295">
          <cell r="A2295">
            <v>20111</v>
          </cell>
          <cell r="B2295" t="str">
            <v>FITA ISOLANTE ADESIVA ANTICHAMA, USO ATE 750 V, EM ROLO DE 19 MM X 20 M</v>
          </cell>
          <cell r="C2295" t="str">
            <v xml:space="preserve">UN    </v>
          </cell>
          <cell r="D2295">
            <v>10</v>
          </cell>
        </row>
        <row r="2296">
          <cell r="A2296">
            <v>21127</v>
          </cell>
          <cell r="B2296" t="str">
            <v>FITA ISOLANTE ADESIVA ANTICHAMA, USO ATE 750 V, EM ROLO DE 19 MM X 5 M</v>
          </cell>
          <cell r="C2296" t="str">
            <v xml:space="preserve">UN    </v>
          </cell>
          <cell r="D2296">
            <v>3.78</v>
          </cell>
        </row>
        <row r="2297">
          <cell r="A2297">
            <v>404</v>
          </cell>
          <cell r="B2297" t="str">
            <v>FITA ISOLANTE DE BORRACHA AUTOFUSAO, USO ATE 69 KV (ALTA TENSAO)</v>
          </cell>
          <cell r="C2297" t="str">
            <v xml:space="preserve">M     </v>
          </cell>
          <cell r="D2297">
            <v>1.36</v>
          </cell>
        </row>
        <row r="2298">
          <cell r="A2298">
            <v>14151</v>
          </cell>
          <cell r="B2298" t="str">
            <v>FITA METALICA GRAVADA, L = 17 MM, ROLO DE 25 M, CARGA RECOMENDADA = *120* KGF</v>
          </cell>
          <cell r="C2298" t="str">
            <v xml:space="preserve">UN    </v>
          </cell>
          <cell r="D2298">
            <v>41.54</v>
          </cell>
        </row>
        <row r="2299">
          <cell r="A2299">
            <v>14153</v>
          </cell>
          <cell r="B2299" t="str">
            <v>FITA METALICA PERFURADA, L = *18* MM, ROLO DE 30 M, CARGA RECOMENDADA = *30* KGF</v>
          </cell>
          <cell r="C2299" t="str">
            <v xml:space="preserve">UN    </v>
          </cell>
          <cell r="D2299">
            <v>46.96</v>
          </cell>
        </row>
        <row r="2300">
          <cell r="A2300">
            <v>14152</v>
          </cell>
          <cell r="B2300" t="str">
            <v>FITA METALICA PERFURADA, L = 17 MM, ROLO DE 30 M, CARGA RECOMENDADA = *19* KGF</v>
          </cell>
          <cell r="C2300" t="str">
            <v xml:space="preserve">UN    </v>
          </cell>
          <cell r="D2300">
            <v>36.049999999999997</v>
          </cell>
        </row>
        <row r="2301">
          <cell r="A2301">
            <v>14154</v>
          </cell>
          <cell r="B2301" t="str">
            <v>FITA METALICA PERFURADA, L = 25 MM, ROLO DE 30 M, CARGA RECOMENDADA = *222,5* KGF</v>
          </cell>
          <cell r="C2301" t="str">
            <v xml:space="preserve">UN    </v>
          </cell>
          <cell r="D2301">
            <v>126.18</v>
          </cell>
        </row>
        <row r="2302">
          <cell r="A2302">
            <v>42015</v>
          </cell>
          <cell r="B2302" t="str">
            <v>FITA PLASTICA ZEBRADA PARA DEMARCACAO DE AREAS, LARGURA = 7 CM, SEM ADESIVO (COLETADO CAIXA)</v>
          </cell>
          <cell r="C2302" t="str">
            <v xml:space="preserve">M     </v>
          </cell>
          <cell r="D2302">
            <v>0.08</v>
          </cell>
        </row>
        <row r="2303">
          <cell r="A2303">
            <v>3146</v>
          </cell>
          <cell r="B2303" t="str">
            <v>FITA VEDA ROSCA EM ROLOS DE 18 MM X 10 M (L X C)</v>
          </cell>
          <cell r="C2303" t="str">
            <v xml:space="preserve">UN    </v>
          </cell>
          <cell r="D2303">
            <v>4.24</v>
          </cell>
        </row>
        <row r="2304">
          <cell r="A2304">
            <v>3143</v>
          </cell>
          <cell r="B2304" t="str">
            <v>FITA VEDA ROSCA EM ROLOS DE 18 MM X 25 M (L X C)</v>
          </cell>
          <cell r="C2304" t="str">
            <v xml:space="preserve">UN    </v>
          </cell>
          <cell r="D2304">
            <v>9.64</v>
          </cell>
        </row>
        <row r="2305">
          <cell r="A2305">
            <v>3148</v>
          </cell>
          <cell r="B2305" t="str">
            <v>FITA VEDA ROSCA EM ROLOS DE 18 MM X 50 M (L X C)</v>
          </cell>
          <cell r="C2305" t="str">
            <v xml:space="preserve">UN    </v>
          </cell>
          <cell r="D2305">
            <v>15.63</v>
          </cell>
        </row>
        <row r="2306">
          <cell r="A2306">
            <v>4310</v>
          </cell>
          <cell r="B2306" t="str">
            <v>FIXADOR DE ABA AUTOTRAVANTE PARA TELHA DE FIBROCIMENTO, TIPO CANALETE 90 OU KALHETAO</v>
          </cell>
          <cell r="C2306" t="str">
            <v xml:space="preserve">UN    </v>
          </cell>
          <cell r="D2306">
            <v>1.8</v>
          </cell>
        </row>
        <row r="2307">
          <cell r="A2307">
            <v>4311</v>
          </cell>
          <cell r="B2307" t="str">
            <v>FIXADOR DE ABA SIMPLES PARA TELHA DE FIBROCIMENTO, TIPO CANALETA 49 OU KALHETA</v>
          </cell>
          <cell r="C2307" t="str">
            <v xml:space="preserve">UN    </v>
          </cell>
          <cell r="D2307">
            <v>1.26</v>
          </cell>
        </row>
        <row r="2308">
          <cell r="A2308">
            <v>4312</v>
          </cell>
          <cell r="B2308" t="str">
            <v>FIXADOR DE ABA SIMPLES PARA TELHA DE FIBROCIMENTO, TIPO CANALETA 90 OU KALHETAO</v>
          </cell>
          <cell r="C2308" t="str">
            <v xml:space="preserve">UN    </v>
          </cell>
          <cell r="D2308">
            <v>1.77</v>
          </cell>
        </row>
        <row r="2309">
          <cell r="A2309">
            <v>13261</v>
          </cell>
          <cell r="B2309" t="str">
            <v>FLANELA *30 X 40* CM</v>
          </cell>
          <cell r="C2309" t="str">
            <v xml:space="preserve">UN    </v>
          </cell>
          <cell r="D2309">
            <v>2.6</v>
          </cell>
        </row>
        <row r="2310">
          <cell r="A2310">
            <v>3255</v>
          </cell>
          <cell r="B2310" t="str">
            <v>FLANGE PVC, ROSCAVEL SEXTAVADO SEM FUROS 3/4"</v>
          </cell>
          <cell r="C2310" t="str">
            <v xml:space="preserve">UN    </v>
          </cell>
          <cell r="D2310">
            <v>5.77</v>
          </cell>
        </row>
        <row r="2311">
          <cell r="A2311">
            <v>3254</v>
          </cell>
          <cell r="B2311" t="str">
            <v>FLANGE PVC, ROSCAVEL, SEXTAVADO, SEM FUROS 3"</v>
          </cell>
          <cell r="C2311" t="str">
            <v xml:space="preserve">UN    </v>
          </cell>
          <cell r="D2311">
            <v>93.77</v>
          </cell>
        </row>
        <row r="2312">
          <cell r="A2312">
            <v>3259</v>
          </cell>
          <cell r="B2312" t="str">
            <v>FLANGE PVC, ROSCAVEL, SEXTAVADO, SEM FUROS, 1 1/2"</v>
          </cell>
          <cell r="C2312" t="str">
            <v xml:space="preserve">UN    </v>
          </cell>
          <cell r="D2312">
            <v>11.27</v>
          </cell>
        </row>
        <row r="2313">
          <cell r="A2313">
            <v>3258</v>
          </cell>
          <cell r="B2313" t="str">
            <v>FLANGE PVC, ROSCAVEL, SEXTAVADO, SEM FUROS, 1 1/4"</v>
          </cell>
          <cell r="C2313" t="str">
            <v xml:space="preserve">UN    </v>
          </cell>
          <cell r="D2313">
            <v>6.81</v>
          </cell>
        </row>
        <row r="2314">
          <cell r="A2314">
            <v>3251</v>
          </cell>
          <cell r="B2314" t="str">
            <v>FLANGE PVC, ROSCAVEL, SEXTAVADO, SEM FUROS, 1/2"</v>
          </cell>
          <cell r="C2314" t="str">
            <v xml:space="preserve">UN    </v>
          </cell>
          <cell r="D2314">
            <v>4.01</v>
          </cell>
        </row>
        <row r="2315">
          <cell r="A2315">
            <v>3256</v>
          </cell>
          <cell r="B2315" t="str">
            <v>FLANGE PVC, ROSCAVEL, SEXTAVADO, SEM FUROS, 1"</v>
          </cell>
          <cell r="C2315" t="str">
            <v xml:space="preserve">UN    </v>
          </cell>
          <cell r="D2315">
            <v>7.6</v>
          </cell>
        </row>
        <row r="2316">
          <cell r="A2316">
            <v>3261</v>
          </cell>
          <cell r="B2316" t="str">
            <v>FLANGE PVC, ROSCAVEL, SEXTAVADO, SEM FUROS, 2 1/2"</v>
          </cell>
          <cell r="C2316" t="str">
            <v xml:space="preserve">UN    </v>
          </cell>
          <cell r="D2316">
            <v>82.92</v>
          </cell>
        </row>
        <row r="2317">
          <cell r="A2317">
            <v>3260</v>
          </cell>
          <cell r="B2317" t="str">
            <v>FLANGE PVC, ROSCAVEL, SEXTAVADO, SEM FUROS, 2"</v>
          </cell>
          <cell r="C2317" t="str">
            <v xml:space="preserve">UN    </v>
          </cell>
          <cell r="D2317">
            <v>14.24</v>
          </cell>
        </row>
        <row r="2318">
          <cell r="A2318">
            <v>3272</v>
          </cell>
          <cell r="B2318" t="str">
            <v>FLANGE SEXTAVADO DE FERRO GALVANIZADO, COM ROSCA BSP, DE 1 1/2"</v>
          </cell>
          <cell r="C2318" t="str">
            <v xml:space="preserve">UN    </v>
          </cell>
          <cell r="D2318">
            <v>29.59</v>
          </cell>
        </row>
        <row r="2319">
          <cell r="A2319">
            <v>3265</v>
          </cell>
          <cell r="B2319" t="str">
            <v>FLANGE SEXTAVADO DE FERRO GALVANIZADO, COM ROSCA BSP, DE 1 1/4"</v>
          </cell>
          <cell r="C2319" t="str">
            <v xml:space="preserve">UN    </v>
          </cell>
          <cell r="D2319">
            <v>23.51</v>
          </cell>
        </row>
        <row r="2320">
          <cell r="A2320">
            <v>3262</v>
          </cell>
          <cell r="B2320" t="str">
            <v>FLANGE SEXTAVADO DE FERRO GALVANIZADO, COM ROSCA BSP, DE 1/2"</v>
          </cell>
          <cell r="C2320" t="str">
            <v xml:space="preserve">UN    </v>
          </cell>
          <cell r="D2320">
            <v>10.29</v>
          </cell>
        </row>
        <row r="2321">
          <cell r="A2321">
            <v>3264</v>
          </cell>
          <cell r="B2321" t="str">
            <v>FLANGE SEXTAVADO DE FERRO GALVANIZADO, COM ROSCA BSP, DE 1"</v>
          </cell>
          <cell r="C2321" t="str">
            <v xml:space="preserve">UN    </v>
          </cell>
          <cell r="D2321">
            <v>16.899999999999999</v>
          </cell>
        </row>
        <row r="2322">
          <cell r="A2322">
            <v>3267</v>
          </cell>
          <cell r="B2322" t="str">
            <v>FLANGE SEXTAVADO DE FERRO GALVANIZADO, COM ROSCA BSP, DE 2 1/2"</v>
          </cell>
          <cell r="C2322" t="str">
            <v xml:space="preserve">UN    </v>
          </cell>
          <cell r="D2322">
            <v>55.21</v>
          </cell>
        </row>
        <row r="2323">
          <cell r="A2323">
            <v>3266</v>
          </cell>
          <cell r="B2323" t="str">
            <v>FLANGE SEXTAVADO DE FERRO GALVANIZADO, COM ROSCA BSP, DE 2"</v>
          </cell>
          <cell r="C2323" t="str">
            <v xml:space="preserve">UN    </v>
          </cell>
          <cell r="D2323">
            <v>35.130000000000003</v>
          </cell>
        </row>
        <row r="2324">
          <cell r="A2324">
            <v>3263</v>
          </cell>
          <cell r="B2324" t="str">
            <v>FLANGE SEXTAVADO DE FERRO GALVANIZADO, COM ROSCA BSP, DE 3/4"</v>
          </cell>
          <cell r="C2324" t="str">
            <v xml:space="preserve">UN    </v>
          </cell>
          <cell r="D2324">
            <v>14.06</v>
          </cell>
        </row>
        <row r="2325">
          <cell r="A2325">
            <v>3268</v>
          </cell>
          <cell r="B2325" t="str">
            <v>FLANGE SEXTAVADO DE FERRO GALVANIZADO, COM ROSCA BSP, DE 3"</v>
          </cell>
          <cell r="C2325" t="str">
            <v xml:space="preserve">UN    </v>
          </cell>
          <cell r="D2325">
            <v>74.650000000000006</v>
          </cell>
        </row>
        <row r="2326">
          <cell r="A2326">
            <v>3271</v>
          </cell>
          <cell r="B2326" t="str">
            <v>FLANGE SEXTAVADO DE FERRO GALVANIZADO, COM ROSCA BSP, DE 4"</v>
          </cell>
          <cell r="C2326" t="str">
            <v xml:space="preserve">UN    </v>
          </cell>
          <cell r="D2326">
            <v>110.36</v>
          </cell>
        </row>
        <row r="2327">
          <cell r="A2327">
            <v>3270</v>
          </cell>
          <cell r="B2327" t="str">
            <v>FLANGE SEXTAVADO DE FERRO GALVANIZADO, COM ROSCA BSP, DE 6"</v>
          </cell>
          <cell r="C2327" t="str">
            <v xml:space="preserve">UN    </v>
          </cell>
          <cell r="D2327">
            <v>185.42</v>
          </cell>
        </row>
        <row r="2328">
          <cell r="A2328">
            <v>3275</v>
          </cell>
          <cell r="B2328" t="str">
            <v>FORRO COMPOSTO POR PAINEIS DE LA DE VIDRO, REVESTIDOS EM PVC MICROPERFURADO, DE *1250 X 625* MM, ESPESSURA 15 MM (COM COLOCACAO)</v>
          </cell>
          <cell r="C2328" t="str">
            <v xml:space="preserve">M2    </v>
          </cell>
          <cell r="D2328">
            <v>71.39</v>
          </cell>
        </row>
        <row r="2329">
          <cell r="A2329">
            <v>39512</v>
          </cell>
          <cell r="B2329" t="str">
            <v>FORRO DE FIBRA MINERAL EM PLACAS DE 1250 X 625 MM, E = 15 MM, BORDA RETA, COM PINTURA ANTIMOFO, APOIADO EM PERFIL DE ACO GALVANIZADO COM 24 MM DE BASE - INSTALADO</v>
          </cell>
          <cell r="C2329" t="str">
            <v xml:space="preserve">M2    </v>
          </cell>
          <cell r="D2329">
            <v>95.24</v>
          </cell>
        </row>
        <row r="2330">
          <cell r="A2330">
            <v>39511</v>
          </cell>
          <cell r="B2330" t="str">
            <v>FORRO DE FIBRA MINERAL EM PLACAS DE 625 X 625 MM, E = 15 MM, BORDA RETA, COM PINTURA ANTIMOFO, APOIADO EM PERFIL DE ACO GALVANIZADO COM 24 MM DE BASE - INSTALADO</v>
          </cell>
          <cell r="C2330" t="str">
            <v xml:space="preserve">M2    </v>
          </cell>
          <cell r="D2330">
            <v>103.88</v>
          </cell>
        </row>
        <row r="2331">
          <cell r="A2331">
            <v>39513</v>
          </cell>
          <cell r="B2331" t="str">
            <v>FORRO DE FIBRA MINERAL EM PLACAS DE 625 X 625 MM, E = 15/16 MM, BORDA REBAIXADA, COM PINTURA ANTIMOFO, APOIADO EM PERFIL DE ACO GALVANIZADO COM 24 MM DE BASE - INSTALADO</v>
          </cell>
          <cell r="C2331" t="str">
            <v xml:space="preserve">M2    </v>
          </cell>
          <cell r="D2331">
            <v>111.42</v>
          </cell>
        </row>
        <row r="2332">
          <cell r="A2332">
            <v>3286</v>
          </cell>
          <cell r="B2332" t="str">
            <v>FORRO DE MADEIRA CEDRINHO OU EQUIVALENTE DA REGIAO, ENCAIXE MACHO/FEMEA COM FRISO, *10 X 1* CM (SEM COLOCACAO)</v>
          </cell>
          <cell r="C2332" t="str">
            <v xml:space="preserve">M2    </v>
          </cell>
          <cell r="D2332">
            <v>54.92</v>
          </cell>
        </row>
        <row r="2333">
          <cell r="A2333">
            <v>3287</v>
          </cell>
          <cell r="B2333" t="str">
            <v>FORRO DE MADEIRA CUMARU/IPE CHAMPANHE OU EQUIVALENTE DA REGIAO, ENCAIXE MACHO/FEMEA COM FRISO, *10 X 1* CM (SEM COLOCACAO)</v>
          </cell>
          <cell r="C2333" t="str">
            <v xml:space="preserve">M2    </v>
          </cell>
          <cell r="D2333">
            <v>83</v>
          </cell>
        </row>
        <row r="2334">
          <cell r="A2334">
            <v>3283</v>
          </cell>
          <cell r="B2334" t="str">
            <v>FORRO DE MADEIRA PINUS OU EQUIVALENTE DA REGIAO, ENCAIXE MACHO/FEMEA COM FRISO, *10 X 1* CM (SEM COLOCACAO)</v>
          </cell>
          <cell r="C2334" t="str">
            <v xml:space="preserve">M2    </v>
          </cell>
          <cell r="D2334">
            <v>17.43</v>
          </cell>
        </row>
        <row r="2335">
          <cell r="A2335">
            <v>11587</v>
          </cell>
          <cell r="B2335" t="str">
            <v>FORRO DE PVC LISO, BRANCO, REGUA DE 10 CM, ESPESSURA DE 8 MM A 10 MM (COM COLOCACAO / SEM ESTRUTURA METALICA)</v>
          </cell>
          <cell r="C2335" t="str">
            <v xml:space="preserve">M2    </v>
          </cell>
          <cell r="D2335">
            <v>48.95</v>
          </cell>
        </row>
        <row r="2336">
          <cell r="A2336">
            <v>36225</v>
          </cell>
          <cell r="B2336" t="str">
            <v>FORRO DE PVC LISO, BRANCO, REGUA DE 20 CM, ESPESSURA DE 8 MM A 10 MM, COMPRIMENTO 6 M (SEM COLOCACAO)</v>
          </cell>
          <cell r="C2336" t="str">
            <v xml:space="preserve">M2    </v>
          </cell>
          <cell r="D2336">
            <v>19.88</v>
          </cell>
        </row>
        <row r="2337">
          <cell r="A2337">
            <v>36230</v>
          </cell>
          <cell r="B2337" t="str">
            <v>FORRO DE PVC, FRISADO, BRANCO, REGUA DE 10 CM, ESPESSURA DE 8 MM A 10 MM E COMPRIMENTO 6 M (SEM COLOCACAO)</v>
          </cell>
          <cell r="C2337" t="str">
            <v xml:space="preserve">M2    </v>
          </cell>
          <cell r="D2337">
            <v>14.61</v>
          </cell>
        </row>
        <row r="2338">
          <cell r="A2338">
            <v>36238</v>
          </cell>
          <cell r="B2338" t="str">
            <v>FORRO DE PVC, FRISADO, BRANCO, REGUA DE 20 CM, ESPESSURA DE 8 MM A 10 MM E COMPRIMENTO 6 M (SEM COLOCACAO)</v>
          </cell>
          <cell r="C2338" t="str">
            <v xml:space="preserve">M2    </v>
          </cell>
          <cell r="D2338">
            <v>14.27</v>
          </cell>
        </row>
        <row r="2339">
          <cell r="A2339">
            <v>39363</v>
          </cell>
          <cell r="B2339" t="str">
            <v>FOSSA SEPTICA, SEM FILTRO, PARA 15 A 30 CONTRIBUINTES, CILINDRICA, COM TAMPA, EM POLIETILENO DE ALTA DENSIDADE (PEAD), CAPACIDADE APROXIMADA DE 5500 LITROS (NBR 7229)</v>
          </cell>
          <cell r="C2339" t="str">
            <v xml:space="preserve">UN    </v>
          </cell>
          <cell r="D2339">
            <v>3230.49</v>
          </cell>
        </row>
        <row r="2340">
          <cell r="A2340">
            <v>39361</v>
          </cell>
          <cell r="B2340" t="str">
            <v>FOSSA SEPTICA, SEM FILTRO, PARA 4 A 7 CONTRIBUINTES, CILINDRICA,  COM TAMPA, EM POLIETILENO DE ALTA DENSIDADE (PEAD), CAPACIDADE APROXIMADA DE 1100 LITROS (NBR 7229)</v>
          </cell>
          <cell r="C2340" t="str">
            <v xml:space="preserve">UN    </v>
          </cell>
          <cell r="D2340">
            <v>830.69</v>
          </cell>
        </row>
        <row r="2341">
          <cell r="A2341">
            <v>39362</v>
          </cell>
          <cell r="B2341" t="str">
            <v>FOSSA SEPTICA, SEM FILTRO, PARA 8 A 14 CONTRIBUINTES, CILINDRICA, COM TAMPA, EM POLIETILENO DE ALTA DENSIDADE (PEAD), CAPACIDADE APROXIMADA DE 3000 LITROS (NBR 7229)</v>
          </cell>
          <cell r="C2341" t="str">
            <v xml:space="preserve">UN    </v>
          </cell>
          <cell r="D2341">
            <v>2556.27</v>
          </cell>
        </row>
        <row r="2342">
          <cell r="A2342">
            <v>39364</v>
          </cell>
          <cell r="B2342" t="str">
            <v>FOSSA SEPTICA,SEM FILTRO, PARA 40 A 52 CONTRIBUINTES, CILINDRICA, COM TAMPA, EM POLIETILENO DE ALTA DENSIDADE (PEAD), CAPACIDADE APROXIMADA DE 10000 LITROS (NBR 7229)</v>
          </cell>
          <cell r="C2342" t="str">
            <v xml:space="preserve">UN    </v>
          </cell>
          <cell r="D2342">
            <v>7383.99</v>
          </cell>
        </row>
        <row r="2343">
          <cell r="A2343">
            <v>14576</v>
          </cell>
          <cell r="B2343" t="str">
            <v>FRESADORA DE ASFALTO A FRIO SOBRE ESTEIRAS, LARG. FRESAGEM 2,00 M, POT. 410 KW/550 HP</v>
          </cell>
          <cell r="C2343" t="str">
            <v xml:space="preserve">UN    </v>
          </cell>
          <cell r="D2343">
            <v>4494313.1100000003</v>
          </cell>
        </row>
        <row r="2344">
          <cell r="A2344">
            <v>13877</v>
          </cell>
          <cell r="B2344" t="str">
            <v>FRESADORA DE ASFALTO A FRIO SOBRE RODAS, LARG. FRESAGEM 1,00 M, POT. 155 KW/208 HP</v>
          </cell>
          <cell r="C2344" t="str">
            <v xml:space="preserve">UN    </v>
          </cell>
          <cell r="D2344">
            <v>1923948.41</v>
          </cell>
        </row>
        <row r="2345">
          <cell r="A2345">
            <v>7307</v>
          </cell>
          <cell r="B2345" t="str">
            <v>FUNDO ANTICORROSIVO PARA METAIS FERROSOS (ZARCAO)</v>
          </cell>
          <cell r="C2345" t="str">
            <v xml:space="preserve">L     </v>
          </cell>
          <cell r="D2345">
            <v>24.04</v>
          </cell>
        </row>
        <row r="2346">
          <cell r="A2346">
            <v>38122</v>
          </cell>
          <cell r="B2346" t="str">
            <v>FUNDO PREPARADOR ACRILICO BASE AGUA</v>
          </cell>
          <cell r="C2346" t="str">
            <v xml:space="preserve">L     </v>
          </cell>
          <cell r="D2346">
            <v>6.53</v>
          </cell>
        </row>
        <row r="2347">
          <cell r="A2347">
            <v>38633</v>
          </cell>
          <cell r="B2347" t="str">
            <v>FURO PARA TORNEIRA OU OUTROS ACESSORIOS  EM BANCADA DE MARMORE/ GRANITO OU OUTRO TIPO DE PEDRA NATURAL</v>
          </cell>
          <cell r="C2347" t="str">
            <v xml:space="preserve">UN    </v>
          </cell>
          <cell r="D2347">
            <v>17.27</v>
          </cell>
        </row>
        <row r="2348">
          <cell r="A2348">
            <v>12344</v>
          </cell>
          <cell r="B2348" t="str">
            <v>FUSIVEL DIAZED 20 A TAMANHO DII, CAPACIDADE DE INTERRUPCAO DE 50 KA EM VCA E 8 KA EM VCC, TENSAO NOMIMNAL DE 500 V</v>
          </cell>
          <cell r="C2348" t="str">
            <v xml:space="preserve">UN    </v>
          </cell>
          <cell r="D2348">
            <v>1.56</v>
          </cell>
        </row>
        <row r="2349">
          <cell r="A2349">
            <v>12343</v>
          </cell>
          <cell r="B2349" t="str">
            <v>FUSIVEL DIAZED 35 A TAMANHO DIII, CAPACIDADE DE INTERRUPCAO DE 50 KA EM VCA E 8 KA EM VCC, TENSAO NOMIMNAL DE 500 V</v>
          </cell>
          <cell r="C2349" t="str">
            <v xml:space="preserve">UN    </v>
          </cell>
          <cell r="D2349">
            <v>2.42</v>
          </cell>
        </row>
        <row r="2350">
          <cell r="A2350">
            <v>3295</v>
          </cell>
          <cell r="B2350" t="str">
            <v>FUSIVEL NH *36* A 80 AMPERES, TAMANHO 00, CAPACIDADE DE INTERRUPCAO DE 120 KA, TENSAO NOMIMNAL DE 500 V</v>
          </cell>
          <cell r="C2350" t="str">
            <v xml:space="preserve">UN    </v>
          </cell>
          <cell r="D2350">
            <v>8.4499999999999993</v>
          </cell>
        </row>
        <row r="2351">
          <cell r="A2351">
            <v>3302</v>
          </cell>
          <cell r="B2351" t="str">
            <v>FUSIVEL NH 100 A TAMANHO 00, CAPACIDADE DE INTERRUPCAO DE 120 KA, TENSAO NOMIMNAL DE 500 V</v>
          </cell>
          <cell r="C2351" t="str">
            <v xml:space="preserve">UN    </v>
          </cell>
          <cell r="D2351">
            <v>8.84</v>
          </cell>
        </row>
        <row r="2352">
          <cell r="A2352">
            <v>3297</v>
          </cell>
          <cell r="B2352" t="str">
            <v>FUSIVEL NH 125 A TAMANHO 00, CAPACIDADE DE INTERRUPCAO DE 120 KA, TENSAO NOMIMNAL DE 500 V</v>
          </cell>
          <cell r="C2352" t="str">
            <v xml:space="preserve">UN    </v>
          </cell>
          <cell r="D2352">
            <v>9.43</v>
          </cell>
        </row>
        <row r="2353">
          <cell r="A2353">
            <v>3294</v>
          </cell>
          <cell r="B2353" t="str">
            <v>FUSIVEL NH 160 A TAMANHO 00, CAPACIDADE DE INTERRUPCAO DE 120 KA, TENSAO NOMIMNAL DE 500 V</v>
          </cell>
          <cell r="C2353" t="str">
            <v xml:space="preserve">UN    </v>
          </cell>
          <cell r="D2353">
            <v>9.58</v>
          </cell>
        </row>
        <row r="2354">
          <cell r="A2354">
            <v>3292</v>
          </cell>
          <cell r="B2354" t="str">
            <v>FUSIVEL NH 20 A TAMANHO 000, CAPACIDADE DE INTERRUPCAO DE 120 KA, TENSAO NOMIMNAL DE 500 V</v>
          </cell>
          <cell r="C2354" t="str">
            <v xml:space="preserve">UN    </v>
          </cell>
          <cell r="D2354">
            <v>9</v>
          </cell>
        </row>
        <row r="2355">
          <cell r="A2355">
            <v>3298</v>
          </cell>
          <cell r="B2355" t="str">
            <v>FUSIVEL NH 200 A 250 AMPERES, TAMANHO 1, CAPACIDADE DE INTERRUPCAO DE 120 KA, TENSAO NOMIMNAL DE 500 V</v>
          </cell>
          <cell r="C2355" t="str">
            <v xml:space="preserve">UN    </v>
          </cell>
          <cell r="D2355">
            <v>21.09</v>
          </cell>
        </row>
        <row r="2356">
          <cell r="A2356">
            <v>11596</v>
          </cell>
          <cell r="B2356" t="str">
            <v>GABIAO  TIPO CAIXA, MALHA HEXAGONAL 8 X 10 CM (ZN/AL), FIO 2,7 MM, DIMENSOES 2,0 X 1,0 X 0,5 M (C X L X A)</v>
          </cell>
          <cell r="C2356" t="str">
            <v xml:space="preserve">UN    </v>
          </cell>
          <cell r="D2356">
            <v>427.37</v>
          </cell>
        </row>
        <row r="2357">
          <cell r="A2357">
            <v>34802</v>
          </cell>
          <cell r="B2357" t="str">
            <v>GABIAO MANTA (COLCHAO) MALHA HEXAGONAL 6 X 8 CM (ZN/AL REVESTIDO COM POLIMERO), DIMENSOES 4,0 X 2,0 X 0,17 M (C X L X A) FIO 2 MM</v>
          </cell>
          <cell r="C2357" t="str">
            <v xml:space="preserve">UN    </v>
          </cell>
          <cell r="D2357">
            <v>1173.69</v>
          </cell>
        </row>
        <row r="2358">
          <cell r="A2358">
            <v>11588</v>
          </cell>
          <cell r="B2358" t="str">
            <v>GABIAO MANTA (COLCHAO) MALHA HEXAGONAL 6 X 8 CM (ZN/AL REVESTIDO COM POLIMERO), FIO 2 MM, DIMENSOES 4,0 X 2,0 X 0,23 M (C X L X A)</v>
          </cell>
          <cell r="C2358" t="str">
            <v xml:space="preserve">UN    </v>
          </cell>
          <cell r="D2358">
            <v>1266.23</v>
          </cell>
        </row>
        <row r="2359">
          <cell r="A2359">
            <v>34383</v>
          </cell>
          <cell r="B2359" t="str">
            <v>GABIAO MANTA (COLCHAO) MALHA HEXAGONAL 6 X 8 CM (ZN/AL REVESTIDO COM POLIMERO), FIO 2 MM, DIMENSOES 4,0 X 2,0 X 0,3 M (C X L X A)</v>
          </cell>
          <cell r="C2359" t="str">
            <v xml:space="preserve">UN    </v>
          </cell>
          <cell r="D2359">
            <v>1392.94</v>
          </cell>
        </row>
        <row r="2360">
          <cell r="A2360">
            <v>40451</v>
          </cell>
          <cell r="B2360" t="str">
            <v>GABIAO MANTA (COLCHAO) MALHA HEXAGONAL 6 X 8 CM (ZN/AL REVESTIDO COM POLIMERO), FIO 2,0 MM, DIMENSOES 5,0 X 2,0 X 0,17 M (C X L X A)</v>
          </cell>
          <cell r="C2360" t="str">
            <v xml:space="preserve">M2    </v>
          </cell>
          <cell r="D2360">
            <v>112.6</v>
          </cell>
        </row>
        <row r="2361">
          <cell r="A2361">
            <v>40453</v>
          </cell>
          <cell r="B2361" t="str">
            <v>GABIAO MANTA (COLCHAO) MALHA HEXAGONAL 6 X 8 CM (ZN/AL REVESTIDO COM POLIMERO), FIO 2,0 MM, DIMENSOES 5,0 X 2,0 X 0,23 M (C X L X A)</v>
          </cell>
          <cell r="C2361" t="str">
            <v xml:space="preserve">M2    </v>
          </cell>
          <cell r="D2361">
            <v>121.83</v>
          </cell>
        </row>
        <row r="2362">
          <cell r="A2362">
            <v>40452</v>
          </cell>
          <cell r="B2362" t="str">
            <v>GABIAO MANTA (COLCHAO) MALHA HEXAGONAL 6 X 8 CM (ZN/AL REVESTIDO COM POLIMERO), FIO 2,0 MM, DIMENSOES 5,0 X 2,0 X 0,30 M (C X L X A)</v>
          </cell>
          <cell r="C2362" t="str">
            <v xml:space="preserve">M2    </v>
          </cell>
          <cell r="D2362">
            <v>133.63</v>
          </cell>
        </row>
        <row r="2363">
          <cell r="A2363">
            <v>11594</v>
          </cell>
          <cell r="B2363" t="str">
            <v>GABIAO SACO MALHA HEXAGONAL 8 X 10 CM (ZN/AL REVESTIDO COM POLIMERO),  FIO 2,4 MM, DIMENSOES 3,0 X 0,65 M</v>
          </cell>
          <cell r="C2363" t="str">
            <v xml:space="preserve">UN    </v>
          </cell>
          <cell r="D2363">
            <v>403.58</v>
          </cell>
        </row>
        <row r="2364">
          <cell r="A2364">
            <v>3311</v>
          </cell>
          <cell r="B2364" t="str">
            <v>GABIAO SACO MALHA HEXAGONAL 8 X 10 CM (ZN/AL REVESTIDO COM POLIMERO), FIO 2,4 MM, H = 0,65 M</v>
          </cell>
          <cell r="C2364" t="str">
            <v xml:space="preserve">M3    </v>
          </cell>
          <cell r="D2364">
            <v>403.58</v>
          </cell>
        </row>
        <row r="2365">
          <cell r="A2365">
            <v>11599</v>
          </cell>
          <cell r="B2365" t="str">
            <v>GABIAO SACO MALHA HEXAGONAL 8 X 10 CM (ZN/AL), FIO 2,7 MM, DIMENSOES 4,0 X 0,65 M</v>
          </cell>
          <cell r="C2365" t="str">
            <v xml:space="preserve">UN    </v>
          </cell>
          <cell r="D2365">
            <v>536.72</v>
          </cell>
        </row>
        <row r="2366">
          <cell r="A2366">
            <v>11593</v>
          </cell>
          <cell r="B2366" t="str">
            <v>GABIAO TIPO CAIXA MALHA HEXAGONAL 8 X 10 CM (ZN/AL REVESTIDO COM POLIMERO),  FIO 2,4 MM, DIMENSOES 2,0 X 1,0 X 1,0 M (C X L X A)</v>
          </cell>
          <cell r="C2366" t="str">
            <v xml:space="preserve">UN    </v>
          </cell>
          <cell r="D2366">
            <v>752.44</v>
          </cell>
        </row>
        <row r="2367">
          <cell r="A2367">
            <v>3314</v>
          </cell>
          <cell r="B2367" t="str">
            <v>GABIAO TIPO CAIXA MALHA HEXAGONAL 8 X 10 CM (ZN/AL REVESTIDO COM POLIMERO),  FIO 2,4 MM, H = 0,50 M</v>
          </cell>
          <cell r="C2367" t="str">
            <v xml:space="preserve">M3    </v>
          </cell>
          <cell r="D2367">
            <v>538.15</v>
          </cell>
        </row>
        <row r="2368">
          <cell r="A2368">
            <v>11597</v>
          </cell>
          <cell r="B2368" t="str">
            <v>GABIAO TIPO CAIXA MALHA HEXAGONAL 8 X 10 CM (ZN/AL), FIO 2,7 MM, DIMENSOES 2,0 X 1,0 X 1,0 M (C X L X A)</v>
          </cell>
          <cell r="C2368" t="str">
            <v xml:space="preserve">UN    </v>
          </cell>
          <cell r="D2368">
            <v>625.79999999999995</v>
          </cell>
        </row>
        <row r="2369">
          <cell r="A2369">
            <v>3309</v>
          </cell>
          <cell r="B2369" t="str">
            <v>GABIAO TIPO CAIXA MALHA HEXAGONAL 8 X 10 CM (ZN/AL), FIO 2,7 MM, H = 0,50 M</v>
          </cell>
          <cell r="C2369" t="str">
            <v xml:space="preserve">M3    </v>
          </cell>
          <cell r="D2369">
            <v>427.37</v>
          </cell>
        </row>
        <row r="2370">
          <cell r="A2370">
            <v>34612</v>
          </cell>
          <cell r="B2370" t="str">
            <v>GABIAO TIPO CAIXA PARA SOLO REFORCADO, MALHA HEXAGONAL DE DUPLA TORCAO 8 X 10 CM (ZN/AL REVESTIDO COM POLIMERO), FIO 2,7 MM, DIMENSOES 2,0 X 1,0 X 0,5 M, COM CAUDA DE 3,0 M</v>
          </cell>
          <cell r="C2370" t="str">
            <v xml:space="preserve">UN    </v>
          </cell>
          <cell r="D2370">
            <v>774.01</v>
          </cell>
        </row>
        <row r="2371">
          <cell r="A2371">
            <v>34635</v>
          </cell>
          <cell r="B2371" t="str">
            <v>GABIAO TIPO CAIXA PARA SOLO REFORCADO, MALHA HEXAGONAL DE DUPLA TORCAO 8 X 10 CM (ZN/AL REVESTIDO COM POLIMERO), FIO 2,7 MM, DIMENSOES 2,0 X 1,0 X 1,0 M, COM CAUDA DE 3,0 M</v>
          </cell>
          <cell r="C2371" t="str">
            <v xml:space="preserve">UN    </v>
          </cell>
          <cell r="D2371">
            <v>995.34</v>
          </cell>
        </row>
        <row r="2372">
          <cell r="A2372">
            <v>34633</v>
          </cell>
          <cell r="B2372" t="str">
            <v>GABIAO TIPO CAIXA PARA SOLO REFORCADO, MALHA HEXAGONAL DE DUPLA TORCAO 8 X 10 CM (ZN/AL REVESTIDO COM POLIMERO), FIO 2,7 MM, DIMENSOES 2,0 X 1,0 X 1,0 M, COM CAUDA DE 4,0 M</v>
          </cell>
          <cell r="C2372" t="str">
            <v xml:space="preserve">UN    </v>
          </cell>
          <cell r="D2372">
            <v>1097.1300000000001</v>
          </cell>
        </row>
        <row r="2373">
          <cell r="A2373">
            <v>40440</v>
          </cell>
          <cell r="B2373" t="str">
            <v>GABIAO TIPO CAIXA PARA SOLO REFORCADO, MALHA HEXAGONAL 8 X 10 CM (ZN/AL REVESTIDO COM POLIMERO), FIO 2,7 MM, DIMENSOES 2,0 X 1,0 X 0,5 M, COM CAUDA DE 4,0 M</v>
          </cell>
          <cell r="C2373" t="str">
            <v xml:space="preserve">M3    </v>
          </cell>
          <cell r="D2373">
            <v>560.54</v>
          </cell>
        </row>
        <row r="2374">
          <cell r="A2374">
            <v>40441</v>
          </cell>
          <cell r="B2374" t="str">
            <v>GABIAO TIPO CAIXA PARA SOLO REFORCADO, MALHA HEXAGONAL 8 X 10 CM (ZN/AL REVESTIDO COM POLIMERO), FIO 2,7 MM, DIMENSOES 2,0 X 1,0 X 1,0 M, COM CAUDA DE 4,0 M</v>
          </cell>
          <cell r="C2374" t="str">
            <v xml:space="preserve">M3    </v>
          </cell>
          <cell r="D2374">
            <v>357.87</v>
          </cell>
        </row>
        <row r="2375">
          <cell r="A2375">
            <v>40449</v>
          </cell>
          <cell r="B2375" t="str">
            <v>GABIAO TIPO CAIXA TRAPEZOIDAL, MALHA HEXAGONAL 10 X 12 CM (ZN/AL REVESTIDO COM POLIMERO) FIO 2,7 MM, FACE COM 65 GRAUS, COM GEOSSINTETICO, DIMENSOES 2,0 X 1,5 X 1,0 M (C X L X A)</v>
          </cell>
          <cell r="C2375" t="str">
            <v xml:space="preserve">M3    </v>
          </cell>
          <cell r="D2375">
            <v>300.85000000000002</v>
          </cell>
        </row>
        <row r="2376">
          <cell r="A2376">
            <v>34800</v>
          </cell>
          <cell r="B2376" t="str">
            <v>GABIAO TIPO CAIXA, MALHA HEXAGONAL 8 X 10 CM (ZN/AL REVESTIDO COM POLIMERO), FIO DE 2,4 MM, DIMENSOES 2,0 x 1,0 x 1,0 M (C X L X A)</v>
          </cell>
          <cell r="C2376" t="str">
            <v xml:space="preserve">M3    </v>
          </cell>
          <cell r="D2376">
            <v>376.22</v>
          </cell>
        </row>
        <row r="2377">
          <cell r="A2377">
            <v>11592</v>
          </cell>
          <cell r="B2377" t="str">
            <v>GABIAO TIPO CAIXA, MALHA HEXAGONAL 8 X 10 CM (ZN/AL REVESTIDO COM POLIMERO), FIO 2,4 MM, DIMENSOES 2,0 X 1,0 X 0,5 M (C X L X A)</v>
          </cell>
          <cell r="C2377" t="str">
            <v xml:space="preserve">UN    </v>
          </cell>
          <cell r="D2377">
            <v>538.15</v>
          </cell>
        </row>
        <row r="2378">
          <cell r="A2378">
            <v>40438</v>
          </cell>
          <cell r="B2378" t="str">
            <v>GABIAO TIPO CAIXA, MALHA HEXAGONAL 8 X 10 CM (ZN/AL), FIO DE 2,7 MM, DIMENSOES 2,0 X 1,0 X 1,0 M (C X L X A)</v>
          </cell>
          <cell r="C2378" t="str">
            <v xml:space="preserve">M3    </v>
          </cell>
          <cell r="D2378">
            <v>250.64</v>
          </cell>
        </row>
        <row r="2379">
          <cell r="A2379">
            <v>40436</v>
          </cell>
          <cell r="B2379" t="str">
            <v>GABIAO TIPO CAIXA, MALHA HEXAGONAL 8 X 10 CM (ZN/AL), FIO DE 2,7 MM, DIMENSOES 5,0 X 1,0 X 1,0 M (C X L X A)</v>
          </cell>
          <cell r="C2379" t="str">
            <v xml:space="preserve">M3    </v>
          </cell>
          <cell r="D2379">
            <v>312.52999999999997</v>
          </cell>
        </row>
        <row r="2380">
          <cell r="A2380">
            <v>4315</v>
          </cell>
          <cell r="B2380" t="str">
            <v>GANCHO CHATO EM FERRO GALVANIZADO,  L = 110 MM, RECOBRIMENTO = 100MM, SECAO 1/8 X 1/2" (3 MM X 12 MM), PARA FIXAR TELHA DE FIBROCIMENTO ONDULADA</v>
          </cell>
          <cell r="C2380" t="str">
            <v xml:space="preserve">UN    </v>
          </cell>
          <cell r="D2380">
            <v>1.3</v>
          </cell>
        </row>
        <row r="2381">
          <cell r="A2381">
            <v>42482</v>
          </cell>
          <cell r="B2381" t="str">
            <v>GANCHO L COM ROSCA, PARA FIXAR TELHA EM MADEIRA, 1/4" X 350 MM (COLETADO CAIXA)</v>
          </cell>
          <cell r="C2381" t="str">
            <v xml:space="preserve">UN    </v>
          </cell>
          <cell r="D2381">
            <v>1.74</v>
          </cell>
        </row>
        <row r="2382">
          <cell r="A2382">
            <v>402</v>
          </cell>
          <cell r="B2382" t="str">
            <v>GANCHO OLHAL EM ACO GALVANIZADO, ESPESSURA 16MM, ABERTURA 21MM</v>
          </cell>
          <cell r="C2382" t="str">
            <v xml:space="preserve">UN    </v>
          </cell>
          <cell r="D2382">
            <v>9.0399999999999991</v>
          </cell>
        </row>
        <row r="2383">
          <cell r="A2383">
            <v>4226</v>
          </cell>
          <cell r="B2383" t="str">
            <v>GAS DE COZINHA - GLP</v>
          </cell>
          <cell r="C2383" t="str">
            <v xml:space="preserve">KG    </v>
          </cell>
          <cell r="D2383">
            <v>7.39</v>
          </cell>
        </row>
        <row r="2384">
          <cell r="A2384">
            <v>4222</v>
          </cell>
          <cell r="B2384" t="str">
            <v>GASOLINA COMUM</v>
          </cell>
          <cell r="C2384" t="str">
            <v xml:space="preserve">L     </v>
          </cell>
          <cell r="D2384">
            <v>4.1500000000000004</v>
          </cell>
        </row>
        <row r="2385">
          <cell r="A2385">
            <v>34804</v>
          </cell>
          <cell r="B2385" t="str">
            <v>GEOGRELHA TECIDA COM FILAMENTOS DE POLIESTER + PVC, RESISTENCIA LONGITUDINAL: 90 KN/M, RESISTENCIA TRANSVERSAL: 30 KN/M, ALONGAMENTO = 12 POR CENTO</v>
          </cell>
          <cell r="C2385" t="str">
            <v xml:space="preserve">M2    </v>
          </cell>
          <cell r="D2385">
            <v>45.43</v>
          </cell>
        </row>
        <row r="2386">
          <cell r="A2386">
            <v>4013</v>
          </cell>
          <cell r="B2386" t="str">
            <v>GEOTEXTIL NAO TECIDO AGULHADO DE FILAMENTOS CONTINUOS 100% POLIESTER, RESITENCIA A TRACAO = 09 KN/M</v>
          </cell>
          <cell r="C2386" t="str">
            <v xml:space="preserve">M2    </v>
          </cell>
          <cell r="D2386">
            <v>4.32</v>
          </cell>
        </row>
        <row r="2387">
          <cell r="A2387">
            <v>4011</v>
          </cell>
          <cell r="B2387" t="str">
            <v>GEOTEXTIL NAO TECIDO AGULHADO DE FILAMENTOS CONTINUOS 100% POLIESTER, RESITENCIA A TRACAO = 10 KN/M</v>
          </cell>
          <cell r="C2387" t="str">
            <v xml:space="preserve">M2    </v>
          </cell>
          <cell r="D2387">
            <v>4.82</v>
          </cell>
        </row>
        <row r="2388">
          <cell r="A2388">
            <v>4021</v>
          </cell>
          <cell r="B2388" t="str">
            <v>GEOTEXTIL NAO TECIDO AGULHADO DE FILAMENTOS CONTINUOS 100% POLIESTER, RESITENCIA A TRACAO = 14 KN/M</v>
          </cell>
          <cell r="C2388" t="str">
            <v xml:space="preserve">M2    </v>
          </cell>
          <cell r="D2388">
            <v>6.01</v>
          </cell>
        </row>
        <row r="2389">
          <cell r="A2389">
            <v>4019</v>
          </cell>
          <cell r="B2389" t="str">
            <v>GEOTEXTIL NAO TECIDO AGULHADO DE FILAMENTOS CONTINUOS 100% POLIESTER, RESITENCIA A TRACAO = 16 KN/M</v>
          </cell>
          <cell r="C2389" t="str">
            <v xml:space="preserve">M2    </v>
          </cell>
          <cell r="D2389">
            <v>7.22</v>
          </cell>
        </row>
        <row r="2390">
          <cell r="A2390">
            <v>4012</v>
          </cell>
          <cell r="B2390" t="str">
            <v>GEOTEXTIL NAO TECIDO AGULHADO DE FILAMENTOS CONTINUOS 100% POLIESTER, RESITENCIA A TRACAO = 21 KN/M</v>
          </cell>
          <cell r="C2390" t="str">
            <v xml:space="preserve">M2    </v>
          </cell>
          <cell r="D2390">
            <v>9.68</v>
          </cell>
        </row>
        <row r="2391">
          <cell r="A2391">
            <v>4020</v>
          </cell>
          <cell r="B2391" t="str">
            <v>GEOTEXTIL NAO TECIDO AGULHADO DE FILAMENTOS CONTINUOS 100% POLIESTER, RESITENCIA A TRACAO = 26 KN/M</v>
          </cell>
          <cell r="C2391" t="str">
            <v xml:space="preserve">M2    </v>
          </cell>
          <cell r="D2391">
            <v>12.12</v>
          </cell>
        </row>
        <row r="2392">
          <cell r="A2392">
            <v>4018</v>
          </cell>
          <cell r="B2392" t="str">
            <v>GEOTEXTIL NAO TECIDO AGULHADO DE FILAMENTOS CONTINUOS 100% POLIESTER, RESITENCIA A TRACAO = 31 KN/M</v>
          </cell>
          <cell r="C2392" t="str">
            <v xml:space="preserve">M2    </v>
          </cell>
          <cell r="D2392">
            <v>14.52</v>
          </cell>
        </row>
        <row r="2393">
          <cell r="A2393">
            <v>36498</v>
          </cell>
          <cell r="B2393" t="str">
            <v>GERADOR PORTATIL MONOFASICO, POTENCIA 5500 VA, MOTOR A GASOLINA, POTENCIA DO MOTOR 13 CV</v>
          </cell>
          <cell r="C2393" t="str">
            <v xml:space="preserve">UN    </v>
          </cell>
          <cell r="D2393">
            <v>5282.42</v>
          </cell>
        </row>
        <row r="2394">
          <cell r="A2394">
            <v>12872</v>
          </cell>
          <cell r="B2394" t="str">
            <v>GESSEIRO</v>
          </cell>
          <cell r="C2394" t="str">
            <v xml:space="preserve">H     </v>
          </cell>
          <cell r="D2394">
            <v>14.81</v>
          </cell>
        </row>
        <row r="2395">
          <cell r="A2395">
            <v>41075</v>
          </cell>
          <cell r="B2395" t="str">
            <v>GESSEIRO (MENSALISTA)</v>
          </cell>
          <cell r="C2395" t="str">
            <v xml:space="preserve">MES   </v>
          </cell>
          <cell r="D2395">
            <v>2626.51</v>
          </cell>
        </row>
        <row r="2396">
          <cell r="A2396">
            <v>3315</v>
          </cell>
          <cell r="B2396" t="str">
            <v>GESSO EM PO PARA REVESTIMENTOS/MOLDURAS/SANCAS</v>
          </cell>
          <cell r="C2396" t="str">
            <v xml:space="preserve">KG    </v>
          </cell>
          <cell r="D2396">
            <v>0.57999999999999996</v>
          </cell>
        </row>
        <row r="2397">
          <cell r="A2397">
            <v>36870</v>
          </cell>
          <cell r="B2397" t="str">
            <v>GESSO PROJETADO</v>
          </cell>
          <cell r="C2397" t="str">
            <v xml:space="preserve">KG    </v>
          </cell>
          <cell r="D2397">
            <v>0.56999999999999995</v>
          </cell>
        </row>
        <row r="2398">
          <cell r="A2398">
            <v>5092</v>
          </cell>
          <cell r="B2398" t="str">
            <v>GONZO DE EMBUTIR, EM LATAO / ZAMAC, *20 X 48* MM, PARA JANELA BASCULANTE / PIVOTANTE -  INCLUI PARAFUSOS</v>
          </cell>
          <cell r="C2398" t="str">
            <v xml:space="preserve">PAR   </v>
          </cell>
          <cell r="D2398">
            <v>14.55</v>
          </cell>
        </row>
        <row r="2399">
          <cell r="A2399">
            <v>11462</v>
          </cell>
          <cell r="B2399" t="str">
            <v>GONZO DE SOBREPOR, EM LATAO / ZAMAC, PARA JANELA PIVOTANTE - INCLUI PARAFUSOS</v>
          </cell>
          <cell r="C2399" t="str">
            <v xml:space="preserve">PAR   </v>
          </cell>
          <cell r="D2399">
            <v>14.87</v>
          </cell>
        </row>
        <row r="2400">
          <cell r="A2400">
            <v>36529</v>
          </cell>
          <cell r="B2400" t="str">
            <v>GRADE DE DISCOS COM CONTROLE REMOTO, REBOCAVEL, COM 24 DISCOS 24" X 6 MM, COM PNEUS PARA TRANSPORTE</v>
          </cell>
          <cell r="C2400" t="str">
            <v xml:space="preserve">UN    </v>
          </cell>
          <cell r="D2400">
            <v>33900.67</v>
          </cell>
        </row>
        <row r="2401">
          <cell r="A2401">
            <v>3318</v>
          </cell>
          <cell r="B2401" t="str">
            <v>GRADE DE DISCOS MECANICA 20X24" COM 20 DISCOS 24" X 6MM  COM PNEUS PARA TRANSPORTE</v>
          </cell>
          <cell r="C2401" t="str">
            <v xml:space="preserve">UN    </v>
          </cell>
          <cell r="D2401">
            <v>26578.13</v>
          </cell>
        </row>
        <row r="2402">
          <cell r="A2402">
            <v>3324</v>
          </cell>
          <cell r="B2402" t="str">
            <v>GRAMA BATATAIS EM PLACAS, SEM PLANTIO</v>
          </cell>
          <cell r="C2402" t="str">
            <v xml:space="preserve">M2    </v>
          </cell>
          <cell r="D2402">
            <v>5.71</v>
          </cell>
        </row>
        <row r="2403">
          <cell r="A2403">
            <v>3322</v>
          </cell>
          <cell r="B2403" t="str">
            <v>GRAMA ESMERALDA OU SAO CARLOS OU CURITIBANA, EM PLACAS, SEM PLANTIO</v>
          </cell>
          <cell r="C2403" t="str">
            <v xml:space="preserve">M2    </v>
          </cell>
          <cell r="D2403">
            <v>8</v>
          </cell>
        </row>
        <row r="2404">
          <cell r="A2404">
            <v>5076</v>
          </cell>
          <cell r="B2404" t="str">
            <v>GRAMPO DE ACO POLIDO 1 " X 9</v>
          </cell>
          <cell r="C2404" t="str">
            <v xml:space="preserve">KG    </v>
          </cell>
          <cell r="D2404">
            <v>11.29</v>
          </cell>
        </row>
        <row r="2405">
          <cell r="A2405">
            <v>5077</v>
          </cell>
          <cell r="B2405" t="str">
            <v>GRAMPO DE ACO POLIDO 7/8 " X 9</v>
          </cell>
          <cell r="C2405" t="str">
            <v xml:space="preserve">KG    </v>
          </cell>
          <cell r="D2405">
            <v>12.48</v>
          </cell>
        </row>
        <row r="2406">
          <cell r="A2406">
            <v>11837</v>
          </cell>
          <cell r="B2406" t="str">
            <v>GRAMPO LINHA VIVA DE LATAO ESTANHADO, DIAMETRO DO CONDUTOR PRINCIPAL DE 10 A 120 MM2, DIAMETRO DA DERIVACAO DE 10 A 70 MM2</v>
          </cell>
          <cell r="C2406" t="str">
            <v xml:space="preserve">UN    </v>
          </cell>
          <cell r="D2406">
            <v>36.78</v>
          </cell>
        </row>
        <row r="2407">
          <cell r="A2407">
            <v>38055</v>
          </cell>
          <cell r="B2407" t="str">
            <v>GRAMPO METALICO TIPO OLHAL PARA HASTE DE ATERRAMENTO DE 1/2'', CONDUTOR DE *10* A 50 MM2</v>
          </cell>
          <cell r="C2407" t="str">
            <v xml:space="preserve">UN    </v>
          </cell>
          <cell r="D2407">
            <v>3.33</v>
          </cell>
        </row>
        <row r="2408">
          <cell r="A2408">
            <v>415</v>
          </cell>
          <cell r="B2408" t="str">
            <v>GRAMPO METALICO TIPO OLHAL PARA HASTE DE ATERRAMENTO DE 1'', CONDUTOR DE *10* A 50 MM2</v>
          </cell>
          <cell r="C2408" t="str">
            <v xml:space="preserve">UN    </v>
          </cell>
          <cell r="D2408">
            <v>15.08</v>
          </cell>
        </row>
        <row r="2409">
          <cell r="A2409">
            <v>416</v>
          </cell>
          <cell r="B2409" t="str">
            <v>GRAMPO METALICO TIPO OLHAL PARA HASTE DE ATERRAMENTO DE 3/4'', CONDUTOR DE *10* A 50 MM2</v>
          </cell>
          <cell r="C2409" t="str">
            <v xml:space="preserve">UN    </v>
          </cell>
          <cell r="D2409">
            <v>5.52</v>
          </cell>
        </row>
        <row r="2410">
          <cell r="A2410">
            <v>425</v>
          </cell>
          <cell r="B2410" t="str">
            <v>GRAMPO METALICO TIPO OLHAL PARA HASTE DE ATERRAMENTO DE 5/8'', CONDUTOR DE *10* A 50 MM2</v>
          </cell>
          <cell r="C2410" t="str">
            <v xml:space="preserve">UN    </v>
          </cell>
          <cell r="D2410">
            <v>3.42</v>
          </cell>
        </row>
        <row r="2411">
          <cell r="A2411">
            <v>426</v>
          </cell>
          <cell r="B2411" t="str">
            <v>GRAMPO METALICO TIPO U PARA HASTE DE ATERRAMENTO DE ATE 3/4'', CONDUTOR DE 10 A 25 MM2</v>
          </cell>
          <cell r="C2411" t="str">
            <v xml:space="preserve">UN    </v>
          </cell>
          <cell r="D2411">
            <v>18.850000000000001</v>
          </cell>
        </row>
        <row r="2412">
          <cell r="A2412">
            <v>38056</v>
          </cell>
          <cell r="B2412" t="str">
            <v>GRAMPO METALICO TIPO U PARA HASTE DE ATERRAMENTO DE ATE 5/8'', CONDUTOR DE 10 A 25 MM2</v>
          </cell>
          <cell r="C2412" t="str">
            <v xml:space="preserve">UN    </v>
          </cell>
          <cell r="D2412">
            <v>18.399999999999999</v>
          </cell>
        </row>
        <row r="2413">
          <cell r="A2413">
            <v>1564</v>
          </cell>
          <cell r="B2413" t="str">
            <v>GRAMPO PARALELO METALICO PARA CABO DE 6 A 50 MM2, COM 2 PARAFUSOS</v>
          </cell>
          <cell r="C2413" t="str">
            <v xml:space="preserve">UN    </v>
          </cell>
          <cell r="D2413">
            <v>7.02</v>
          </cell>
        </row>
        <row r="2414">
          <cell r="A2414">
            <v>11032</v>
          </cell>
          <cell r="B2414" t="str">
            <v>GRAMPO U DE 5/8 " N8 EM FERRO GALVANIZADO</v>
          </cell>
          <cell r="C2414" t="str">
            <v xml:space="preserve">UN    </v>
          </cell>
          <cell r="D2414">
            <v>7.36</v>
          </cell>
        </row>
        <row r="2415">
          <cell r="A2415">
            <v>36786</v>
          </cell>
          <cell r="B2415" t="str">
            <v>GRANALHA DE ACO, ANGULAR (GRIT), PARA JATEAMENTO, PENEIRA 0,117 A 1,00 MM, (SAE G-40 A G-80)</v>
          </cell>
          <cell r="C2415" t="str">
            <v>SC25KG</v>
          </cell>
          <cell r="D2415">
            <v>128.38999999999999</v>
          </cell>
        </row>
        <row r="2416">
          <cell r="A2416">
            <v>36785</v>
          </cell>
          <cell r="B2416" t="str">
            <v>GRANALHA DE ACO, ANGULAR (GRIT), PARA JATEAMENTO, PENEIRA 1,41 A 1,19 MM (SAE G16)</v>
          </cell>
          <cell r="C2416" t="str">
            <v>SC25KG</v>
          </cell>
          <cell r="D2416">
            <v>111.57</v>
          </cell>
        </row>
        <row r="2417">
          <cell r="A2417">
            <v>36782</v>
          </cell>
          <cell r="B2417" t="str">
            <v>GRANALHA DE ACO, ESFERICA (SHOT), PARA JATEAMENTO, PENEIRA 0,40 A 1,00 MM (SAE S-170 A S-280)</v>
          </cell>
          <cell r="C2417" t="str">
            <v>SC25KG</v>
          </cell>
          <cell r="D2417">
            <v>133.16999999999999</v>
          </cell>
        </row>
        <row r="2418">
          <cell r="A2418">
            <v>25930</v>
          </cell>
          <cell r="B2418" t="str">
            <v>GRANALHA DE ACO, ESFERICA (SHOT), PARA JATEAMENTO, PENEIRA 1,19 A 1,00 MM (SAE S390)</v>
          </cell>
          <cell r="C2418" t="str">
            <v>SC25KG</v>
          </cell>
          <cell r="D2418">
            <v>150</v>
          </cell>
        </row>
        <row r="2419">
          <cell r="A2419">
            <v>4824</v>
          </cell>
          <cell r="B2419" t="str">
            <v>GRANILHA/ GRANA/ PEDRISCO OU AGREGADO EM MARMORE/ GRANITO/ QUARTZO E CALCARIO, PRETO, CINZA, PALHA OU BRANCO</v>
          </cell>
          <cell r="C2419" t="str">
            <v xml:space="preserve">KG    </v>
          </cell>
          <cell r="D2419">
            <v>0.46</v>
          </cell>
        </row>
        <row r="2420">
          <cell r="A2420">
            <v>11795</v>
          </cell>
          <cell r="B2420" t="str">
            <v>GRANITO PARA BANCADA, POLIDO, TIPO ANDORINHA/ QUARTZ/ CASTELO/ CORUMBA OU OUTROS EQUIVALENTES DA REGIAO, E=  *2,5* CM</v>
          </cell>
          <cell r="C2420" t="str">
            <v xml:space="preserve">M2    </v>
          </cell>
          <cell r="D2420">
            <v>543.39</v>
          </cell>
        </row>
        <row r="2421">
          <cell r="A2421">
            <v>134</v>
          </cell>
          <cell r="B2421" t="str">
            <v>GRAUTE CIMENTICIO PARA USO GERAL</v>
          </cell>
          <cell r="C2421" t="str">
            <v xml:space="preserve">KG    </v>
          </cell>
          <cell r="D2421">
            <v>1.18</v>
          </cell>
        </row>
        <row r="2422">
          <cell r="A2422">
            <v>4229</v>
          </cell>
          <cell r="B2422" t="str">
            <v>GRAXA LUBRIFICANTE</v>
          </cell>
          <cell r="C2422" t="str">
            <v xml:space="preserve">KG    </v>
          </cell>
          <cell r="D2422">
            <v>20.010000000000002</v>
          </cell>
        </row>
        <row r="2423">
          <cell r="A2423">
            <v>11244</v>
          </cell>
          <cell r="B2423" t="str">
            <v>GRELHA FOFO ARTICULADA, CARGA MAXIMA 1,5 T, *300 X 1000* MM, E= *15* MM</v>
          </cell>
          <cell r="C2423" t="str">
            <v xml:space="preserve">UN    </v>
          </cell>
          <cell r="D2423">
            <v>179.92</v>
          </cell>
        </row>
        <row r="2424">
          <cell r="A2424">
            <v>11245</v>
          </cell>
          <cell r="B2424" t="str">
            <v>GRELHA FOFO SIMPLES COM REQUADRO, CARGA MAXIMA  12,5 T, *300 X 1000* MM, E= *15* MM, AREA ESTACIONAMENTO CARRO PASSEIO</v>
          </cell>
          <cell r="C2424" t="str">
            <v xml:space="preserve">UN    </v>
          </cell>
          <cell r="D2424">
            <v>248.86</v>
          </cell>
        </row>
        <row r="2425">
          <cell r="A2425">
            <v>11235</v>
          </cell>
          <cell r="B2425" t="str">
            <v>GRELHA FOFO SIMPLES COM REQUADRO, CARGA MAXIMA 1,5 T, 150 X 1000 MM, E= *15* MM</v>
          </cell>
          <cell r="C2425" t="str">
            <v xml:space="preserve">UN    </v>
          </cell>
          <cell r="D2425">
            <v>137.30000000000001</v>
          </cell>
        </row>
        <row r="2426">
          <cell r="A2426">
            <v>11236</v>
          </cell>
          <cell r="B2426" t="str">
            <v>GRELHA FOFO SIMPLES COM REQUADRO, CARGA MAXIMA 1,5 T, 200 X 1000 MM, E= *15* MM</v>
          </cell>
          <cell r="C2426" t="str">
            <v xml:space="preserve">UN    </v>
          </cell>
          <cell r="D2426">
            <v>174.48</v>
          </cell>
        </row>
        <row r="2427">
          <cell r="A2427">
            <v>11731</v>
          </cell>
          <cell r="B2427" t="str">
            <v>GRELHA PVC BRANCA QUADRADA, 150 X 150 MM</v>
          </cell>
          <cell r="C2427" t="str">
            <v xml:space="preserve">UN    </v>
          </cell>
          <cell r="D2427">
            <v>4.3499999999999996</v>
          </cell>
        </row>
        <row r="2428">
          <cell r="A2428">
            <v>11732</v>
          </cell>
          <cell r="B2428" t="str">
            <v>GRELHA PVC CROMADA REDONDA, 150 MM</v>
          </cell>
          <cell r="C2428" t="str">
            <v xml:space="preserve">UN    </v>
          </cell>
          <cell r="D2428">
            <v>22.09</v>
          </cell>
        </row>
        <row r="2429">
          <cell r="A2429">
            <v>36494</v>
          </cell>
          <cell r="B2429" t="str">
            <v>GRUA ASCENCIONAL, LANCA DE 30 M, CAPACIDADE DE 1,0 T A 30 M, ALTURA ATE 39 M</v>
          </cell>
          <cell r="C2429" t="str">
            <v xml:space="preserve">UN    </v>
          </cell>
          <cell r="D2429">
            <v>390691.9</v>
          </cell>
        </row>
        <row r="2430">
          <cell r="A2430">
            <v>36493</v>
          </cell>
          <cell r="B2430" t="str">
            <v>GRUA ASCENCIONAL, LANCA DE 42 M, CAPACIDADE DE 1,5 T A 30 M, ALTURA ATE 39 M</v>
          </cell>
          <cell r="C2430" t="str">
            <v xml:space="preserve">UN    </v>
          </cell>
          <cell r="D2430">
            <v>442638.05</v>
          </cell>
        </row>
        <row r="2431">
          <cell r="A2431">
            <v>36492</v>
          </cell>
          <cell r="B2431" t="str">
            <v>GRUA ASCENCIONAL, LANCA DE 50 M, CAPACIDADE DE 2,33 T A 30 M, ALTURA ATE 48 M</v>
          </cell>
          <cell r="C2431" t="str">
            <v xml:space="preserve">UN    </v>
          </cell>
          <cell r="D2431">
            <v>822253.63</v>
          </cell>
        </row>
        <row r="2432">
          <cell r="A2432">
            <v>13333</v>
          </cell>
          <cell r="B2432" t="str">
            <v>GRUPO DE SOLDAGEM C/ GERADOR A DIESEL 60 CV PARA SOLDA ELETRICA, SOBRE 04 RODAS, COM MOTOR 4 CILINDROS</v>
          </cell>
          <cell r="C2432" t="str">
            <v xml:space="preserve">UN    </v>
          </cell>
          <cell r="D2432">
            <v>146282.53</v>
          </cell>
        </row>
        <row r="2433">
          <cell r="A2433">
            <v>13533</v>
          </cell>
          <cell r="B2433" t="str">
            <v>GRUPO DE SOLDAGEM COM GERADOR A DIESEL 30 CV, PARA SOLDA ELETRICA, SOBRE DUAS RODAS</v>
          </cell>
          <cell r="C2433" t="str">
            <v xml:space="preserve">UN    </v>
          </cell>
          <cell r="D2433">
            <v>130760.33</v>
          </cell>
        </row>
        <row r="2434">
          <cell r="A2434">
            <v>36499</v>
          </cell>
          <cell r="B2434" t="str">
            <v>GRUPO GERADOR A GASOLINA, POTENCIA NOMINAL 2,2 KW, TENSAO DE SAIDA 110/220 V, MOTOR POTENCIA 6,5 HP</v>
          </cell>
          <cell r="C2434" t="str">
            <v xml:space="preserve">UN    </v>
          </cell>
          <cell r="D2434">
            <v>2852.51</v>
          </cell>
        </row>
        <row r="2435">
          <cell r="A2435">
            <v>39585</v>
          </cell>
          <cell r="B2435" t="str">
            <v>GRUPO GERADOR DIESEL, COM CARENAGEM, POTENCIA STANDART ENTRE 100 E 110 KVA, VELOCIDADE DE 1800 RPM, FREQUENCIA DE 60 HZ</v>
          </cell>
          <cell r="C2435" t="str">
            <v xml:space="preserve">UN    </v>
          </cell>
          <cell r="D2435">
            <v>94454.63</v>
          </cell>
        </row>
        <row r="2436">
          <cell r="A2436">
            <v>39586</v>
          </cell>
          <cell r="B2436" t="str">
            <v>GRUPO GERADOR DIESEL, COM CARENAGEM, POTENCIA STANDART ENTRE 140 E 150 KVA, VELOCIDADE DE 1800 RPM, FREQUENCIA DE 60 HZ</v>
          </cell>
          <cell r="C2436" t="str">
            <v xml:space="preserve">UN    </v>
          </cell>
          <cell r="D2436">
            <v>110788.88</v>
          </cell>
        </row>
        <row r="2437">
          <cell r="A2437">
            <v>39587</v>
          </cell>
          <cell r="B2437" t="str">
            <v>GRUPO GERADOR DIESEL, COM CARENAGEM, POTENCIA STANDART ENTRE 210 E 220 KVA, VELOCIDADE DE 1800 RPM, FREQUENCIA DE 60 HZ</v>
          </cell>
          <cell r="C2437" t="str">
            <v xml:space="preserve">UN    </v>
          </cell>
          <cell r="D2437">
            <v>134935.18</v>
          </cell>
        </row>
        <row r="2438">
          <cell r="A2438">
            <v>39588</v>
          </cell>
          <cell r="B2438" t="str">
            <v>GRUPO GERADOR DIESEL, COM CARENAGEM, POTENCIA STANDART ENTRE 250 E 260 KVA, VELOCIDADE DE 1800 RPM, FREQUENCIA DE 60 HZ</v>
          </cell>
          <cell r="C2438" t="str">
            <v xml:space="preserve">UN    </v>
          </cell>
          <cell r="D2438">
            <v>156240.73000000001</v>
          </cell>
        </row>
        <row r="2439">
          <cell r="A2439">
            <v>39584</v>
          </cell>
          <cell r="B2439" t="str">
            <v>GRUPO GERADOR DIESEL, COM CARENAGEM, POTENCIA STANDART ENTRE 50 E 55 KVA, VELOCIDADE DE 1800 RPM, FREQUENCIA DE 60 HZ</v>
          </cell>
          <cell r="C2439" t="str">
            <v xml:space="preserve">UN    </v>
          </cell>
          <cell r="D2439">
            <v>84114.33</v>
          </cell>
        </row>
        <row r="2440">
          <cell r="A2440">
            <v>39590</v>
          </cell>
          <cell r="B2440" t="str">
            <v>GRUPO GERADOR DIESEL, SEM CARENAGEM, POTENCIA STANDART ENTRE 100 E 110 KVA, VELOCIDADE DE 1800 RPM, FREQUENCIA DE 60 HZ</v>
          </cell>
          <cell r="C2440" t="str">
            <v xml:space="preserve">UN    </v>
          </cell>
          <cell r="D2440">
            <v>82097.399999999994</v>
          </cell>
        </row>
        <row r="2441">
          <cell r="A2441">
            <v>39592</v>
          </cell>
          <cell r="B2441" t="str">
            <v>GRUPO GERADOR DIESEL, SEM CARENAGEM, POTENCIA STANDART ENTRE 210 E 220 KVA, VELOCIDADE DE 1800 RPM, FREQUENCIA DE 60 HZ</v>
          </cell>
          <cell r="C2441" t="str">
            <v xml:space="preserve">UN    </v>
          </cell>
          <cell r="D2441">
            <v>117975.95</v>
          </cell>
        </row>
        <row r="2442">
          <cell r="A2442">
            <v>39593</v>
          </cell>
          <cell r="B2442" t="str">
            <v>GRUPO GERADOR DIESEL, SEM CARENAGEM, POTENCIA STANDART ENTRE 250 E 260 KVA, VELOCIDADE DE 1800 RPM, FREQUENCIA DE 60 HZ</v>
          </cell>
          <cell r="C2442" t="str">
            <v xml:space="preserve">UN    </v>
          </cell>
          <cell r="D2442">
            <v>134935.18</v>
          </cell>
        </row>
        <row r="2443">
          <cell r="A2443">
            <v>14254</v>
          </cell>
          <cell r="B2443" t="str">
            <v>GRUPO GERADOR DIESEL, SEM CARENAGEM, POTENCIA STANDART ENTRE 80 E 90 KVA, VELOCIDADE DE 1800 RPM, FREQUENCIA DE 60 HZ</v>
          </cell>
          <cell r="C2443" t="str">
            <v xml:space="preserve">UN    </v>
          </cell>
          <cell r="D2443">
            <v>76700</v>
          </cell>
        </row>
        <row r="2444">
          <cell r="A2444">
            <v>25987</v>
          </cell>
          <cell r="B2444" t="str">
            <v>GRUPO GERADOR ESTACIONARIO SILENCIADO, POTENCIA 50 KVA, MOTOR DIESEL</v>
          </cell>
          <cell r="C2444" t="str">
            <v xml:space="preserve">UN    </v>
          </cell>
          <cell r="D2444">
            <v>64050.62</v>
          </cell>
        </row>
        <row r="2445">
          <cell r="A2445">
            <v>25019</v>
          </cell>
          <cell r="B2445" t="str">
            <v>GRUPO GERADOR ESTACIONARIO, MOTOR DIESEL POTENCIA 170 KVA</v>
          </cell>
          <cell r="C2445" t="str">
            <v xml:space="preserve">UN    </v>
          </cell>
          <cell r="D2445">
            <v>109789.92</v>
          </cell>
        </row>
        <row r="2446">
          <cell r="A2446">
            <v>36501</v>
          </cell>
          <cell r="B2446" t="str">
            <v>GRUPO GERADOR ESTACIONARIO, POTENCIA 150 KVA, MOTOR DIESEL</v>
          </cell>
          <cell r="C2446" t="str">
            <v xml:space="preserve">UN    </v>
          </cell>
          <cell r="D2446">
            <v>97750.86</v>
          </cell>
        </row>
        <row r="2447">
          <cell r="A2447">
            <v>25986</v>
          </cell>
          <cell r="B2447" t="str">
            <v>GRUPO GERADOR ESTACIONARIO, SILENCIADO, POTENCIA 180 KVA, MOTOR DIESEL</v>
          </cell>
          <cell r="C2447" t="str">
            <v xml:space="preserve">UN    </v>
          </cell>
          <cell r="D2447">
            <v>117515.26</v>
          </cell>
        </row>
        <row r="2448">
          <cell r="A2448">
            <v>36500</v>
          </cell>
          <cell r="B2448" t="str">
            <v>GRUPO GERADOR REBOCAVEL, POTENCIA *66* KVA, MOTOR A DIESEL</v>
          </cell>
          <cell r="C2448" t="str">
            <v xml:space="preserve">UN    </v>
          </cell>
          <cell r="D2448">
            <v>69077.86</v>
          </cell>
        </row>
        <row r="2449">
          <cell r="A2449">
            <v>20017</v>
          </cell>
          <cell r="B2449" t="str">
            <v>GUARNICAO/ ALIZAR/ VISTA MACICA, E= *1* CM, L= *4,5* CM, EM CEDRINHO/ ANGELIM COMERCIAL/  EUCALIPTO/ CURUPIXA/ PEROBA/ CUMARU OU EQUIVALENTE DA REGIAO</v>
          </cell>
          <cell r="C2449" t="str">
            <v xml:space="preserve">M     </v>
          </cell>
          <cell r="D2449">
            <v>3.31</v>
          </cell>
        </row>
        <row r="2450">
          <cell r="A2450">
            <v>20007</v>
          </cell>
          <cell r="B2450" t="str">
            <v>GUARNICAO/ ALIZAR/ VISTA MACICA, E= *1* CM, L= *4,5* CM, EM PINUS/ TAUARI/ VIROLA OU EQUIVALENTE DA REGIAO</v>
          </cell>
          <cell r="C2450" t="str">
            <v xml:space="preserve">M     </v>
          </cell>
          <cell r="D2450">
            <v>2.54</v>
          </cell>
        </row>
        <row r="2451">
          <cell r="A2451">
            <v>39836</v>
          </cell>
          <cell r="B2451" t="str">
            <v>GUARNICAO/ALIZAR/VISTA, E = *1,3* CM, L = *5,0* CM HASTE REGULAVEL = *35* MM, EM MDF/PVC WOOD/ POLIESTIRENO OU MADEIRA LAMINADA, PRIMER BRANCO</v>
          </cell>
          <cell r="C2451" t="str">
            <v xml:space="preserve">JG    </v>
          </cell>
          <cell r="D2451">
            <v>145.59</v>
          </cell>
        </row>
        <row r="2452">
          <cell r="A2452">
            <v>39830</v>
          </cell>
          <cell r="B2452" t="str">
            <v>GUARNICAO/ALIZAR/VISTA, E = *1,3* CM, L = *7,0* CM, EM POLIESTIRENO, BRANCO</v>
          </cell>
          <cell r="C2452" t="str">
            <v xml:space="preserve">JG    </v>
          </cell>
          <cell r="D2452">
            <v>166.04</v>
          </cell>
        </row>
        <row r="2453">
          <cell r="A2453">
            <v>39831</v>
          </cell>
          <cell r="B2453" t="str">
            <v>GUARNICAO/ALIZAR/VISTA, E = *1,5* CM, L = *5,0* CM, EM POLIESTIRENO, BRANCO</v>
          </cell>
          <cell r="C2453" t="str">
            <v xml:space="preserve">JG    </v>
          </cell>
          <cell r="D2453">
            <v>165.69</v>
          </cell>
        </row>
        <row r="2454">
          <cell r="A2454">
            <v>36888</v>
          </cell>
          <cell r="B2454" t="str">
            <v>GUARNICAO/MOLDURA DE ACABAMENTO PARA ESQUADRIA DE ALUMINIO ANODIZADO NATURAL, PARA 1 FACE</v>
          </cell>
          <cell r="C2454" t="str">
            <v xml:space="preserve">M     </v>
          </cell>
          <cell r="D2454">
            <v>7.6</v>
          </cell>
        </row>
        <row r="2455">
          <cell r="A2455">
            <v>40527</v>
          </cell>
          <cell r="B2455" t="str">
            <v>GUINCHO DE ALAVANCA MANUAL, CAPACIDADE DE 1,6 T, COM 20 M DE CABO DE ACO (AQUISICAO)</v>
          </cell>
          <cell r="C2455" t="str">
            <v xml:space="preserve">UN    </v>
          </cell>
          <cell r="D2455">
            <v>2312.29</v>
          </cell>
        </row>
        <row r="2456">
          <cell r="A2456">
            <v>36497</v>
          </cell>
          <cell r="B2456" t="str">
            <v>GUINCHO DE ALAVANCA MANUAL, CAPACIDADE 3,2 T COM 20 M DE CABO DE ACO DIAMETRO 16,3 MM</v>
          </cell>
          <cell r="C2456" t="str">
            <v xml:space="preserve">UN    </v>
          </cell>
          <cell r="D2456">
            <v>2639.73</v>
          </cell>
        </row>
        <row r="2457">
          <cell r="A2457">
            <v>36487</v>
          </cell>
          <cell r="B2457" t="str">
            <v>GUINCHO ELETRICO DE COLUNA, CAPACIDADE 400 KG, COM MOTO FREIO, MOTOR TRIFASICO DE 1,25 CV</v>
          </cell>
          <cell r="C2457" t="str">
            <v xml:space="preserve">UN    </v>
          </cell>
          <cell r="D2457">
            <v>4596.17</v>
          </cell>
        </row>
        <row r="2458">
          <cell r="A2458">
            <v>25952</v>
          </cell>
          <cell r="B2458" t="str">
            <v>GUINDASTE HIDRAULICO AUTOPROPELIDO, COM LANCA TELESCOPICA 28,80 M, CAPACIDADE MAXIMA 30 T, POTENCIA 97 KW, TRACAO 4 X 4</v>
          </cell>
          <cell r="C2458" t="str">
            <v xml:space="preserve">UN    </v>
          </cell>
          <cell r="D2458">
            <v>683184.85</v>
          </cell>
        </row>
        <row r="2459">
          <cell r="A2459">
            <v>25954</v>
          </cell>
          <cell r="B2459" t="str">
            <v>GUINDASTE HIDRAULICO AUTOPROPELIDO, COM LANCA TELESCOPICA 40 M, CAPACIDADE MAXIMA 60 T, POTENCIA 260 KW, TRACAO 6 X 6</v>
          </cell>
          <cell r="C2459" t="str">
            <v xml:space="preserve">UN    </v>
          </cell>
          <cell r="D2459">
            <v>1313817.02</v>
          </cell>
        </row>
        <row r="2460">
          <cell r="A2460">
            <v>25953</v>
          </cell>
          <cell r="B2460" t="str">
            <v>GUINDASTE HIDRAULICO AUTOPROPELIDO, COM LANCA TELESCOPICA 50 M, CAPACIDADE MAXIMA 100 T, POTENCIA 350 KW, TRACAO 10 X 6</v>
          </cell>
          <cell r="C2460" t="str">
            <v xml:space="preserve">UN    </v>
          </cell>
          <cell r="D2460">
            <v>2233488.9300000002</v>
          </cell>
        </row>
        <row r="2461">
          <cell r="A2461">
            <v>37776</v>
          </cell>
          <cell r="B2461" t="str">
            <v>GUINDAUTO HIDRAULICO, CAPACIDADE MAXIMA DE CARGA 10000 KG, MOMENTO MAXIMO DE CARGA 23 TM , ALCANCE MAXIMO HORIZONTAL 11,80 M, PARA MONTAGEM SOBRE CHASSI DE CAMINHAO PBT MINIMO 15000 KG (INCLUI MONTAGEM, NAO INCLUI CAMINHAO)</v>
          </cell>
          <cell r="C2461" t="str">
            <v xml:space="preserve">UN    </v>
          </cell>
          <cell r="D2461">
            <v>136884.32</v>
          </cell>
        </row>
        <row r="2462">
          <cell r="A2462">
            <v>37775</v>
          </cell>
          <cell r="B2462" t="str">
            <v>GUINDAUTO HIDRAULICO, CAPACIDADE MAXIMA DE CARGA 14340 KG, MOMENTO MAXIMO DE CARGA 42,3 TM, ALCANCE MAXIMO HORIZONTAL 16,80 M, PARA MONTAGEM SOBRE CHASSI DE CAMINHAO PBT MINIMO 23000 KG (INCLUI MONTAGEM, NAO INCLUI CAMINHAO)</v>
          </cell>
          <cell r="C2462" t="str">
            <v xml:space="preserve">UN    </v>
          </cell>
          <cell r="D2462">
            <v>215603.17</v>
          </cell>
        </row>
        <row r="2463">
          <cell r="A2463">
            <v>36491</v>
          </cell>
          <cell r="B2463" t="str">
            <v>GUINDAUTO HIDRAULICO, CAPACIDADE MAXIMA DE CARGA 30000 KG, MOMENTO MAXIMO DE CARGA 92,2 TM , ALCANCE MAXIMO HORIZONTAL  22,00 M, PARA MONTAGEM SOBRE CHASSI DE CAMINHAO PBT MINIMO 30000 KG (INCLUI MONTAGEM, NAO INCLUI CAMINHAO)</v>
          </cell>
          <cell r="C2463" t="str">
            <v xml:space="preserve">UN    </v>
          </cell>
          <cell r="D2463">
            <v>798442.51</v>
          </cell>
        </row>
        <row r="2464">
          <cell r="A2464">
            <v>10712</v>
          </cell>
          <cell r="B2464" t="str">
            <v>GUINDAUTO HIDRAULICO, CAPACIDADE MAXIMA DE CARGA 3300 KG, MOMENTO MAXIMO DE CARGA 5,8 TM , ALCANCE MAXIMO HORIZONTAL  7,60 M, PARA MONTAGEM SOBRE CHASSI DE CAMINHAO PBT MINIMO 8000 KG (INCLUI MONTAGEM, NAO INCLUI CAMINHAO)</v>
          </cell>
          <cell r="C2464" t="str">
            <v xml:space="preserve">UN    </v>
          </cell>
          <cell r="D2464">
            <v>53900.79</v>
          </cell>
        </row>
        <row r="2465">
          <cell r="A2465">
            <v>3363</v>
          </cell>
          <cell r="B2465" t="str">
            <v>GUINDAUTO HIDRAULICO, CAPACIDADE MAXIMA DE CARGA 6200 KG, MOMENTO MAXIMO DE CARGA 11,7 TM , ALCANCE MAXIMO HORIZONTAL  9,70 M, PARA MONTAGEM SOBRE CHASSI DE CAMINHAO PBT MINIMO 13000 KG (INCLUI MONTAGEM, NAO INCLUI CAMINHAO)</v>
          </cell>
          <cell r="C2465" t="str">
            <v xml:space="preserve">UN    </v>
          </cell>
          <cell r="D2465">
            <v>75816.5</v>
          </cell>
        </row>
        <row r="2466">
          <cell r="A2466">
            <v>3365</v>
          </cell>
          <cell r="B2466" t="str">
            <v>GUINDAUTO HIDRAULICO, CAPACIDADE MAXIMA DE CARGA 8500 KG, MOMENTO MAXIMO DE CARGA 30,4 TM , ALCANCE MAXIMO HORIZONTAL  14,30 M, PARA MONTAGEM SOBRE CHASSI DE CAMINHAO PBT MINIMO 23000 KG (INCLUI MONTAGEM, NAO INCLUI CAMINHAO)</v>
          </cell>
          <cell r="C2466" t="str">
            <v xml:space="preserve">UN    </v>
          </cell>
          <cell r="D2466">
            <v>177221.06</v>
          </cell>
        </row>
        <row r="2467">
          <cell r="A2467">
            <v>7569</v>
          </cell>
          <cell r="B2467" t="str">
            <v>HASTE ANCORA EM ACO GALVANIZADO, DIMENSOES 16 MM X 2000 MM</v>
          </cell>
          <cell r="C2467" t="str">
            <v xml:space="preserve">UN    </v>
          </cell>
          <cell r="D2467">
            <v>42.25</v>
          </cell>
        </row>
        <row r="2468">
          <cell r="A2468">
            <v>34349</v>
          </cell>
          <cell r="B2468" t="str">
            <v>HASTE DE ACO GALVANIZADO PARA FIXACAO DE CONCERTINA 2 "/3 M</v>
          </cell>
          <cell r="C2468" t="str">
            <v xml:space="preserve">UN    </v>
          </cell>
          <cell r="D2468">
            <v>17.43</v>
          </cell>
        </row>
        <row r="2469">
          <cell r="A2469">
            <v>11991</v>
          </cell>
          <cell r="B2469" t="str">
            <v>HASTE DE ATERRAMENTO EM ACO GALVANIZADO TIPO CANTONEIRA COM 2,00 M DE COMPRIMENTO, 25 X 25 MM E CHAPA DE 3/16"</v>
          </cell>
          <cell r="C2469" t="str">
            <v xml:space="preserve">UN    </v>
          </cell>
          <cell r="D2469">
            <v>41.89</v>
          </cell>
        </row>
        <row r="2470">
          <cell r="A2470">
            <v>20062</v>
          </cell>
          <cell r="B2470" t="str">
            <v>HASTE METALICA PARA FIXACAO DE CALHA PLUVIAL,  ZINCADA, DOBRADA 90 GRAUS</v>
          </cell>
          <cell r="C2470" t="str">
            <v xml:space="preserve">UN    </v>
          </cell>
          <cell r="D2470">
            <v>11.43</v>
          </cell>
        </row>
        <row r="2471">
          <cell r="A2471">
            <v>11029</v>
          </cell>
          <cell r="B2471" t="str">
            <v>HASTE RETA PARA GANCHO DE FERRO GALVANIZADO, COM ROSCA 1/4 " X 30 CM PARA FIXACAO DE TELHA METALICA, INCLUI PORCA E ARRUELAS DE VEDACAO</v>
          </cell>
          <cell r="C2471" t="str">
            <v xml:space="preserve">CJ    </v>
          </cell>
          <cell r="D2471">
            <v>1.1299999999999999</v>
          </cell>
        </row>
        <row r="2472">
          <cell r="A2472">
            <v>4316</v>
          </cell>
          <cell r="B2472" t="str">
            <v>HASTE RETA PARA GANCHO DE FERRO GALVANIZADO, COM ROSCA 1/4 " X 40 CM PARA FIXACAO DE TELHA DE FIBROCIMENTO, INCLUI PORCA SEXTAVADA DE  ZINCO</v>
          </cell>
          <cell r="C2472" t="str">
            <v xml:space="preserve">UN    </v>
          </cell>
          <cell r="D2472">
            <v>1.1399999999999999</v>
          </cell>
        </row>
        <row r="2473">
          <cell r="A2473">
            <v>4313</v>
          </cell>
          <cell r="B2473" t="str">
            <v>HASTE RETA PARA GANCHO DE FERRO GALVANIZADO, COM ROSCA 5/16" X 35 CM PARA FIXACAO DE TELHA DE FIBROCIMENTO, INCLUI PORCA E ARRUELAS DE VEDACAO</v>
          </cell>
          <cell r="C2473" t="str">
            <v xml:space="preserve">CJ    </v>
          </cell>
          <cell r="D2473">
            <v>1.63</v>
          </cell>
        </row>
        <row r="2474">
          <cell r="A2474">
            <v>4317</v>
          </cell>
          <cell r="B2474" t="str">
            <v>HASTE RETA PARA GANCHO DE FERRO GALVANIZADO, COM ROSCA 5/16" X 40 CM PARA FIXACAO DE TELHA DE FIBROCIMENTO, INCLUI PORCA SEXTAVADA DE  ZINCO</v>
          </cell>
          <cell r="C2474" t="str">
            <v xml:space="preserve">UN    </v>
          </cell>
          <cell r="D2474">
            <v>1.86</v>
          </cell>
        </row>
        <row r="2475">
          <cell r="A2475">
            <v>4314</v>
          </cell>
          <cell r="B2475" t="str">
            <v>HASTE RETA PARA GANCHO DE FERRO GALVANIZADO, COM ROSCA 5/16" X 45 CM PARA FIXACAO DE TELHA DE FIBROCIMENTO, INCLUI PORCA E ARRUELAS DE VEDACAO</v>
          </cell>
          <cell r="C2475" t="str">
            <v xml:space="preserve">CJ    </v>
          </cell>
          <cell r="D2475">
            <v>2.1800000000000002</v>
          </cell>
        </row>
        <row r="2476">
          <cell r="A2476">
            <v>10561</v>
          </cell>
          <cell r="B2476" t="str">
            <v>HEXAMETAFOSFATO DE SODIO</v>
          </cell>
          <cell r="C2476" t="str">
            <v xml:space="preserve">KG    </v>
          </cell>
          <cell r="D2476">
            <v>0.48</v>
          </cell>
        </row>
        <row r="2477">
          <cell r="A2477">
            <v>10921</v>
          </cell>
          <cell r="B2477" t="str">
            <v>HIDRANTE DE COLUNA COMPLETO, EM FERRO FUNDIDO, DN = 100 MM, COM REGISTRO, CUNHA DE BORRACHA, CURVA DESSIMETRICA, EXTREMIDADE E TAMPAS (INCLUI KIT FIXACAO)</v>
          </cell>
          <cell r="C2477" t="str">
            <v xml:space="preserve">UN    </v>
          </cell>
          <cell r="D2477">
            <v>3306.55</v>
          </cell>
        </row>
        <row r="2478">
          <cell r="A2478">
            <v>10922</v>
          </cell>
          <cell r="B2478" t="str">
            <v>HIDRANTE DE COLUNA COMPLETO, EM FERRO FUNDIDO, DN = 75 MM, COM REGISTRO, CUNHA DE BORRACHA, CURVA DESSIMETRICA, EXTREMIDADE E TAMPAS (INCLUI KIT FIXACAO)</v>
          </cell>
          <cell r="C2478" t="str">
            <v xml:space="preserve">UN    </v>
          </cell>
          <cell r="D2478">
            <v>2994.99</v>
          </cell>
        </row>
        <row r="2479">
          <cell r="A2479">
            <v>10923</v>
          </cell>
          <cell r="B2479" t="str">
            <v>HIDRANTE SUBTERRANEO, EM FERRO FUNDIDO, COM CURVA CURTA E CAIXA, DN 75 MM</v>
          </cell>
          <cell r="C2479" t="str">
            <v xml:space="preserve">UN    </v>
          </cell>
          <cell r="D2479">
            <v>1770.16</v>
          </cell>
        </row>
        <row r="2480">
          <cell r="A2480">
            <v>10924</v>
          </cell>
          <cell r="B2480" t="str">
            <v>HIDRANTE SUBTERRANEO, EM FERRO FUNDIDO, COM CURVA LONGA E CAIXA, DN 75 MM</v>
          </cell>
          <cell r="C2480" t="str">
            <v xml:space="preserve">UN    </v>
          </cell>
          <cell r="D2480">
            <v>1864.33</v>
          </cell>
        </row>
        <row r="2481">
          <cell r="A2481">
            <v>37772</v>
          </cell>
          <cell r="B2481" t="str">
            <v>HIDROJATEADORA PARA DESOBSTRUCAO DE REDES E GALERIAS, TANQUE 7000 L, BOMBA TRIPLEX 120 KGF/CM2 128 L/MIN (INCLUI MONTAGEM, NAO INCLUI CAMINHAO)</v>
          </cell>
          <cell r="C2481" t="str">
            <v xml:space="preserve">UN    </v>
          </cell>
          <cell r="D2481">
            <v>114526.71</v>
          </cell>
        </row>
        <row r="2482">
          <cell r="A2482">
            <v>37771</v>
          </cell>
          <cell r="B2482" t="str">
            <v>HIDROJATEADORA PARA DESOBSTRUCAO DE REDES E GALERIAS, TANQUE 7000 L, BOMBA TRIPLEX 140 KGF/CM2 260 L/MIN ALIMENTADA POR MOTOR INDEPENDENTE A DIESEL POTENCIA 125 CV (INCLUI MONTAGEM, NAO INCLUI CAMINHAO)</v>
          </cell>
          <cell r="C2482" t="str">
            <v xml:space="preserve">UN    </v>
          </cell>
          <cell r="D2482">
            <v>121838.18</v>
          </cell>
        </row>
        <row r="2483">
          <cell r="A2483">
            <v>12770</v>
          </cell>
          <cell r="B2483" t="str">
            <v>HIDROMETRO MULTIJATO, VAZAO MAXIMA DE 10,0 M3/H, DE 1"</v>
          </cell>
          <cell r="C2483" t="str">
            <v xml:space="preserve">UN    </v>
          </cell>
          <cell r="D2483">
            <v>417.64</v>
          </cell>
        </row>
        <row r="2484">
          <cell r="A2484">
            <v>12772</v>
          </cell>
          <cell r="B2484" t="str">
            <v>HIDROMETRO MULTIJATO, VAZAO MAXIMA DE 20,0 M3/H, DE 1 1/2"</v>
          </cell>
          <cell r="C2484" t="str">
            <v xml:space="preserve">UN    </v>
          </cell>
          <cell r="D2484">
            <v>694.11</v>
          </cell>
        </row>
        <row r="2485">
          <cell r="A2485">
            <v>12768</v>
          </cell>
          <cell r="B2485" t="str">
            <v>HIDROMETRO MULTIJATO, VAZAO MAXIMA DE 30,0 M3/H, DE 2"</v>
          </cell>
          <cell r="C2485" t="str">
            <v xml:space="preserve">UN    </v>
          </cell>
          <cell r="D2485">
            <v>976.47</v>
          </cell>
        </row>
        <row r="2486">
          <cell r="A2486">
            <v>12775</v>
          </cell>
          <cell r="B2486" t="str">
            <v>HIDROMETRO MULTIJATO, VAZAO MAXIMA DE 7,0 M3/H, DE 1"</v>
          </cell>
          <cell r="C2486" t="str">
            <v xml:space="preserve">UN    </v>
          </cell>
          <cell r="D2486">
            <v>305.88</v>
          </cell>
        </row>
        <row r="2487">
          <cell r="A2487">
            <v>12769</v>
          </cell>
          <cell r="B2487" t="str">
            <v>HIDROMETRO UNIJATO, VAZAO MAXIMA DE 1,5 M3/H, DE 1/2"</v>
          </cell>
          <cell r="C2487" t="str">
            <v xml:space="preserve">UN    </v>
          </cell>
          <cell r="D2487">
            <v>80</v>
          </cell>
        </row>
        <row r="2488">
          <cell r="A2488">
            <v>12773</v>
          </cell>
          <cell r="B2488" t="str">
            <v>HIDROMETRO UNIJATO, VAZAO MAXIMA DE 3,0 M3/H, DE 1/2"</v>
          </cell>
          <cell r="C2488" t="str">
            <v xml:space="preserve">UN    </v>
          </cell>
          <cell r="D2488">
            <v>85.88</v>
          </cell>
        </row>
        <row r="2489">
          <cell r="A2489">
            <v>12774</v>
          </cell>
          <cell r="B2489" t="str">
            <v>HIDROMETRO UNIJATO, VAZAO MAXIMA DE 5,0 M3/H, DE 3/4"</v>
          </cell>
          <cell r="C2489" t="str">
            <v xml:space="preserve">UN    </v>
          </cell>
          <cell r="D2489">
            <v>105.88</v>
          </cell>
        </row>
        <row r="2490">
          <cell r="A2490">
            <v>12776</v>
          </cell>
          <cell r="B2490" t="str">
            <v>HIDROMETRO WOLTMANN, VAZAO MAXIMA DE 50,0 M3/H, DE 2"</v>
          </cell>
          <cell r="C2490" t="str">
            <v xml:space="preserve">UN    </v>
          </cell>
          <cell r="D2490">
            <v>1576.47</v>
          </cell>
        </row>
        <row r="2491">
          <cell r="A2491">
            <v>12777</v>
          </cell>
          <cell r="B2491" t="str">
            <v>HIDROMETRO WOLTMANN, VAZAO MAXIMA DE 80,0 M3/H, DE 3"</v>
          </cell>
          <cell r="C2491" t="str">
            <v xml:space="preserve">UN    </v>
          </cell>
          <cell r="D2491">
            <v>2058.8200000000002</v>
          </cell>
        </row>
        <row r="2492">
          <cell r="A2492">
            <v>3391</v>
          </cell>
          <cell r="B2492" t="str">
            <v>IGNITOR PARA LAMPADA DE VAPOR DE SODIO / VAPOR METALICO ATE 2000 W, TENSAO DE PULSO ENTRE 600 A 750 V</v>
          </cell>
          <cell r="C2492" t="str">
            <v xml:space="preserve">UN    </v>
          </cell>
          <cell r="D2492">
            <v>44.87</v>
          </cell>
        </row>
        <row r="2493">
          <cell r="A2493">
            <v>3389</v>
          </cell>
          <cell r="B2493" t="str">
            <v>IGNITOR PARA LAMPADA DE VAPOR DE SODIO / VAPOR METALICO ATE 400 W, TENSAO DE PULSO ENTRE 3000 A 4500 V</v>
          </cell>
          <cell r="C2493" t="str">
            <v xml:space="preserve">UN    </v>
          </cell>
          <cell r="D2493">
            <v>23.28</v>
          </cell>
        </row>
        <row r="2494">
          <cell r="A2494">
            <v>3390</v>
          </cell>
          <cell r="B2494" t="str">
            <v>IGNITOR PARA LAMPADA DE VAPOR DE SODIO / VAPOR METALICO ATE 400 W, TENSAO DE PULSO ENTRE 580 A 750 V</v>
          </cell>
          <cell r="C2494" t="str">
            <v xml:space="preserve">UN    </v>
          </cell>
          <cell r="D2494">
            <v>26.2</v>
          </cell>
        </row>
        <row r="2495">
          <cell r="A2495">
            <v>12873</v>
          </cell>
          <cell r="B2495" t="str">
            <v>IMPERMEABILIZADOR</v>
          </cell>
          <cell r="C2495" t="str">
            <v xml:space="preserve">H     </v>
          </cell>
          <cell r="D2495">
            <v>15.69</v>
          </cell>
        </row>
        <row r="2496">
          <cell r="A2496">
            <v>41076</v>
          </cell>
          <cell r="B2496" t="str">
            <v>IMPERMEABILIZADOR (MENSALISTA)</v>
          </cell>
          <cell r="C2496" t="str">
            <v xml:space="preserve">MES   </v>
          </cell>
          <cell r="D2496">
            <v>2783.5</v>
          </cell>
        </row>
        <row r="2497">
          <cell r="A2497">
            <v>140</v>
          </cell>
          <cell r="B2497" t="str">
            <v>IMPERMEABILIZANTE FLEXIVEL BRANCO DE BASE ACRILICA PARA COBERTURAS</v>
          </cell>
          <cell r="C2497" t="str">
            <v xml:space="preserve">KG    </v>
          </cell>
          <cell r="D2497">
            <v>13.25</v>
          </cell>
        </row>
        <row r="2498">
          <cell r="A2498">
            <v>151</v>
          </cell>
          <cell r="B2498" t="str">
            <v>IMPERMEABILIZANTE INCOLOR PARA TRATAMENTO DE FACHADAS E TELHAS, BASE SILICONE</v>
          </cell>
          <cell r="C2498" t="str">
            <v xml:space="preserve">L     </v>
          </cell>
          <cell r="D2498">
            <v>19.55</v>
          </cell>
        </row>
        <row r="2499">
          <cell r="A2499">
            <v>7340</v>
          </cell>
          <cell r="B2499" t="str">
            <v>IMUNIZANTE PARA MADEIRA, INCOLOR</v>
          </cell>
          <cell r="C2499" t="str">
            <v xml:space="preserve">L     </v>
          </cell>
          <cell r="D2499">
            <v>16.79</v>
          </cell>
        </row>
        <row r="2500">
          <cell r="A2500">
            <v>2701</v>
          </cell>
          <cell r="B2500" t="str">
            <v>INSTALADOR DE TUBULACOES (TUBOS/EQUIPAMENTOS)</v>
          </cell>
          <cell r="C2500" t="str">
            <v xml:space="preserve">H     </v>
          </cell>
          <cell r="D2500">
            <v>11</v>
          </cell>
        </row>
        <row r="2501">
          <cell r="A2501">
            <v>40929</v>
          </cell>
          <cell r="B2501" t="str">
            <v>INSTALADOR DE TUBULACOES (TUBOS/EQUIPAMENTOS) (MENSALISTA)</v>
          </cell>
          <cell r="C2501" t="str">
            <v xml:space="preserve">MES   </v>
          </cell>
          <cell r="D2501">
            <v>1951.18</v>
          </cell>
        </row>
        <row r="2502">
          <cell r="A2502">
            <v>38114</v>
          </cell>
          <cell r="B2502" t="str">
            <v>INTERRUPTOR BIPOLAR SIMPLES 10 A, 250 V (APENAS MODULO)</v>
          </cell>
          <cell r="C2502" t="str">
            <v xml:space="preserve">UN    </v>
          </cell>
          <cell r="D2502">
            <v>10.67</v>
          </cell>
        </row>
        <row r="2503">
          <cell r="A2503">
            <v>38064</v>
          </cell>
          <cell r="B2503" t="str">
            <v>INTERRUPTOR BIPOLAR 10A, 250V, CONJUNTO MONTADO PARA EMBUTIR 4" X 2" (PLACA + SUPORTE + MODULO)</v>
          </cell>
          <cell r="C2503" t="str">
            <v xml:space="preserve">UN    </v>
          </cell>
          <cell r="D2503">
            <v>11.93</v>
          </cell>
        </row>
        <row r="2504">
          <cell r="A2504">
            <v>38115</v>
          </cell>
          <cell r="B2504" t="str">
            <v>INTERRUPTOR INTERMEDIARIO 10 A, 250 V (APENAS MODULO)</v>
          </cell>
          <cell r="C2504" t="str">
            <v xml:space="preserve">UN    </v>
          </cell>
          <cell r="D2504">
            <v>11.4</v>
          </cell>
        </row>
        <row r="2505">
          <cell r="A2505">
            <v>38065</v>
          </cell>
          <cell r="B2505" t="str">
            <v>INTERRUPTOR INTERMEDIARIO 10A, 250V, CONJUNTO MONTADO PARA EMBUTIR 4" X 2" (PLACA + SUPORTE + MODULO)</v>
          </cell>
          <cell r="C2505" t="str">
            <v xml:space="preserve">UN    </v>
          </cell>
          <cell r="D2505">
            <v>16.93</v>
          </cell>
        </row>
        <row r="2506">
          <cell r="A2506">
            <v>38078</v>
          </cell>
          <cell r="B2506" t="str">
            <v>INTERRUPTOR PARALELO + TOMADA 2P+T 10A, 250V, CONJUNTO MONTADO PARA EMBUTIR 4" X 2" (PLACA + SUPORTE + MODULOS)</v>
          </cell>
          <cell r="C2506" t="str">
            <v xml:space="preserve">UN    </v>
          </cell>
          <cell r="D2506">
            <v>9.8800000000000008</v>
          </cell>
        </row>
        <row r="2507">
          <cell r="A2507">
            <v>38113</v>
          </cell>
          <cell r="B2507" t="str">
            <v>INTERRUPTOR PARALELO 10A, 250V (APENAS MODULO)</v>
          </cell>
          <cell r="C2507" t="str">
            <v xml:space="preserve">UN    </v>
          </cell>
          <cell r="D2507">
            <v>5.36</v>
          </cell>
        </row>
        <row r="2508">
          <cell r="A2508">
            <v>38063</v>
          </cell>
          <cell r="B2508" t="str">
            <v>INTERRUPTOR PARALELO 10A, 250V, CONJUNTO MONTADO PARA EMBUTIR 4" X 2" (PLACA + SUPORTE + MODULO)</v>
          </cell>
          <cell r="C2508" t="str">
            <v xml:space="preserve">UN    </v>
          </cell>
          <cell r="D2508">
            <v>5.76</v>
          </cell>
        </row>
        <row r="2509">
          <cell r="A2509">
            <v>38080</v>
          </cell>
          <cell r="B2509" t="str">
            <v>INTERRUPTOR SIMPLES + INTERRUPTOR PARALELO + TOMADA 2P+T 10A, 250V, CONJUNTO MONTADO PARA EMBUTIR 4" X 2" (PLACA + SUPORTE + MODULOS)</v>
          </cell>
          <cell r="C2509" t="str">
            <v xml:space="preserve">UN    </v>
          </cell>
          <cell r="D2509">
            <v>17.16</v>
          </cell>
        </row>
        <row r="2510">
          <cell r="A2510">
            <v>38069</v>
          </cell>
          <cell r="B2510" t="str">
            <v>INTERRUPTOR SIMPLES + INTERRUPTOR PARALELO 10A, 250V, CONJUNTO MONTADO PARA EMBUTIR 4" X 2" (PLACA + SUPORTE + MODULOS)</v>
          </cell>
          <cell r="C2510" t="str">
            <v xml:space="preserve">UN    </v>
          </cell>
          <cell r="D2510">
            <v>9.3800000000000008</v>
          </cell>
        </row>
        <row r="2511">
          <cell r="A2511">
            <v>38077</v>
          </cell>
          <cell r="B2511" t="str">
            <v>INTERRUPTOR SIMPLES + TOMADA 2P+T 10A, 250V, CONJUNTO MONTADO PARA EMBUTIR 4" X 2" (PLACA + SUPORTE + MODULOS)</v>
          </cell>
          <cell r="C2511" t="str">
            <v xml:space="preserve">UN    </v>
          </cell>
          <cell r="D2511">
            <v>9.17</v>
          </cell>
        </row>
        <row r="2512">
          <cell r="A2512">
            <v>38073</v>
          </cell>
          <cell r="B2512" t="str">
            <v>INTERRUPTOR SIMPLES + 2 INTERRUPTORES PARALELOS 10A, 250V, CONJUNTO MONTADO PARA EMBUTIR 4" X 2" (PLACA + SUPORTE + MODULOS)</v>
          </cell>
          <cell r="C2512" t="str">
            <v xml:space="preserve">UN    </v>
          </cell>
          <cell r="D2512">
            <v>13.97</v>
          </cell>
        </row>
        <row r="2513">
          <cell r="A2513">
            <v>38112</v>
          </cell>
          <cell r="B2513" t="str">
            <v>INTERRUPTOR SIMPLES 10A, 250V (APENAS MODULO)</v>
          </cell>
          <cell r="C2513" t="str">
            <v xml:space="preserve">UN    </v>
          </cell>
          <cell r="D2513">
            <v>4.12</v>
          </cell>
        </row>
        <row r="2514">
          <cell r="A2514">
            <v>38062</v>
          </cell>
          <cell r="B2514" t="str">
            <v>INTERRUPTOR SIMPLES 10A, 250V, CONJUNTO MONTADO PARA EMBUTIR 4" X 2" (PLACA + SUPORTE + MODULO)</v>
          </cell>
          <cell r="C2514" t="str">
            <v xml:space="preserve">UN    </v>
          </cell>
          <cell r="D2514">
            <v>4.2300000000000004</v>
          </cell>
        </row>
        <row r="2515">
          <cell r="A2515">
            <v>12128</v>
          </cell>
          <cell r="B2515" t="str">
            <v>INTERRUPTOR SIMPLES 10A, 250V, CONJUNTO MONTADO PARA SOBREPOR 4" X 2" (CAIXA + MODULO)</v>
          </cell>
          <cell r="C2515" t="str">
            <v xml:space="preserve">UN    </v>
          </cell>
          <cell r="D2515">
            <v>5.65</v>
          </cell>
        </row>
        <row r="2516">
          <cell r="A2516">
            <v>12129</v>
          </cell>
          <cell r="B2516" t="str">
            <v>INTERRUPTOR SIMPLES 10A, 250V, CONJUNTO MONTADO PARA SOBREPOR 4" X 2" (CAIXA + 2 MODULOS)</v>
          </cell>
          <cell r="C2516" t="str">
            <v xml:space="preserve">UN    </v>
          </cell>
          <cell r="D2516">
            <v>7.47</v>
          </cell>
        </row>
        <row r="2517">
          <cell r="A2517">
            <v>38081</v>
          </cell>
          <cell r="B2517" t="str">
            <v>INTERRUPTORES PARALELOS (2 MODULOS) + TOMADA 2P+T 10A, 250V, CONJUNTO MONTADO PARA EMBUTIR 4" X 2" (PLACA + SUPORTE + MODULOS)</v>
          </cell>
          <cell r="C2517" t="str">
            <v xml:space="preserve">UN    </v>
          </cell>
          <cell r="D2517">
            <v>14.55</v>
          </cell>
        </row>
        <row r="2518">
          <cell r="A2518">
            <v>38070</v>
          </cell>
          <cell r="B2518" t="str">
            <v>INTERRUPTORES PARALELOS (2 MODULOS) 10A, 250V, CONJUNTO MONTADO PARA EMBUTIR 4" X 2" (PLACA + SUPORTE + MODULOS)</v>
          </cell>
          <cell r="C2518" t="str">
            <v xml:space="preserve">UN    </v>
          </cell>
          <cell r="D2518">
            <v>10.029999999999999</v>
          </cell>
        </row>
        <row r="2519">
          <cell r="A2519">
            <v>38074</v>
          </cell>
          <cell r="B2519" t="str">
            <v>INTERRUPTORES PARALELOS (3 MODULOS) 10A, 250V, CONJUNTO MONTADO PARA EMBUTIR 4" X 2" (PLACA + SUPORTE + MODULO)</v>
          </cell>
          <cell r="C2519" t="str">
            <v xml:space="preserve">UN    </v>
          </cell>
          <cell r="D2519">
            <v>15.25</v>
          </cell>
        </row>
        <row r="2520">
          <cell r="A2520">
            <v>38079</v>
          </cell>
          <cell r="B2520" t="str">
            <v>INTERRUPTORES SIMPLES (2 MODULOS) + TOMADA 2P+T 10A, 250V, CONJUNTO MONTADO PARA EMBUTIR 4" X 2" (PLACA + SUPORTE + MODULOS)</v>
          </cell>
          <cell r="C2520" t="str">
            <v xml:space="preserve">UN    </v>
          </cell>
          <cell r="D2520">
            <v>13.09</v>
          </cell>
        </row>
        <row r="2521">
          <cell r="A2521">
            <v>38072</v>
          </cell>
          <cell r="B2521" t="str">
            <v>INTERRUPTORES SIMPLES (2 MODULOS) + 1 INTERRUPTOR PARALELO 10A, 250V, CONJUNTO MONTADO PARA EMBUTIR 4" X 2" (PLACA + SUPORTE + MODULOS)</v>
          </cell>
          <cell r="C2521" t="str">
            <v xml:space="preserve">UN    </v>
          </cell>
          <cell r="D2521">
            <v>12.58</v>
          </cell>
        </row>
        <row r="2522">
          <cell r="A2522">
            <v>38068</v>
          </cell>
          <cell r="B2522" t="str">
            <v>INTERRUPTORES SIMPLES (2 MODULOS) 10A, 250V, CONJUNTO MONTADO PARA EMBUTIR 4" X 2" (PLACA + SUPORTE + MODULOS)</v>
          </cell>
          <cell r="C2522" t="str">
            <v xml:space="preserve">UN    </v>
          </cell>
          <cell r="D2522">
            <v>8.68</v>
          </cell>
        </row>
        <row r="2523">
          <cell r="A2523">
            <v>38071</v>
          </cell>
          <cell r="B2523" t="str">
            <v>INTERRUPTORES SIMPLES (3 MODULOS) 10A, 250V, CONJUNTO MONTADO PARA EMBUTIR 4" X 2" (PLACA + SUPORTE + MODULOS)</v>
          </cell>
          <cell r="C2523" t="str">
            <v xml:space="preserve">UN    </v>
          </cell>
          <cell r="D2523">
            <v>10.38</v>
          </cell>
        </row>
        <row r="2524">
          <cell r="A2524">
            <v>38412</v>
          </cell>
          <cell r="B2524" t="str">
            <v>INVERSOR DE SOLDA MONOFASICO DE 160 A, POTENCIA DE 5400 W, TENSAO DE 220 V, TURBO VENTILADO, PROTECAO POR FUSIVEL TERMICO, PARA ELETRODOS DE 2,0 A 4,0 MM</v>
          </cell>
          <cell r="C2524" t="str">
            <v xml:space="preserve">UN    </v>
          </cell>
          <cell r="D2524">
            <v>1749.5</v>
          </cell>
        </row>
        <row r="2525">
          <cell r="A2525">
            <v>3405</v>
          </cell>
          <cell r="B2525" t="str">
            <v>ISOLADOR DE PORCELANA SUSPENSO, DISCO TIPO GARFO OLHAL, DIAMETRO DE 152 MM, PARA TENSAO DE *15* KV</v>
          </cell>
          <cell r="C2525" t="str">
            <v xml:space="preserve">UN    </v>
          </cell>
          <cell r="D2525">
            <v>64.09</v>
          </cell>
        </row>
        <row r="2526">
          <cell r="A2526">
            <v>3394</v>
          </cell>
          <cell r="B2526" t="str">
            <v>ISOLADOR DE PORCELANA, TIPO BUCHA, PARA TENSAO DE *15* KV</v>
          </cell>
          <cell r="C2526" t="str">
            <v xml:space="preserve">UN    </v>
          </cell>
          <cell r="D2526">
            <v>338.35</v>
          </cell>
        </row>
        <row r="2527">
          <cell r="A2527">
            <v>3393</v>
          </cell>
          <cell r="B2527" t="str">
            <v>ISOLADOR DE PORCELANA, TIPO BUCHA, PARA TENSAO DE *35* KV</v>
          </cell>
          <cell r="C2527" t="str">
            <v xml:space="preserve">UN    </v>
          </cell>
          <cell r="D2527">
            <v>576.08000000000004</v>
          </cell>
        </row>
        <row r="2528">
          <cell r="A2528">
            <v>3406</v>
          </cell>
          <cell r="B2528" t="str">
            <v>ISOLADOR DE PORCELANA, TIPO PINO MONOCORPO, PARA TENSAO DE *15* KV</v>
          </cell>
          <cell r="C2528" t="str">
            <v xml:space="preserve">UN    </v>
          </cell>
          <cell r="D2528">
            <v>19.62</v>
          </cell>
        </row>
        <row r="2529">
          <cell r="A2529">
            <v>3395</v>
          </cell>
          <cell r="B2529" t="str">
            <v>ISOLADOR DE PORCELANA, TIPO PINO MONOCORPO, PARA TENSAO DE *35* KV</v>
          </cell>
          <cell r="C2529" t="str">
            <v xml:space="preserve">UN    </v>
          </cell>
          <cell r="D2529">
            <v>82.76</v>
          </cell>
        </row>
        <row r="2530">
          <cell r="A2530">
            <v>3398</v>
          </cell>
          <cell r="B2530" t="str">
            <v>ISOLADOR DE PORCELANA, TIPO ROLDANA, DIMENSOES DE *72* X *72* MM, PARA USO EM BAIXA TENSAO</v>
          </cell>
          <cell r="C2530" t="str">
            <v xml:space="preserve">UN    </v>
          </cell>
          <cell r="D2530">
            <v>3.93</v>
          </cell>
        </row>
        <row r="2531">
          <cell r="A2531">
            <v>34379</v>
          </cell>
          <cell r="B2531" t="str">
            <v>JANELA BASCULANTE EM ALUMINIO, 100 X 100 CM (A X L), ACABAMENTO ACET OU BRILHANTE, BATENTE/REQUADRO DE 3 A 14 CM, COM VIDRO, SEM GUARNICAO/ALIZAR</v>
          </cell>
          <cell r="C2531" t="str">
            <v xml:space="preserve">UN    </v>
          </cell>
          <cell r="D2531">
            <v>231.81</v>
          </cell>
        </row>
        <row r="2532">
          <cell r="A2532">
            <v>34378</v>
          </cell>
          <cell r="B2532" t="str">
            <v>JANELA BASCULANTE EM ALUMINIO, 100 X 80 CM (A X L), ACABAMENTO ACET OU BRILHANTE, BATENTE/REQUADRO DE 3 A 14 CM, COM VIDRO, SEM GUARNICAO/ALIZAR</v>
          </cell>
          <cell r="C2532" t="str">
            <v xml:space="preserve">UN    </v>
          </cell>
          <cell r="D2532">
            <v>186.71</v>
          </cell>
        </row>
        <row r="2533">
          <cell r="A2533">
            <v>34377</v>
          </cell>
          <cell r="B2533" t="str">
            <v>JANELA BASCULANTE EM ALUMINIO, 80 X 60 CM (A X L), ACABAMENTO ACET OU BRILHANTE, BATENTE/REQUADRO DE 3 A 14 CM, COM VIDRO, SEM GUARNICAO/ALIZAR</v>
          </cell>
          <cell r="C2533" t="str">
            <v xml:space="preserve">UN    </v>
          </cell>
          <cell r="D2533">
            <v>172.19</v>
          </cell>
        </row>
        <row r="2534">
          <cell r="A2534">
            <v>581</v>
          </cell>
          <cell r="B2534" t="str">
            <v>JANELA BASCULANTE EM ALUMINIO, 80 X 60 CM (A X L), BATENTE/REQUADRO DE 3 A 14 CM, COM VIDRO, SEM GUARNICAO/ALIZAR</v>
          </cell>
          <cell r="C2534" t="str">
            <v xml:space="preserve">M2    </v>
          </cell>
          <cell r="D2534">
            <v>327.04000000000002</v>
          </cell>
        </row>
        <row r="2535">
          <cell r="A2535">
            <v>40662</v>
          </cell>
          <cell r="B2535" t="str">
            <v>JANELA BASCULANTE EM MADEIRA PINUS/ EUCALIPTO/ TAUARI/ VIROLA OU EQUIVALENTE DA REGIAO, *60 X 60*, CAIXA DO BATENTE/ MARCO E = *10* CM, 2 BASCULAS PARA VIDRO, COM FERRAGENS (SEM VIDRO, SEM GUARNICAO/ALIZAR E SEM ACABAMENTO)</v>
          </cell>
          <cell r="C2535" t="str">
            <v xml:space="preserve">UN    </v>
          </cell>
          <cell r="D2535">
            <v>201.19</v>
          </cell>
        </row>
        <row r="2536">
          <cell r="A2536">
            <v>3437</v>
          </cell>
          <cell r="B2536" t="str">
            <v>JANELA BASCULANTE EM MADEIRA PINUS/ EUCALIPTO/ TAUARI/ VIROLA OU EQUIVALENTE DA REGIAO, CAIXA DO BATENTE/ MARCO *10* CM, *2* FOLHAS BASCULANTES PARA VIDRO, COM FERRAGENS (SEM VIDRO, SEM GUARNICAO/ALIZAR E SEM ACABAMENTO)</v>
          </cell>
          <cell r="C2536" t="str">
            <v xml:space="preserve">M2    </v>
          </cell>
          <cell r="D2536">
            <v>558.88</v>
          </cell>
        </row>
        <row r="2537">
          <cell r="A2537">
            <v>11190</v>
          </cell>
          <cell r="B2537" t="str">
            <v>JANELA BASCULANTE, ACO, COM BATENTE/REQUADRO, 60 X 60 CM (SEM VIDROS)</v>
          </cell>
          <cell r="C2537" t="str">
            <v xml:space="preserve">UN    </v>
          </cell>
          <cell r="D2537">
            <v>162.6</v>
          </cell>
        </row>
        <row r="2538">
          <cell r="A2538">
            <v>3428</v>
          </cell>
          <cell r="B2538" t="str">
            <v>JANELA DE ABRIR EM MADEIRA IMBUIA/CEDRO ARANA/CEDRO ROSA OU EQUIVALENTE DA REGIAO, CAIXA DO BATENTE/MARCO *10* CM, 2 FOLHAS DE ABRIR TIPO VENEZIANA E 2 FOLHAS DE ABRIR PARA VIDRO, COM GUARNICAO/ALIZAR, COM FERRAGENS, (SEM VIDRO E SEM ACABAMENTO)</v>
          </cell>
          <cell r="C2538" t="str">
            <v xml:space="preserve">M2    </v>
          </cell>
          <cell r="D2538">
            <v>829</v>
          </cell>
        </row>
        <row r="2539">
          <cell r="A2539">
            <v>3429</v>
          </cell>
          <cell r="B2539" t="str">
            <v>JANELA DE ABRIR EM MADEIRA PINUS/EUCALIPTO/ TAUARI/ VIROLA OU EQUIVALENTE DA REGIAO, CAIXA DO BATENTE/MARCO *10* CM, 2 FOLHAS DE ABRIR TIPO VENEZIANA E 2 FOLHAS GUILHOTINA PARA VIDRO, COM FERRAGENS (SEM VIDRO,SEM GUARNICAO/ALIZAR E SEM ACABAMENTO)</v>
          </cell>
          <cell r="C2539" t="str">
            <v xml:space="preserve">M2    </v>
          </cell>
          <cell r="D2539">
            <v>473.64</v>
          </cell>
        </row>
        <row r="2540">
          <cell r="A2540">
            <v>34371</v>
          </cell>
          <cell r="B2540" t="str">
            <v>JANELA DE CORRER EM ALUMINIO, VENEZIANA, 120  X 150 CM (A X L), 3 FLS (2 VENEZIANAS E 1 VIDRO), SEM BANDEIRA, ACABAMENTO ACET OU BRILHANTE, BATENTE/REQUADRO DE 6 A 14 CM, COM VIDRO, SEM GUARNICAO/ALIZAR</v>
          </cell>
          <cell r="C2540" t="str">
            <v xml:space="preserve">UN    </v>
          </cell>
          <cell r="D2540">
            <v>630.25</v>
          </cell>
        </row>
        <row r="2541">
          <cell r="A2541">
            <v>34370</v>
          </cell>
          <cell r="B2541" t="str">
            <v>JANELA DE CORRER EM ALUMINIO, VENEZIANA, 120 X 120 CM (A X L), 3 FLS (2 VENEZIANAS E 1 VIDRO), SEM BANDEIRA, ACABAMENTO ACET OU BRILHANTE, BATENTE/REQUADRO DE 6 A 14 CM, COM VIDRO, SEM GUARNICAO/ALIZAR</v>
          </cell>
          <cell r="C2541" t="str">
            <v xml:space="preserve">UN    </v>
          </cell>
          <cell r="D2541">
            <v>522.66999999999996</v>
          </cell>
        </row>
        <row r="2542">
          <cell r="A2542">
            <v>34372</v>
          </cell>
          <cell r="B2542" t="str">
            <v>JANELA DE CORRER EM ALUMINIO, VENEZIANA, 120 X 150 CM (A X L), 6 FLS (4 VENEZIANAS E 2 VIDROS), SEM BANDEIRA, ACABAMENTO ACET OU BRILHANTE, BATENTE/REQUADRO DE 6 A 14 CM, COM VIDRO, SEM GUARNICAO/ALIZAR</v>
          </cell>
          <cell r="C2542" t="str">
            <v xml:space="preserve">UN    </v>
          </cell>
          <cell r="D2542">
            <v>727.11</v>
          </cell>
        </row>
        <row r="2543">
          <cell r="A2543">
            <v>34373</v>
          </cell>
          <cell r="B2543" t="str">
            <v>JANELA DE CORRER EM ALUMINIO, VENEZIANA, 120 X 200 CM (A X L), 6 FLS (4 VENEZIANAS E 2 VIDROS), SEM BANDEIRA, ACABAMENTO ACET OU BRILHANTE,  BATENTE/REQUADRO DE 6 A 14 CM, COM VIDRO, SEM GUARNICAO/ALIZAR</v>
          </cell>
          <cell r="C2543" t="str">
            <v xml:space="preserve">UN    </v>
          </cell>
          <cell r="D2543">
            <v>900.05</v>
          </cell>
        </row>
        <row r="2544">
          <cell r="A2544">
            <v>36896</v>
          </cell>
          <cell r="B2544" t="str">
            <v>JANELA DE CORRER EM ALUMINIO, 100 X 120 CM (A X L), 2 FLS,  SEM BANDEIRA,  ACABAMENTO ACET OU BRILHANTE, BATENTE/REQUADRO DE 6 A 14 CM, COM VIDRO, SEM GUARNICAO</v>
          </cell>
          <cell r="C2544" t="str">
            <v xml:space="preserve">UN    </v>
          </cell>
          <cell r="D2544">
            <v>299.89999999999998</v>
          </cell>
        </row>
        <row r="2545">
          <cell r="A2545">
            <v>34367</v>
          </cell>
          <cell r="B2545" t="str">
            <v>JANELA DE CORRER EM ALUMINIO, 100 X 150 CM (A X L), 2 FLS,  SEM BANDEIRA,  ACABAMENTO ACET OU BRILHANTE, BATENTE/REQUADRO DE 6 A 14 CM, COM VIDRO, SEM GUARNICAO/ALIZAR</v>
          </cell>
          <cell r="C2545" t="str">
            <v xml:space="preserve">UN    </v>
          </cell>
          <cell r="D2545">
            <v>352.27</v>
          </cell>
        </row>
        <row r="2546">
          <cell r="A2546">
            <v>36897</v>
          </cell>
          <cell r="B2546" t="str">
            <v>JANELA DE CORRER EM ALUMINIO, 100 X 150 CM (A X L), 4 FLS, SEM BANDEIRA, ACABAMENTO ACET OU BRILHANTE, BATENTE/REQUADRO DE 6 A 14 CM, COM VIDRO, SEM GUARNICAO/ALIZAR</v>
          </cell>
          <cell r="C2546" t="str">
            <v xml:space="preserve">UN    </v>
          </cell>
          <cell r="D2546">
            <v>415.41</v>
          </cell>
        </row>
        <row r="2547">
          <cell r="A2547">
            <v>36884</v>
          </cell>
          <cell r="B2547" t="str">
            <v>JANELA DE CORRER EM ALUMINIO, 100 X 150 CM (A X L), 4 FLS, SEM BANDEIRA, ACABAMENTO ACET OU BRILHANTE, BATENTE/REQUADRO DE 6 A 14 CM, COM VIDRO, SEM GUARNICAO/ALIZAR</v>
          </cell>
          <cell r="C2547" t="str">
            <v xml:space="preserve">M2    </v>
          </cell>
          <cell r="D2547">
            <v>291.76</v>
          </cell>
        </row>
        <row r="2548">
          <cell r="A2548">
            <v>597</v>
          </cell>
          <cell r="B2548" t="str">
            <v>JANELA DE CORRER EM ALUMINIO, 100 X 150 CM (A X L), 4 FLS, SEM BANDEIRA, ACABAMENTO ACET OU BRILHANTE, COM VIDRO, COM GUARNICAO PARA 1 FACE</v>
          </cell>
          <cell r="C2548" t="str">
            <v xml:space="preserve">M2    </v>
          </cell>
          <cell r="D2548">
            <v>306.83</v>
          </cell>
        </row>
        <row r="2549">
          <cell r="A2549">
            <v>34369</v>
          </cell>
          <cell r="B2549" t="str">
            <v>JANELA DE CORRER EM ALUMINIO, 100 X 200 CM, 4 FLS,  BANDEIRA COM BASCULA,  ACABAMENTO ACET OU BRILHANTE, BATENTE/REQUADRO DE 6 A 14 CM, COM VIDRO, SEM GUARNICAO/ALIZAR</v>
          </cell>
          <cell r="C2549" t="str">
            <v xml:space="preserve">UN    </v>
          </cell>
          <cell r="D2549">
            <v>492.18</v>
          </cell>
        </row>
        <row r="2550">
          <cell r="A2550">
            <v>34362</v>
          </cell>
          <cell r="B2550" t="str">
            <v>JANELA DE CORRER EM ALUMINIO, 120 X 120 CM (A X L), 2 FLS, SEM BANDEIRA, ACABAMENTO ACET OU BRILHANTE,  BATENTE/REQUADRO DE 6 A 14 CM, COM VIDRO, SEM GUARNICAO/ALIZAR</v>
          </cell>
          <cell r="C2550" t="str">
            <v xml:space="preserve">UN    </v>
          </cell>
          <cell r="D2550">
            <v>341.51</v>
          </cell>
        </row>
        <row r="2551">
          <cell r="A2551">
            <v>34363</v>
          </cell>
          <cell r="B2551" t="str">
            <v>JANELA DE CORRER EM ALUMINIO, 120 X 150 CM (A X L), 2 FLS, SEM BANDEIRA, ACABAMENTO ACET OU BRILHANTE, BATENTE/REQUADRO DE 6 A 14 CM, COM VIDRO, SEM GUARNICAO/ALIZAR</v>
          </cell>
          <cell r="C2551" t="str">
            <v xml:space="preserve">UN    </v>
          </cell>
          <cell r="D2551">
            <v>385.99</v>
          </cell>
        </row>
        <row r="2552">
          <cell r="A2552">
            <v>34364</v>
          </cell>
          <cell r="B2552" t="str">
            <v>JANELA DE CORRER EM ALUMINIO, 120 X 150 CM (A X L), 4 FLS, BANDEIRA COM BASCULA,  ACABAMENTO ACET OU BRILHANTE, BATENTE/REQUADRO DE 6 A 14 CM, COM VIDRO, SEM GUARNICAO/ALIZAR</v>
          </cell>
          <cell r="C2552" t="str">
            <v xml:space="preserve">UN    </v>
          </cell>
          <cell r="D2552">
            <v>481.41</v>
          </cell>
        </row>
        <row r="2553">
          <cell r="A2553">
            <v>34365</v>
          </cell>
          <cell r="B2553" t="str">
            <v>JANELA DE CORRER EM ALUMINIO, 120 X 200 CM (A X L), 4 FLS, BANDEIRA COM BASCULA,  ACABAMENTO ACET OU BRILHANTE, BATENTE/REQUADRO DE 6 A 14 CM, COM VIDRO, SEM GUARNICAO/ALIZAR</v>
          </cell>
          <cell r="C2553" t="str">
            <v xml:space="preserve">UN    </v>
          </cell>
          <cell r="D2553">
            <v>542.4</v>
          </cell>
        </row>
        <row r="2554">
          <cell r="A2554">
            <v>40659</v>
          </cell>
          <cell r="B2554"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54" t="str">
            <v xml:space="preserve">M2    </v>
          </cell>
          <cell r="D2554">
            <v>790.73</v>
          </cell>
        </row>
        <row r="2555">
          <cell r="A2555">
            <v>40660</v>
          </cell>
          <cell r="B2555"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55" t="str">
            <v xml:space="preserve">M2    </v>
          </cell>
          <cell r="D2555">
            <v>1002.16</v>
          </cell>
        </row>
        <row r="2556">
          <cell r="A2556">
            <v>40661</v>
          </cell>
          <cell r="B2556"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56" t="str">
            <v xml:space="preserve">M2    </v>
          </cell>
          <cell r="D2556">
            <v>616.15</v>
          </cell>
        </row>
        <row r="2557">
          <cell r="A2557">
            <v>3421</v>
          </cell>
          <cell r="B2557" t="str">
            <v>JANELA EM MADEIRA CEDRINHO/ ANGELIM COMERCIAL/ CURUPIXA/ CUMARU OU EQUIVALENTE DA REGIAO, CAIXA DO BATENTE/MARCO *10* CM, 2 FOLHAS DE ABRIR TIPO VENEZIANA E 2 FOLHAS GUILHOTINA PARA VIDRO, COM GUARNICAO/ALIZAR, COM FERRAGENS (SEM VIDRO E SEM ACABAMENTO)</v>
          </cell>
          <cell r="C2557" t="str">
            <v xml:space="preserve">M2    </v>
          </cell>
          <cell r="D2557">
            <v>620.87</v>
          </cell>
        </row>
        <row r="2558">
          <cell r="A2558">
            <v>599</v>
          </cell>
          <cell r="B2558" t="str">
            <v>JANELA FIXA EM ALUMINIO, 60  X 80 CM (A X L), BATENTE/REQUADRO DE 3 A 14 CM, COM VIDRO, SEM GUARNICAO/ALIZAR</v>
          </cell>
          <cell r="C2558" t="str">
            <v xml:space="preserve">M2    </v>
          </cell>
          <cell r="D2558">
            <v>260.08</v>
          </cell>
        </row>
        <row r="2559">
          <cell r="A2559">
            <v>34380</v>
          </cell>
          <cell r="B2559" t="str">
            <v>JANELA FIXA EM ALUMINIO, 60 X 80 CM (A X L), BATENTE/REQUADRO DE 3 A 14 CM, COM VIDRO, SEM GUARNICAO/ALIZAR</v>
          </cell>
          <cell r="C2559" t="str">
            <v xml:space="preserve">UN    </v>
          </cell>
          <cell r="D2559">
            <v>134.88</v>
          </cell>
        </row>
        <row r="2560">
          <cell r="A2560">
            <v>34381</v>
          </cell>
          <cell r="B2560" t="str">
            <v>JANELA MAXIM AR EM ALUMINIO, 80 X 60 CM (A X L), BATENTE/REQUADRO DE 4 A 14 CM, COM VIDRO, SEM GUARNICAO/ALIZAR</v>
          </cell>
          <cell r="C2560" t="str">
            <v xml:space="preserve">UN    </v>
          </cell>
          <cell r="D2560">
            <v>175.77</v>
          </cell>
        </row>
        <row r="2561">
          <cell r="A2561">
            <v>601</v>
          </cell>
          <cell r="B2561" t="str">
            <v>JANELA MAXIM AR EM ALUMINIO, 80 X 60 CM (A X L), BATENTE/REQUADRO DE 4 A 14 CM, COM VIDRO, SEM GUARNICAO/ALIZAR</v>
          </cell>
          <cell r="C2561" t="str">
            <v xml:space="preserve">M2    </v>
          </cell>
          <cell r="D2561">
            <v>350.84</v>
          </cell>
        </row>
        <row r="2562">
          <cell r="A2562">
            <v>3423</v>
          </cell>
          <cell r="B2562" t="str">
            <v>JANELA MAXIM AR EM MADEIRA CEDRINHO/ ANGELIM COMERCIAL/ CURUPIXA/ CUMARU OU EQUIVALENTE DA REGIAO, CAIXA DO BATENTE/MARCO *10* CM, 1 FOLHA  PARA VIDRO, COM GUARNICAO/ALIZAR, COM FERRAGENS, (SEM VIDRO E SEM ACABAMENTO)</v>
          </cell>
          <cell r="C2562" t="str">
            <v xml:space="preserve">M2    </v>
          </cell>
          <cell r="D2562">
            <v>875.57</v>
          </cell>
        </row>
        <row r="2563">
          <cell r="A2563">
            <v>34797</v>
          </cell>
          <cell r="B2563" t="str">
            <v>JANELA MAXIMO AR, ACO, BATENTE / REQUADRO DE 6 A 14 CM, PINT ANTICORROSIVA, SEM VIDRO, COM GRADE, 1 FL, 60  X 80 CM (A X L)</v>
          </cell>
          <cell r="C2563" t="str">
            <v xml:space="preserve">UN    </v>
          </cell>
          <cell r="D2563">
            <v>354.17</v>
          </cell>
        </row>
        <row r="2564">
          <cell r="A2564">
            <v>25964</v>
          </cell>
          <cell r="B2564" t="str">
            <v>JARDINEIRO</v>
          </cell>
          <cell r="C2564" t="str">
            <v xml:space="preserve">H     </v>
          </cell>
          <cell r="D2564">
            <v>14.32</v>
          </cell>
        </row>
        <row r="2565">
          <cell r="A2565">
            <v>41077</v>
          </cell>
          <cell r="B2565" t="str">
            <v>JARDINEIRO (MENSALISTA)</v>
          </cell>
          <cell r="C2565" t="str">
            <v xml:space="preserve">MES   </v>
          </cell>
          <cell r="D2565">
            <v>2542.1999999999998</v>
          </cell>
        </row>
        <row r="2566">
          <cell r="A2566">
            <v>20159</v>
          </cell>
          <cell r="B2566" t="str">
            <v>JOELHO COM VISITA, PVC SERIE R, 90 GRAUS, 100 X 75 MM, PARA ESGOTO PREDIAL</v>
          </cell>
          <cell r="C2566" t="str">
            <v xml:space="preserve">UN    </v>
          </cell>
          <cell r="D2566">
            <v>39.18</v>
          </cell>
        </row>
        <row r="2567">
          <cell r="A2567">
            <v>37963</v>
          </cell>
          <cell r="B2567" t="str">
            <v>JOELHO CPVC, SOLDAVEL, 45 GRAUS, 15 MM, PARA AGUA QUENTE</v>
          </cell>
          <cell r="C2567" t="str">
            <v xml:space="preserve">UN    </v>
          </cell>
          <cell r="D2567">
            <v>4.2300000000000004</v>
          </cell>
        </row>
        <row r="2568">
          <cell r="A2568">
            <v>37964</v>
          </cell>
          <cell r="B2568" t="str">
            <v>JOELHO CPVC, SOLDAVEL, 45 GRAUS, 22 MM, PARA AGUA QUENTE</v>
          </cell>
          <cell r="C2568" t="str">
            <v xml:space="preserve">UN    </v>
          </cell>
          <cell r="D2568">
            <v>7.06</v>
          </cell>
        </row>
        <row r="2569">
          <cell r="A2569">
            <v>37965</v>
          </cell>
          <cell r="B2569" t="str">
            <v>JOELHO CPVC, SOLDAVEL, 45 GRAUS, 28 MM, PARA AGUA QUENTE</v>
          </cell>
          <cell r="C2569" t="str">
            <v xml:space="preserve">UN    </v>
          </cell>
          <cell r="D2569">
            <v>10.23</v>
          </cell>
        </row>
        <row r="2570">
          <cell r="A2570">
            <v>37966</v>
          </cell>
          <cell r="B2570" t="str">
            <v>JOELHO CPVC, SOLDAVEL, 45 GRAUS, 35 MM, PARA AGUA QUENTE</v>
          </cell>
          <cell r="C2570" t="str">
            <v xml:space="preserve">UN    </v>
          </cell>
          <cell r="D2570">
            <v>18.53</v>
          </cell>
        </row>
        <row r="2571">
          <cell r="A2571">
            <v>37967</v>
          </cell>
          <cell r="B2571" t="str">
            <v>JOELHO CPVC, SOLDAVEL, 45 GRAUS, 42 MM, PARA AGUA QUENTE</v>
          </cell>
          <cell r="C2571" t="str">
            <v xml:space="preserve">UN    </v>
          </cell>
          <cell r="D2571">
            <v>29.72</v>
          </cell>
        </row>
        <row r="2572">
          <cell r="A2572">
            <v>37968</v>
          </cell>
          <cell r="B2572" t="str">
            <v>JOELHO CPVC, SOLDAVEL, 45 GRAUS, 54 MM, PARA AGUA QUENTE</v>
          </cell>
          <cell r="C2572" t="str">
            <v xml:space="preserve">UN    </v>
          </cell>
          <cell r="D2572">
            <v>65.180000000000007</v>
          </cell>
        </row>
        <row r="2573">
          <cell r="A2573">
            <v>37969</v>
          </cell>
          <cell r="B2573" t="str">
            <v>JOELHO CPVC, SOLDAVEL, 45 GRAUS, 73 MM, PARA AGUA QUENTE</v>
          </cell>
          <cell r="C2573" t="str">
            <v xml:space="preserve">UN    </v>
          </cell>
          <cell r="D2573">
            <v>174.12</v>
          </cell>
        </row>
        <row r="2574">
          <cell r="A2574">
            <v>37970</v>
          </cell>
          <cell r="B2574" t="str">
            <v>JOELHO CPVC, SOLDAVEL, 45 GRAUS, 89 MM, PARA AGUA QUENTE</v>
          </cell>
          <cell r="C2574" t="str">
            <v xml:space="preserve">UN    </v>
          </cell>
          <cell r="D2574">
            <v>203.12</v>
          </cell>
        </row>
        <row r="2575">
          <cell r="A2575">
            <v>21118</v>
          </cell>
          <cell r="B2575" t="str">
            <v>JOELHO CPVC, SOLDAVEL, 90 GRAUS, 15 MM, PARA AGUA QUENTE</v>
          </cell>
          <cell r="C2575" t="str">
            <v xml:space="preserve">UN    </v>
          </cell>
          <cell r="D2575">
            <v>3.2</v>
          </cell>
        </row>
        <row r="2576">
          <cell r="A2576">
            <v>37956</v>
          </cell>
          <cell r="B2576" t="str">
            <v>JOELHO CPVC, SOLDAVEL, 90 GRAUS, 22 MM, PARA AGUA QUENTE</v>
          </cell>
          <cell r="C2576" t="str">
            <v xml:space="preserve">UN    </v>
          </cell>
          <cell r="D2576">
            <v>5.07</v>
          </cell>
        </row>
        <row r="2577">
          <cell r="A2577">
            <v>37957</v>
          </cell>
          <cell r="B2577" t="str">
            <v>JOELHO CPVC, SOLDAVEL, 90 GRAUS, 28 MM, PARA AGUA QUENTE</v>
          </cell>
          <cell r="C2577" t="str">
            <v xml:space="preserve">UN    </v>
          </cell>
          <cell r="D2577">
            <v>10.69</v>
          </cell>
        </row>
        <row r="2578">
          <cell r="A2578">
            <v>37958</v>
          </cell>
          <cell r="B2578" t="str">
            <v>JOELHO CPVC, SOLDAVEL, 90 GRAUS, 35 MM, PARA AGUA QUENTE</v>
          </cell>
          <cell r="C2578" t="str">
            <v xml:space="preserve">UN    </v>
          </cell>
          <cell r="D2578">
            <v>18.53</v>
          </cell>
        </row>
        <row r="2579">
          <cell r="A2579">
            <v>37959</v>
          </cell>
          <cell r="B2579" t="str">
            <v>JOELHO CPVC, SOLDAVEL, 90 GRAUS, 42 MM, PARA AGUA QUENTE</v>
          </cell>
          <cell r="C2579" t="str">
            <v xml:space="preserve">UN    </v>
          </cell>
          <cell r="D2579">
            <v>29.72</v>
          </cell>
        </row>
        <row r="2580">
          <cell r="A2580">
            <v>37960</v>
          </cell>
          <cell r="B2580" t="str">
            <v>JOELHO CPVC, SOLDAVEL, 90 GRAUS, 54 MM, PARA AGUA QUENTE</v>
          </cell>
          <cell r="C2580" t="str">
            <v xml:space="preserve">UN    </v>
          </cell>
          <cell r="D2580">
            <v>64</v>
          </cell>
        </row>
        <row r="2581">
          <cell r="A2581">
            <v>37961</v>
          </cell>
          <cell r="B2581" t="str">
            <v>JOELHO CPVC, SOLDAVEL, 90 GRAUS, 73 MM, PARA AGUA QUENTE</v>
          </cell>
          <cell r="C2581" t="str">
            <v xml:space="preserve">UN    </v>
          </cell>
          <cell r="D2581">
            <v>169.8</v>
          </cell>
        </row>
        <row r="2582">
          <cell r="A2582">
            <v>37962</v>
          </cell>
          <cell r="B2582" t="str">
            <v>JOELHO CPVC, SOLDAVEL, 90 GRAUS, 89 MM, PARA AGUA QUENTE</v>
          </cell>
          <cell r="C2582" t="str">
            <v xml:space="preserve">UN    </v>
          </cell>
          <cell r="D2582">
            <v>197.3</v>
          </cell>
        </row>
        <row r="2583">
          <cell r="A2583">
            <v>3533</v>
          </cell>
          <cell r="B2583" t="str">
            <v>JOELHO DE REDUCAO, PVC SOLDAVEL, 90 GRAUS,  25 MM X 20 MM, PARA AGUA FRIA PREDIAL</v>
          </cell>
          <cell r="C2583" t="str">
            <v xml:space="preserve">UN    </v>
          </cell>
          <cell r="D2583">
            <v>1.73</v>
          </cell>
        </row>
        <row r="2584">
          <cell r="A2584">
            <v>3538</v>
          </cell>
          <cell r="B2584" t="str">
            <v>JOELHO DE REDUCAO, PVC SOLDAVEL, 90 GRAUS,  32 MM X 25 MM, PARA AGUA FRIA PREDIAL</v>
          </cell>
          <cell r="C2584" t="str">
            <v xml:space="preserve">UN    </v>
          </cell>
          <cell r="D2584">
            <v>2.98</v>
          </cell>
        </row>
        <row r="2585">
          <cell r="A2585">
            <v>3497</v>
          </cell>
          <cell r="B2585" t="str">
            <v>JOELHO DE REDUCAO, PVC, ROSCAVEL COM BUCHA DE LATAO, 90 GRAUS,  3/4" X 1/2", PARA AGUA FRIA PREDIAL</v>
          </cell>
          <cell r="C2585" t="str">
            <v xml:space="preserve">UN    </v>
          </cell>
          <cell r="D2585">
            <v>11.15</v>
          </cell>
        </row>
        <row r="2586">
          <cell r="A2586">
            <v>3498</v>
          </cell>
          <cell r="B2586" t="str">
            <v>JOELHO DE REDUCAO, PVC, ROSCAVEL, 90 GRAUS, 1" X 3/4", PARA AGUA FRIA PREDIAL</v>
          </cell>
          <cell r="C2586" t="str">
            <v xml:space="preserve">UN    </v>
          </cell>
          <cell r="D2586">
            <v>3.54</v>
          </cell>
        </row>
        <row r="2587">
          <cell r="A2587">
            <v>3496</v>
          </cell>
          <cell r="B2587" t="str">
            <v>JOELHO DE REDUCAO, PVC, ROSCAVEL, 90 GRAUS, 3/4" X 1/2", PARA AGUA FRIA PREDIAL</v>
          </cell>
          <cell r="C2587" t="str">
            <v xml:space="preserve">UN    </v>
          </cell>
          <cell r="D2587">
            <v>2.86</v>
          </cell>
        </row>
        <row r="2588">
          <cell r="A2588">
            <v>38429</v>
          </cell>
          <cell r="B2588" t="str">
            <v>JOELHO DE TRANSICAO, CPVC, SOLDAVEL, 90 GRAUS, 15 MM X 1/2", PARA AGUA QUENTE</v>
          </cell>
          <cell r="C2588" t="str">
            <v xml:space="preserve">UN    </v>
          </cell>
          <cell r="D2588">
            <v>10.81</v>
          </cell>
        </row>
        <row r="2589">
          <cell r="A2589">
            <v>38431</v>
          </cell>
          <cell r="B2589" t="str">
            <v>JOELHO DE TRANSICAO, CPVC, SOLDAVEL, 90 GRAUS, 22 MM X 1/2", PARA AGUA QUENTE</v>
          </cell>
          <cell r="C2589" t="str">
            <v xml:space="preserve">UN    </v>
          </cell>
          <cell r="D2589">
            <v>17.12</v>
          </cell>
        </row>
        <row r="2590">
          <cell r="A2590">
            <v>38430</v>
          </cell>
          <cell r="B2590" t="str">
            <v>JOELHO DE TRANSICAO, CPVC, SOLDAVEL, 90 GRAUS, 22 MM X 3/4", PARA AGUA QUENTE</v>
          </cell>
          <cell r="C2590" t="str">
            <v xml:space="preserve">UN    </v>
          </cell>
          <cell r="D2590">
            <v>21.88</v>
          </cell>
        </row>
        <row r="2591">
          <cell r="A2591">
            <v>36348</v>
          </cell>
          <cell r="B2591" t="str">
            <v>JOELHO PPR 45 GRAUS, SOLDAVEL,  DN 20 MM, PARA AGUA QUENTE PREDIAL</v>
          </cell>
          <cell r="C2591" t="str">
            <v xml:space="preserve">UN    </v>
          </cell>
          <cell r="D2591">
            <v>1.1399999999999999</v>
          </cell>
        </row>
        <row r="2592">
          <cell r="A2592">
            <v>36349</v>
          </cell>
          <cell r="B2592" t="str">
            <v>JOELHO PPR 45 GRAUS, SOLDAVEL, DN 25 MM, PARA AGUA QUENTE PREDIAL</v>
          </cell>
          <cell r="C2592" t="str">
            <v xml:space="preserve">UN    </v>
          </cell>
          <cell r="D2592">
            <v>1.71</v>
          </cell>
        </row>
        <row r="2593">
          <cell r="A2593">
            <v>38433</v>
          </cell>
          <cell r="B2593" t="str">
            <v>JOELHO PPR, 45 GRAUS, SOLDAVEL, DN 32 MM, PARA AGUA QUENTE PREDIAL</v>
          </cell>
          <cell r="C2593" t="str">
            <v xml:space="preserve">UN    </v>
          </cell>
          <cell r="D2593">
            <v>3.16</v>
          </cell>
        </row>
        <row r="2594">
          <cell r="A2594">
            <v>38440</v>
          </cell>
          <cell r="B2594" t="str">
            <v>JOELHO PPR, 90 GRAUS, SOLDAVEL, DN 110 MM, PARA AGUA QUENTE PREDIAL</v>
          </cell>
          <cell r="C2594" t="str">
            <v xml:space="preserve">UN    </v>
          </cell>
          <cell r="D2594">
            <v>109.17</v>
          </cell>
        </row>
        <row r="2595">
          <cell r="A2595">
            <v>36359</v>
          </cell>
          <cell r="B2595" t="str">
            <v>JOELHO PPR, 90 GRAUS, SOLDAVEL, DN 20 MM, PARA AGUA QUENTE PREDIAL</v>
          </cell>
          <cell r="C2595" t="str">
            <v xml:space="preserve">UN    </v>
          </cell>
          <cell r="D2595">
            <v>1.35</v>
          </cell>
        </row>
        <row r="2596">
          <cell r="A2596">
            <v>36360</v>
          </cell>
          <cell r="B2596" t="str">
            <v>JOELHO PPR, 90 GRAUS, SOLDAVEL, DN 25 MM, PARA AGUA QUENTE PREDIAL</v>
          </cell>
          <cell r="C2596" t="str">
            <v xml:space="preserve">UN    </v>
          </cell>
          <cell r="D2596">
            <v>2.09</v>
          </cell>
        </row>
        <row r="2597">
          <cell r="A2597">
            <v>38434</v>
          </cell>
          <cell r="B2597" t="str">
            <v>JOELHO PPR, 90 GRAUS, SOLDAVEL, DN 32 MM, PARA AGUA QUENTE PREDIAL</v>
          </cell>
          <cell r="C2597" t="str">
            <v xml:space="preserve">UN    </v>
          </cell>
          <cell r="D2597">
            <v>3.2</v>
          </cell>
        </row>
        <row r="2598">
          <cell r="A2598">
            <v>38435</v>
          </cell>
          <cell r="B2598" t="str">
            <v>JOELHO PPR, 90 GRAUS, SOLDAVEL, DN 40 MM, PARA AGUA QUENTE PREDIAL</v>
          </cell>
          <cell r="C2598" t="str">
            <v xml:space="preserve">UN    </v>
          </cell>
          <cell r="D2598">
            <v>6.09</v>
          </cell>
        </row>
        <row r="2599">
          <cell r="A2599">
            <v>38436</v>
          </cell>
          <cell r="B2599" t="str">
            <v>JOELHO PPR, 90 GRAUS, SOLDAVEL, DN 50 MM, PARA AGUA QUENTE PREDIAL</v>
          </cell>
          <cell r="C2599" t="str">
            <v xml:space="preserve">UN    </v>
          </cell>
          <cell r="D2599">
            <v>12.58</v>
          </cell>
        </row>
        <row r="2600">
          <cell r="A2600">
            <v>38437</v>
          </cell>
          <cell r="B2600" t="str">
            <v>JOELHO PPR, 90 GRAUS, SOLDAVEL, DN 63 MM, PARA AGUA QUENTE PREDIAL</v>
          </cell>
          <cell r="C2600" t="str">
            <v xml:space="preserve">UN    </v>
          </cell>
          <cell r="D2600">
            <v>18.899999999999999</v>
          </cell>
        </row>
        <row r="2601">
          <cell r="A2601">
            <v>38438</v>
          </cell>
          <cell r="B2601" t="str">
            <v>JOELHO PPR, 90 GRAUS, SOLDAVEL, DN 75 MM, PARA AGUA QUENTE PREDIAL</v>
          </cell>
          <cell r="C2601" t="str">
            <v xml:space="preserve">UN    </v>
          </cell>
          <cell r="D2601">
            <v>47.76</v>
          </cell>
        </row>
        <row r="2602">
          <cell r="A2602">
            <v>38439</v>
          </cell>
          <cell r="B2602" t="str">
            <v>JOELHO PPR, 90 GRAUS, SOLDAVEL, DN 90 MM, PARA AGUA QUENTE PREDIAL</v>
          </cell>
          <cell r="C2602" t="str">
            <v xml:space="preserve">UN    </v>
          </cell>
          <cell r="D2602">
            <v>72.790000000000006</v>
          </cell>
        </row>
        <row r="2603">
          <cell r="A2603">
            <v>10836</v>
          </cell>
          <cell r="B2603" t="str">
            <v>JOELHO PVC COM VISITA, 90 GRAUS, DN 100 X 50 MM, SERIE NORMAL, PARA ESGOTO PREDIAL</v>
          </cell>
          <cell r="C2603" t="str">
            <v xml:space="preserve">UN    </v>
          </cell>
          <cell r="D2603">
            <v>13.73</v>
          </cell>
        </row>
        <row r="2604">
          <cell r="A2604">
            <v>20128</v>
          </cell>
          <cell r="B2604" t="str">
            <v>JOELHO PVC LEVE, 45 GRAUS, DN 150 MM, PARA ESGOTO PREDIAL</v>
          </cell>
          <cell r="C2604" t="str">
            <v xml:space="preserve">UN    </v>
          </cell>
          <cell r="D2604">
            <v>40.25</v>
          </cell>
        </row>
        <row r="2605">
          <cell r="A2605">
            <v>20131</v>
          </cell>
          <cell r="B2605" t="str">
            <v>JOELHO PVC LEVE, 90 GRAUS, DN 150 MM, PARA ESGOTO PREDIAL</v>
          </cell>
          <cell r="C2605" t="str">
            <v xml:space="preserve">UN    </v>
          </cell>
          <cell r="D2605">
            <v>36.74</v>
          </cell>
        </row>
        <row r="2606">
          <cell r="A2606">
            <v>3521</v>
          </cell>
          <cell r="B2606" t="str">
            <v>JOELHO PVC,  SOLDAVEL COM ROSCA, 90 GRAUS, 20 MM X 1/2", PARA AGUA FRIA PREDIAL</v>
          </cell>
          <cell r="C2606" t="str">
            <v xml:space="preserve">UN    </v>
          </cell>
          <cell r="D2606">
            <v>1.5</v>
          </cell>
        </row>
        <row r="2607">
          <cell r="A2607">
            <v>3531</v>
          </cell>
          <cell r="B2607" t="str">
            <v>JOELHO PVC,  SOLDAVEL COM ROSCA, 90 GRAUS, 25 MM X 1/2", PARA AGUA FRIA PREDIAL</v>
          </cell>
          <cell r="C2607" t="str">
            <v xml:space="preserve">UN    </v>
          </cell>
          <cell r="D2607">
            <v>1.7</v>
          </cell>
        </row>
        <row r="2608">
          <cell r="A2608">
            <v>3522</v>
          </cell>
          <cell r="B2608" t="str">
            <v>JOELHO PVC,  SOLDAVEL COM ROSCA, 90 GRAUS, 25 MM X 3/4", PARA AGUA FRIA PREDIAL</v>
          </cell>
          <cell r="C2608" t="str">
            <v xml:space="preserve">UN    </v>
          </cell>
          <cell r="D2608">
            <v>2.5299999999999998</v>
          </cell>
        </row>
        <row r="2609">
          <cell r="A2609">
            <v>3527</v>
          </cell>
          <cell r="B2609" t="str">
            <v>JOELHO PVC,  SOLDAVEL COM ROSCA, 90 GRAUS, 32 MM X 3/4", PARA AGUA FRIA PREDIAL</v>
          </cell>
          <cell r="C2609" t="str">
            <v xml:space="preserve">UN    </v>
          </cell>
          <cell r="D2609">
            <v>8.6999999999999993</v>
          </cell>
        </row>
        <row r="2610">
          <cell r="A2610">
            <v>10835</v>
          </cell>
          <cell r="B2610" t="str">
            <v>JOELHO PVC, COM BOLSA E ANEL, 90 GRAUS, DN 40 X *38* MM, SERIE NORMAL, PARA ESGOTO PREDIAL</v>
          </cell>
          <cell r="C2610" t="str">
            <v xml:space="preserve">UN    </v>
          </cell>
          <cell r="D2610">
            <v>2.87</v>
          </cell>
        </row>
        <row r="2611">
          <cell r="A2611">
            <v>3475</v>
          </cell>
          <cell r="B2611" t="str">
            <v>JOELHO PVC, ROSCAVEL, 45 GRAUS, 1/2", PARA AGUA FRIA PREDIAL</v>
          </cell>
          <cell r="C2611" t="str">
            <v xml:space="preserve">UN    </v>
          </cell>
          <cell r="D2611">
            <v>2.92</v>
          </cell>
        </row>
        <row r="2612">
          <cell r="A2612">
            <v>3485</v>
          </cell>
          <cell r="B2612" t="str">
            <v>JOELHO PVC, ROSCAVEL, 45 GRAUS, 1", PARA AGUA FRIA PREDIAL</v>
          </cell>
          <cell r="C2612" t="str">
            <v xml:space="preserve">UN    </v>
          </cell>
          <cell r="D2612">
            <v>9.34</v>
          </cell>
        </row>
        <row r="2613">
          <cell r="A2613">
            <v>3534</v>
          </cell>
          <cell r="B2613" t="str">
            <v>JOELHO PVC, ROSCAVEL, 45 GRAUS, 3/4", PARA AGUA FRIA PREDIAL</v>
          </cell>
          <cell r="C2613" t="str">
            <v xml:space="preserve">UN    </v>
          </cell>
          <cell r="D2613">
            <v>3.69</v>
          </cell>
        </row>
        <row r="2614">
          <cell r="A2614">
            <v>3543</v>
          </cell>
          <cell r="B2614" t="str">
            <v>JOELHO PVC, ROSCAVEL, 90 GRAUS, 1/2", PARA AGUA FRIA PREDIAL</v>
          </cell>
          <cell r="C2614" t="str">
            <v xml:space="preserve">UN    </v>
          </cell>
          <cell r="D2614">
            <v>1.85</v>
          </cell>
        </row>
        <row r="2615">
          <cell r="A2615">
            <v>3482</v>
          </cell>
          <cell r="B2615" t="str">
            <v>JOELHO PVC, ROSCAVEL, 90 GRAUS, 1", PARA AGUA FRIA PREDIAL</v>
          </cell>
          <cell r="C2615" t="str">
            <v xml:space="preserve">UN    </v>
          </cell>
          <cell r="D2615">
            <v>4.6900000000000004</v>
          </cell>
        </row>
        <row r="2616">
          <cell r="A2616">
            <v>3505</v>
          </cell>
          <cell r="B2616" t="str">
            <v>JOELHO PVC, ROSCAVEL, 90 GRAUS, 3/4", PARA AGUA FRIA PREDIAL</v>
          </cell>
          <cell r="C2616" t="str">
            <v xml:space="preserve">UN    </v>
          </cell>
          <cell r="D2616">
            <v>2.66</v>
          </cell>
        </row>
        <row r="2617">
          <cell r="A2617">
            <v>3516</v>
          </cell>
          <cell r="B2617" t="str">
            <v>JOELHO PVC, SOLDAVEL, BB, 45 GRAUS, DN 40 MM, PARA ESGOTO PREDIAL</v>
          </cell>
          <cell r="C2617" t="str">
            <v xml:space="preserve">UN    </v>
          </cell>
          <cell r="D2617">
            <v>0.75</v>
          </cell>
        </row>
        <row r="2618">
          <cell r="A2618">
            <v>3517</v>
          </cell>
          <cell r="B2618" t="str">
            <v>JOELHO PVC, SOLDAVEL, BB, 90 GRAUS, DN 40 MM, PARA ESGOTO PREDIAL</v>
          </cell>
          <cell r="C2618" t="str">
            <v xml:space="preserve">UN    </v>
          </cell>
          <cell r="D2618">
            <v>2.62</v>
          </cell>
        </row>
        <row r="2619">
          <cell r="A2619">
            <v>3515</v>
          </cell>
          <cell r="B2619" t="str">
            <v>JOELHO PVC, SOLDAVEL, COM BUCHA DE LATAO, 90 GRAUS, 20 MM X 1/2", PARA AGUA FRIA PREDIAL</v>
          </cell>
          <cell r="C2619" t="str">
            <v xml:space="preserve">UN    </v>
          </cell>
          <cell r="D2619">
            <v>4.3099999999999996</v>
          </cell>
        </row>
        <row r="2620">
          <cell r="A2620">
            <v>20147</v>
          </cell>
          <cell r="B2620" t="str">
            <v>JOELHO PVC, SOLDAVEL, COM BUCHA DE LATAO, 90 GRAUS, 25 MM X 1/2", PARA AGUA FRIA PREDIAL</v>
          </cell>
          <cell r="C2620" t="str">
            <v xml:space="preserve">UN    </v>
          </cell>
          <cell r="D2620">
            <v>4.6399999999999997</v>
          </cell>
        </row>
        <row r="2621">
          <cell r="A2621">
            <v>3524</v>
          </cell>
          <cell r="B2621" t="str">
            <v>JOELHO PVC, SOLDAVEL, COM BUCHA DE LATAO, 90 GRAUS, 25 MM X 3/4", PARA AGUA FRIA PREDIAL</v>
          </cell>
          <cell r="C2621" t="str">
            <v xml:space="preserve">UN    </v>
          </cell>
          <cell r="D2621">
            <v>5.5</v>
          </cell>
        </row>
        <row r="2622">
          <cell r="A2622">
            <v>3532</v>
          </cell>
          <cell r="B2622" t="str">
            <v>JOELHO PVC, SOLDAVEL, COM BUCHA DE LATAO, 90 GRAUS, 32 MM X 3/4", PARA AGUA FRIA PREDIAL</v>
          </cell>
          <cell r="C2622" t="str">
            <v xml:space="preserve">UN    </v>
          </cell>
          <cell r="D2622">
            <v>10.07</v>
          </cell>
        </row>
        <row r="2623">
          <cell r="A2623">
            <v>3528</v>
          </cell>
          <cell r="B2623" t="str">
            <v>JOELHO PVC, SOLDAVEL, PB, 45 GRAUS, DN 100 MM, PARA ESGOTO PREDIAL</v>
          </cell>
          <cell r="C2623" t="str">
            <v xml:space="preserve">UN    </v>
          </cell>
          <cell r="D2623">
            <v>5.92</v>
          </cell>
        </row>
        <row r="2624">
          <cell r="A2624">
            <v>37952</v>
          </cell>
          <cell r="B2624" t="str">
            <v>JOELHO PVC, SOLDAVEL, PB, 45 GRAUS, DN 150 MM, PARA ESGOTO PREDIAL</v>
          </cell>
          <cell r="C2624" t="str">
            <v xml:space="preserve">UN    </v>
          </cell>
          <cell r="D2624">
            <v>42.2</v>
          </cell>
        </row>
        <row r="2625">
          <cell r="A2625">
            <v>37951</v>
          </cell>
          <cell r="B2625" t="str">
            <v>JOELHO PVC, SOLDAVEL, PB, 45 GRAUS, DN 40 MM, PARA ESGOTO PREDIAL</v>
          </cell>
          <cell r="C2625" t="str">
            <v xml:space="preserve">UN    </v>
          </cell>
          <cell r="D2625">
            <v>1.53</v>
          </cell>
        </row>
        <row r="2626">
          <cell r="A2626">
            <v>3518</v>
          </cell>
          <cell r="B2626" t="str">
            <v>JOELHO PVC, SOLDAVEL, PB, 45 GRAUS, DN 50 MM, PARA ESGOTO PREDIAL</v>
          </cell>
          <cell r="C2626" t="str">
            <v xml:space="preserve">UN    </v>
          </cell>
          <cell r="D2626">
            <v>2.25</v>
          </cell>
        </row>
        <row r="2627">
          <cell r="A2627">
            <v>3519</v>
          </cell>
          <cell r="B2627" t="str">
            <v>JOELHO PVC, SOLDAVEL, PB, 45 GRAUS, DN 75 MM, PARA ESGOTO PREDIAL</v>
          </cell>
          <cell r="C2627" t="str">
            <v xml:space="preserve">UN    </v>
          </cell>
          <cell r="D2627">
            <v>5.32</v>
          </cell>
        </row>
        <row r="2628">
          <cell r="A2628">
            <v>3520</v>
          </cell>
          <cell r="B2628" t="str">
            <v>JOELHO PVC, SOLDAVEL, PB, 90 GRAUS, DN 100 MM, PARA ESGOTO PREDIAL</v>
          </cell>
          <cell r="C2628" t="str">
            <v xml:space="preserve">UN    </v>
          </cell>
          <cell r="D2628">
            <v>5.96</v>
          </cell>
        </row>
        <row r="2629">
          <cell r="A2629">
            <v>37950</v>
          </cell>
          <cell r="B2629" t="str">
            <v>JOELHO PVC, SOLDAVEL, PB, 90 GRAUS, DN 150 MM, PARA ESGOTO PREDIAL</v>
          </cell>
          <cell r="C2629" t="str">
            <v xml:space="preserve">UN    </v>
          </cell>
          <cell r="D2629">
            <v>36.74</v>
          </cell>
        </row>
        <row r="2630">
          <cell r="A2630">
            <v>37949</v>
          </cell>
          <cell r="B2630" t="str">
            <v>JOELHO PVC, SOLDAVEL, PB, 90 GRAUS, DN 40 MM, PARA ESGOTO PREDIAL</v>
          </cell>
          <cell r="C2630" t="str">
            <v xml:space="preserve">UN    </v>
          </cell>
          <cell r="D2630">
            <v>1.34</v>
          </cell>
        </row>
        <row r="2631">
          <cell r="A2631">
            <v>3526</v>
          </cell>
          <cell r="B2631" t="str">
            <v>JOELHO PVC, SOLDAVEL, PB, 90 GRAUS, DN 50 MM, PARA ESGOTO PREDIAL</v>
          </cell>
          <cell r="C2631" t="str">
            <v xml:space="preserve">UN    </v>
          </cell>
          <cell r="D2631">
            <v>1.8</v>
          </cell>
        </row>
        <row r="2632">
          <cell r="A2632">
            <v>3509</v>
          </cell>
          <cell r="B2632" t="str">
            <v>JOELHO PVC, SOLDAVEL, PB, 90 GRAUS, DN 75 MM, PARA ESGOTO PREDIAL</v>
          </cell>
          <cell r="C2632" t="str">
            <v xml:space="preserve">UN    </v>
          </cell>
          <cell r="D2632">
            <v>4.6900000000000004</v>
          </cell>
        </row>
        <row r="2633">
          <cell r="A2633">
            <v>3530</v>
          </cell>
          <cell r="B2633" t="str">
            <v>JOELHO PVC, SOLDAVEL, 90 GRAUS, 110 MM, PARA AGUA FRIA PREDIAL</v>
          </cell>
          <cell r="C2633" t="str">
            <v xml:space="preserve">UN    </v>
          </cell>
          <cell r="D2633">
            <v>173.39</v>
          </cell>
        </row>
        <row r="2634">
          <cell r="A2634">
            <v>3542</v>
          </cell>
          <cell r="B2634" t="str">
            <v>JOELHO PVC, SOLDAVEL, 90 GRAUS, 20 MM, PARA AGUA FRIA PREDIAL</v>
          </cell>
          <cell r="C2634" t="str">
            <v xml:space="preserve">UN    </v>
          </cell>
          <cell r="D2634">
            <v>0.4</v>
          </cell>
        </row>
        <row r="2635">
          <cell r="A2635">
            <v>3529</v>
          </cell>
          <cell r="B2635" t="str">
            <v>JOELHO PVC, SOLDAVEL, 90 GRAUS, 25 MM, PARA AGUA FRIA PREDIAL</v>
          </cell>
          <cell r="C2635" t="str">
            <v xml:space="preserve">UN    </v>
          </cell>
          <cell r="D2635">
            <v>0.55000000000000004</v>
          </cell>
        </row>
        <row r="2636">
          <cell r="A2636">
            <v>3536</v>
          </cell>
          <cell r="B2636" t="str">
            <v>JOELHO PVC, SOLDAVEL, 90 GRAUS, 32 MM, PARA AGUA FRIA PREDIAL</v>
          </cell>
          <cell r="C2636" t="str">
            <v xml:space="preserve">UN    </v>
          </cell>
          <cell r="D2636">
            <v>1.66</v>
          </cell>
        </row>
        <row r="2637">
          <cell r="A2637">
            <v>3535</v>
          </cell>
          <cell r="B2637" t="str">
            <v>JOELHO PVC, SOLDAVEL, 90 GRAUS, 40 MM, PARA AGUA FRIA PREDIAL</v>
          </cell>
          <cell r="C2637" t="str">
            <v xml:space="preserve">UN    </v>
          </cell>
          <cell r="D2637">
            <v>3.94</v>
          </cell>
        </row>
        <row r="2638">
          <cell r="A2638">
            <v>3540</v>
          </cell>
          <cell r="B2638" t="str">
            <v>JOELHO PVC, SOLDAVEL, 90 GRAUS, 50 MM, PARA AGUA FRIA PREDIAL</v>
          </cell>
          <cell r="C2638" t="str">
            <v xml:space="preserve">UN    </v>
          </cell>
          <cell r="D2638">
            <v>4.26</v>
          </cell>
        </row>
        <row r="2639">
          <cell r="A2639">
            <v>3539</v>
          </cell>
          <cell r="B2639" t="str">
            <v>JOELHO PVC, SOLDAVEL, 90 GRAUS, 60 MM, PARA AGUA FRIA PREDIAL</v>
          </cell>
          <cell r="C2639" t="str">
            <v xml:space="preserve">UN    </v>
          </cell>
          <cell r="D2639">
            <v>18.489999999999998</v>
          </cell>
        </row>
        <row r="2640">
          <cell r="A2640">
            <v>3513</v>
          </cell>
          <cell r="B2640" t="str">
            <v>JOELHO PVC, SOLDAVEL, 90 GRAUS, 85 MM, PARA AGUA FRIA PREDIAL</v>
          </cell>
          <cell r="C2640" t="str">
            <v xml:space="preserve">UN    </v>
          </cell>
          <cell r="D2640">
            <v>82.19</v>
          </cell>
        </row>
        <row r="2641">
          <cell r="A2641">
            <v>3492</v>
          </cell>
          <cell r="B2641" t="str">
            <v>JOELHO PVC, 45 GRAUS, ROSCAVEL,  1 1/2", AGUA FRIA PREDIAL</v>
          </cell>
          <cell r="C2641" t="str">
            <v xml:space="preserve">UN    </v>
          </cell>
          <cell r="D2641">
            <v>15.82</v>
          </cell>
        </row>
        <row r="2642">
          <cell r="A2642">
            <v>3491</v>
          </cell>
          <cell r="B2642" t="str">
            <v>JOELHO PVC, 45 GRAUS, ROSCAVEL, 1 1/4",  AGUA FRIA PREDIAL</v>
          </cell>
          <cell r="C2642" t="str">
            <v xml:space="preserve">UN    </v>
          </cell>
          <cell r="D2642">
            <v>9.02</v>
          </cell>
        </row>
        <row r="2643">
          <cell r="A2643">
            <v>3493</v>
          </cell>
          <cell r="B2643" t="str">
            <v>JOELHO PVC, 45 GRAUS, ROSCAVEL, 2", AGUA FRIA PREDIAL</v>
          </cell>
          <cell r="C2643" t="str">
            <v xml:space="preserve">UN    </v>
          </cell>
          <cell r="D2643">
            <v>21.63</v>
          </cell>
        </row>
        <row r="2644">
          <cell r="A2644">
            <v>12628</v>
          </cell>
          <cell r="B2644" t="str">
            <v>JOELHO PVC, 60 GRAUS, DIAMETRO ENTRE 80 E 100 MM, PARA DRENAGEM PLUVIAL PREDIAL</v>
          </cell>
          <cell r="C2644" t="str">
            <v xml:space="preserve">UN    </v>
          </cell>
          <cell r="D2644">
            <v>5.79</v>
          </cell>
        </row>
        <row r="2645">
          <cell r="A2645">
            <v>12629</v>
          </cell>
          <cell r="B2645" t="str">
            <v>JOELHO PVC, 90 GRAUS, DIAMETRO ENTRE 80 E 100 MM, PARA DRENAGEM PLUVIAL PREDIAL</v>
          </cell>
          <cell r="C2645" t="str">
            <v xml:space="preserve">UN    </v>
          </cell>
          <cell r="D2645">
            <v>6.28</v>
          </cell>
        </row>
        <row r="2646">
          <cell r="A2646">
            <v>3481</v>
          </cell>
          <cell r="B2646" t="str">
            <v>JOELHO PVC, 90 GRAUS, ROSCAVEL, 1 1/2",  AGUA FRIA PREDIAL</v>
          </cell>
          <cell r="C2646" t="str">
            <v xml:space="preserve">UN    </v>
          </cell>
          <cell r="D2646">
            <v>10.96</v>
          </cell>
        </row>
        <row r="2647">
          <cell r="A2647">
            <v>3510</v>
          </cell>
          <cell r="B2647" t="str">
            <v>JOELHO PVC, 90 GRAUS, ROSCAVEL, 1 1/4", AGUA FRIA PREDIAL</v>
          </cell>
          <cell r="C2647" t="str">
            <v xml:space="preserve">UN    </v>
          </cell>
          <cell r="D2647">
            <v>10.24</v>
          </cell>
        </row>
        <row r="2648">
          <cell r="A2648">
            <v>3508</v>
          </cell>
          <cell r="B2648" t="str">
            <v>JOELHO PVC, 90 GRAUS, ROSCAVEL, 2", AGUA FRIA PREDIAL</v>
          </cell>
          <cell r="C2648" t="str">
            <v xml:space="preserve">UN    </v>
          </cell>
          <cell r="D2648">
            <v>26.77</v>
          </cell>
        </row>
        <row r="2649">
          <cell r="A2649">
            <v>38939</v>
          </cell>
          <cell r="B2649" t="str">
            <v>JOELHO ROSCA FEMEA MOVEL, METALICO, PARA CONEXAO COM ANEL DESLIZANTE EM TUBO PEX, DN 16 MM X 1/2"</v>
          </cell>
          <cell r="C2649" t="str">
            <v xml:space="preserve">UN    </v>
          </cell>
          <cell r="D2649">
            <v>12.74</v>
          </cell>
        </row>
        <row r="2650">
          <cell r="A2650">
            <v>38940</v>
          </cell>
          <cell r="B2650" t="str">
            <v>JOELHO ROSCA FEMEA MOVEL, METALICO, PARA CONEXAO COM ANEL DESLIZANTE EM TUBO PEX, DN 20 MM X 1/2"</v>
          </cell>
          <cell r="C2650" t="str">
            <v xml:space="preserve">UN    </v>
          </cell>
          <cell r="D2650">
            <v>19.45</v>
          </cell>
        </row>
        <row r="2651">
          <cell r="A2651">
            <v>38941</v>
          </cell>
          <cell r="B2651" t="str">
            <v>JOELHO ROSCA FEMEA MOVEL, METALICO, PARA CONEXAO COM ANEL DESLIZANTE EM TUBO PEX, DN 20 MM X 3/4"</v>
          </cell>
          <cell r="C2651" t="str">
            <v xml:space="preserve">UN    </v>
          </cell>
          <cell r="D2651">
            <v>22.98</v>
          </cell>
        </row>
        <row r="2652">
          <cell r="A2652">
            <v>38942</v>
          </cell>
          <cell r="B2652" t="str">
            <v>JOELHO ROSCA FEMEA MOVEL, METALICO, PARA CONEXAO COM ANEL DESLIZANTE EM TUBO PEX, DN 25 MM X 3/4"</v>
          </cell>
          <cell r="C2652" t="str">
            <v xml:space="preserve">UN    </v>
          </cell>
          <cell r="D2652">
            <v>25.74</v>
          </cell>
        </row>
        <row r="2653">
          <cell r="A2653">
            <v>38987</v>
          </cell>
          <cell r="B2653" t="str">
            <v>JOELHO 45 GRAUS, PPR, SOLDAVEL, F/ F, DN 40 MM, PARA AQUA QUENTE E FRIA PREDIAL</v>
          </cell>
          <cell r="C2653" t="str">
            <v xml:space="preserve">UN    </v>
          </cell>
          <cell r="D2653">
            <v>5.66</v>
          </cell>
        </row>
        <row r="2654">
          <cell r="A2654">
            <v>38988</v>
          </cell>
          <cell r="B2654" t="str">
            <v>JOELHO 45 GRAUS, PPR, SOLDAVEL, F/ F, DN 50 MM, PARA AQUA QUENTE E FRIA PREDIAL</v>
          </cell>
          <cell r="C2654" t="str">
            <v xml:space="preserve">UN    </v>
          </cell>
          <cell r="D2654">
            <v>13.16</v>
          </cell>
        </row>
        <row r="2655">
          <cell r="A2655">
            <v>38989</v>
          </cell>
          <cell r="B2655" t="str">
            <v>JOELHO 45 GRAUS, PPR, SOLDAVEL, F/ F, DN 63 MM, PARA AQUA QUENTE E FRIA PREDIAL</v>
          </cell>
          <cell r="C2655" t="str">
            <v xml:space="preserve">UN    </v>
          </cell>
          <cell r="D2655">
            <v>17.489999999999998</v>
          </cell>
        </row>
        <row r="2656">
          <cell r="A2656">
            <v>38990</v>
          </cell>
          <cell r="B2656" t="str">
            <v>JOELHO 45 GRAUS, PPR, SOLDAVEL, F/ F, DN 75 MM, PARA AQUA QUENTE E FRIA PREDIAL</v>
          </cell>
          <cell r="C2656" t="str">
            <v xml:space="preserve">UN    </v>
          </cell>
          <cell r="D2656">
            <v>46.1</v>
          </cell>
        </row>
        <row r="2657">
          <cell r="A2657">
            <v>38991</v>
          </cell>
          <cell r="B2657" t="str">
            <v>JOELHO 45 GRAUS, PPR, SOLDAVEL, F/ F, DN 90 MM, PARA AQUA QUENTE E FRIA PREDIAL</v>
          </cell>
          <cell r="C2657" t="str">
            <v xml:space="preserve">UN    </v>
          </cell>
          <cell r="D2657">
            <v>93.14</v>
          </cell>
        </row>
        <row r="2658">
          <cell r="A2658">
            <v>38913</v>
          </cell>
          <cell r="B2658" t="str">
            <v>JOELHO 90 GRAUS, METALICO, PARA CONEXAO COM ANEL DESLIZANTE EM TUBO PEX, DN 16 MM</v>
          </cell>
          <cell r="C2658" t="str">
            <v xml:space="preserve">UN    </v>
          </cell>
          <cell r="D2658">
            <v>11.82</v>
          </cell>
        </row>
        <row r="2659">
          <cell r="A2659">
            <v>38914</v>
          </cell>
          <cell r="B2659" t="str">
            <v>JOELHO 90 GRAUS, METALICO, PARA CONEXAO COM ANEL DESLIZANTE EM TUBO PEX, DN 20 MM</v>
          </cell>
          <cell r="C2659" t="str">
            <v xml:space="preserve">UN    </v>
          </cell>
          <cell r="D2659">
            <v>13.71</v>
          </cell>
        </row>
        <row r="2660">
          <cell r="A2660">
            <v>38915</v>
          </cell>
          <cell r="B2660" t="str">
            <v>JOELHO 90 GRAUS, METALICO, PARA CONEXAO COM ANEL DESLIZANTE EM TUBO PEX, DN 25 MM</v>
          </cell>
          <cell r="C2660" t="str">
            <v xml:space="preserve">UN    </v>
          </cell>
          <cell r="D2660">
            <v>23.81</v>
          </cell>
        </row>
        <row r="2661">
          <cell r="A2661">
            <v>38916</v>
          </cell>
          <cell r="B2661" t="str">
            <v>JOELHO 90 GRAUS, METALICO, PARA CONEXAO COM ANEL DESLIZANTE EM TUBO PEX, DN 32 MM</v>
          </cell>
          <cell r="C2661" t="str">
            <v xml:space="preserve">UN    </v>
          </cell>
          <cell r="D2661">
            <v>31.41</v>
          </cell>
        </row>
        <row r="2662">
          <cell r="A2662">
            <v>39300</v>
          </cell>
          <cell r="B2662" t="str">
            <v>JOELHO 90 GRAUS, PLASTICO, PARA CONEXAO COM CRIMPAGEM EM TUBO PEX, DN 16 MM</v>
          </cell>
          <cell r="C2662" t="str">
            <v xml:space="preserve">UN    </v>
          </cell>
          <cell r="D2662">
            <v>10.68</v>
          </cell>
        </row>
        <row r="2663">
          <cell r="A2663">
            <v>39301</v>
          </cell>
          <cell r="B2663" t="str">
            <v>JOELHO 90 GRAUS, PLASTICO, PARA CONEXAO COM CRIMPAGEM EM TUBO PEX, DN 20 MM</v>
          </cell>
          <cell r="C2663" t="str">
            <v xml:space="preserve">UN    </v>
          </cell>
          <cell r="D2663">
            <v>14.82</v>
          </cell>
        </row>
        <row r="2664">
          <cell r="A2664">
            <v>39302</v>
          </cell>
          <cell r="B2664" t="str">
            <v>JOELHO 90 GRAUS, PLASTICO, PARA CONEXAO COM CRIMPAGEM EM TUBO PEX, DN 25 MM</v>
          </cell>
          <cell r="C2664" t="str">
            <v xml:space="preserve">UN    </v>
          </cell>
          <cell r="D2664">
            <v>18.62</v>
          </cell>
        </row>
        <row r="2665">
          <cell r="A2665">
            <v>39303</v>
          </cell>
          <cell r="B2665" t="str">
            <v>JOELHO 90 GRAUS, PLASTICO, PARA CONEXAO COM CRIMPAGEM EM TUBO PEX, DN 32 MM</v>
          </cell>
          <cell r="C2665" t="str">
            <v xml:space="preserve">UN    </v>
          </cell>
          <cell r="D2665">
            <v>32.74</v>
          </cell>
        </row>
        <row r="2666">
          <cell r="A2666">
            <v>38923</v>
          </cell>
          <cell r="B2666" t="str">
            <v>JOELHO 90 GRAUS, ROSCA FEMEA TERMINAL, METALICO, PARA CONEXAO COM ANEL DESLIZANTE EM TUBO PEX, DN 16 MM X 1/2"</v>
          </cell>
          <cell r="C2666" t="str">
            <v xml:space="preserve">UN    </v>
          </cell>
          <cell r="D2666">
            <v>10.43</v>
          </cell>
        </row>
        <row r="2667">
          <cell r="A2667">
            <v>38925</v>
          </cell>
          <cell r="B2667" t="str">
            <v>JOELHO 90 GRAUS, ROSCA FEMEA TERMINAL, METALICO, PARA CONEXAO COM ANEL DESLIZANTE EM TUBO PEX, DN 20 MM X 1/2"</v>
          </cell>
          <cell r="C2667" t="str">
            <v xml:space="preserve">UN    </v>
          </cell>
          <cell r="D2667">
            <v>11.2</v>
          </cell>
        </row>
        <row r="2668">
          <cell r="A2668">
            <v>38926</v>
          </cell>
          <cell r="B2668" t="str">
            <v>JOELHO 90 GRAUS, ROSCA FEMEA TERMINAL, METALICO, PARA CONEXAO COM ANEL DESLIZANTE EM TUBO PEX, DN 20 MM X 3/4"</v>
          </cell>
          <cell r="C2668" t="str">
            <v xml:space="preserve">UN    </v>
          </cell>
          <cell r="D2668">
            <v>16.010000000000002</v>
          </cell>
        </row>
        <row r="2669">
          <cell r="A2669">
            <v>38927</v>
          </cell>
          <cell r="B2669" t="str">
            <v>JOELHO 90 GRAUS, ROSCA FEMEA TERMINAL, METALICO, PARA CONEXAO COM ANEL DESLIZANTE EM TUBO PEX, DN 25 MM X 3/4"</v>
          </cell>
          <cell r="C2669" t="str">
            <v xml:space="preserve">UN    </v>
          </cell>
          <cell r="D2669">
            <v>17.12</v>
          </cell>
        </row>
        <row r="2670">
          <cell r="A2670">
            <v>39304</v>
          </cell>
          <cell r="B2670" t="str">
            <v>JOELHO 90 GRAUS, ROSCA FEMEA TERMINAL, PLASTICO, PARA CONEXAO COM CRIMPAGEM EM TUBO PEX, DN 16 MM X 1/2"</v>
          </cell>
          <cell r="C2670" t="str">
            <v xml:space="preserve">UN    </v>
          </cell>
          <cell r="D2670">
            <v>13.19</v>
          </cell>
        </row>
        <row r="2671">
          <cell r="A2671">
            <v>38924</v>
          </cell>
          <cell r="B2671" t="str">
            <v>JOELHO 90 GRAUS, ROSCA FEMEA TERMINAL, PLASTICO, PARA CONEXAO COM CRIMPAGEM EM TUBO PEX, DN 16 MM X 3/4"</v>
          </cell>
          <cell r="C2671" t="str">
            <v xml:space="preserve">UN    </v>
          </cell>
          <cell r="D2671">
            <v>18.79</v>
          </cell>
        </row>
        <row r="2672">
          <cell r="A2672">
            <v>39305</v>
          </cell>
          <cell r="B2672" t="str">
            <v>JOELHO 90 GRAUS, ROSCA FEMEA TERMINAL, PLASTICO, PARA CONEXAO COM CRIMPAGEM EM TUBO PEX, DN 20 MM X 1/2"</v>
          </cell>
          <cell r="C2672" t="str">
            <v xml:space="preserve">UN    </v>
          </cell>
          <cell r="D2672">
            <v>17.27</v>
          </cell>
        </row>
        <row r="2673">
          <cell r="A2673">
            <v>39306</v>
          </cell>
          <cell r="B2673" t="str">
            <v>JOELHO 90 GRAUS, ROSCA FEMEA TERMINAL, PLASTICO, PARA CONEXAO COM CRIMPAGEM EM TUBO PEX, DN 20 MM X 3/4"</v>
          </cell>
          <cell r="C2673" t="str">
            <v xml:space="preserve">UN    </v>
          </cell>
          <cell r="D2673">
            <v>21.6</v>
          </cell>
        </row>
        <row r="2674">
          <cell r="A2674">
            <v>38928</v>
          </cell>
          <cell r="B2674" t="str">
            <v>JOELHO 90 GRAUS, ROSCA FEMEA TERMINAL, PLASTICO, PARA CONEXAO COM CRIMPAGEM EM TUBO PEX, DN 25 MM X 1/2"</v>
          </cell>
          <cell r="C2674" t="str">
            <v xml:space="preserve">UN    </v>
          </cell>
          <cell r="D2674">
            <v>18.98</v>
          </cell>
        </row>
        <row r="2675">
          <cell r="A2675">
            <v>38929</v>
          </cell>
          <cell r="B2675" t="str">
            <v>JOELHO 90 GRAUS, ROSCA FEMEA TERMINAL, PLASTICO, PARA CONEXAO COM CRIMPAGEM EM TUBO PEX, DN 25 MM X 1"</v>
          </cell>
          <cell r="C2675" t="str">
            <v xml:space="preserve">UN    </v>
          </cell>
          <cell r="D2675">
            <v>33.64</v>
          </cell>
        </row>
        <row r="2676">
          <cell r="A2676">
            <v>39307</v>
          </cell>
          <cell r="B2676" t="str">
            <v>JOELHO 90 GRAUS, ROSCA FEMEA TERMINAL, PLASTICO, PARA CONEXAO COM CRIMPAGEM EM TUBO PEX, DN 25 MM X 3/4"</v>
          </cell>
          <cell r="C2676" t="str">
            <v xml:space="preserve">UN    </v>
          </cell>
          <cell r="D2676">
            <v>24.86</v>
          </cell>
        </row>
        <row r="2677">
          <cell r="A2677">
            <v>38930</v>
          </cell>
          <cell r="B2677" t="str">
            <v>JOELHO 90 GRAUS, ROSCA FEMEA TERMINAL, PLASTICO, PARA CONEXAO COM CRIMPAGEM EM TUBO PEX, DN 32 MM X 1"</v>
          </cell>
          <cell r="C2677" t="str">
            <v xml:space="preserve">UN    </v>
          </cell>
          <cell r="D2677">
            <v>42.27</v>
          </cell>
        </row>
        <row r="2678">
          <cell r="A2678">
            <v>38931</v>
          </cell>
          <cell r="B2678" t="str">
            <v>JOELHO 90 GRAUS, ROSCA MACHO TERMINAL, METALICO, PARA CONEXAO COM ANEL DESLIZANTE EM TUBO PEX, DN 16 MM X 1/2"</v>
          </cell>
          <cell r="C2678" t="str">
            <v xml:space="preserve">UN    </v>
          </cell>
          <cell r="D2678">
            <v>10.64</v>
          </cell>
        </row>
        <row r="2679">
          <cell r="A2679">
            <v>38932</v>
          </cell>
          <cell r="B2679" t="str">
            <v>JOELHO 90 GRAUS, ROSCA MACHO TERMINAL, METALICO, PARA CONEXAO COM ANEL DESLIZANTE EM TUBO PEX, DN 20 MM X 1/2"</v>
          </cell>
          <cell r="C2679" t="str">
            <v xml:space="preserve">UN    </v>
          </cell>
          <cell r="D2679">
            <v>10.75</v>
          </cell>
        </row>
        <row r="2680">
          <cell r="A2680">
            <v>38934</v>
          </cell>
          <cell r="B2680" t="str">
            <v>JOELHO 90 GRAUS, ROSCA MACHO TERMINAL, METALICO, PARA CONEXAO COM ANEL DESLIZANTE EM TUBO PEX, DN 20 MM X 3/4"</v>
          </cell>
          <cell r="C2680" t="str">
            <v xml:space="preserve">UN    </v>
          </cell>
          <cell r="D2680">
            <v>15.88</v>
          </cell>
        </row>
        <row r="2681">
          <cell r="A2681">
            <v>38935</v>
          </cell>
          <cell r="B2681" t="str">
            <v>JOELHO 90 GRAUS, ROSCA MACHO TERMINAL, METALICO, PARA CONEXAO COM ANEL DESLIZANTE EM TUBO PEX, DN 25 MM X 3/4"</v>
          </cell>
          <cell r="C2681" t="str">
            <v xml:space="preserve">UN    </v>
          </cell>
          <cell r="D2681">
            <v>17</v>
          </cell>
        </row>
        <row r="2682">
          <cell r="A2682">
            <v>38936</v>
          </cell>
          <cell r="B2682" t="str">
            <v>JOELHO 90 GRAUS, ROSCA MACHO TERMINAL, PLASTICO, PARA CONEXAO COM CRIMPAGEM EM TUBO PEX, DN 25 MM X 1/2"</v>
          </cell>
          <cell r="C2682" t="str">
            <v xml:space="preserve">UN    </v>
          </cell>
          <cell r="D2682">
            <v>18.2</v>
          </cell>
        </row>
        <row r="2683">
          <cell r="A2683">
            <v>38937</v>
          </cell>
          <cell r="B2683" t="str">
            <v>JOELHO 90 GRAUS, ROSCA MACHO TERMINAL, PLASTICO, PARA CONEXAO COM CRIMPAGEM EM TUBO PEX, DN 25 MM X 1"</v>
          </cell>
          <cell r="C2683" t="str">
            <v xml:space="preserve">UN    </v>
          </cell>
          <cell r="D2683">
            <v>22.19</v>
          </cell>
        </row>
        <row r="2684">
          <cell r="A2684">
            <v>38938</v>
          </cell>
          <cell r="B2684" t="str">
            <v>JOELHO 90 GRAUS, ROSCA MACHO TERMINAL, PLASTICO, PARA CONEXAO COM CRIMPAGEM EM TUBO PEX, DN 32 MM X 1"</v>
          </cell>
          <cell r="C2684" t="str">
            <v xml:space="preserve">UN    </v>
          </cell>
          <cell r="D2684">
            <v>32.99</v>
          </cell>
        </row>
        <row r="2685">
          <cell r="A2685">
            <v>3489</v>
          </cell>
          <cell r="B2685" t="str">
            <v>JOELHO, PVC COM ROSCA E BUCHA LATAO, 90 GRAUS,  3/4", PARA AGUA FRIA PREDIAL</v>
          </cell>
          <cell r="C2685" t="str">
            <v xml:space="preserve">UN    </v>
          </cell>
          <cell r="D2685">
            <v>10.119999999999999</v>
          </cell>
        </row>
        <row r="2686">
          <cell r="A2686">
            <v>20151</v>
          </cell>
          <cell r="B2686" t="str">
            <v>JOELHO, PVC SERIE R, 45 GRAUS, DN 100 MM, PARA ESGOTO PREDIAL</v>
          </cell>
          <cell r="C2686" t="str">
            <v xml:space="preserve">UN    </v>
          </cell>
          <cell r="D2686">
            <v>16.54</v>
          </cell>
        </row>
        <row r="2687">
          <cell r="A2687">
            <v>20152</v>
          </cell>
          <cell r="B2687" t="str">
            <v>JOELHO, PVC SERIE R, 45 GRAUS, DN 150 MM, PARA ESGOTO PREDIAL</v>
          </cell>
          <cell r="C2687" t="str">
            <v xml:space="preserve">UN    </v>
          </cell>
          <cell r="D2687">
            <v>57.57</v>
          </cell>
        </row>
        <row r="2688">
          <cell r="A2688">
            <v>20148</v>
          </cell>
          <cell r="B2688" t="str">
            <v>JOELHO, PVC SERIE R, 45 GRAUS, DN 40 MM, PARA ESGOTO PREDIAL</v>
          </cell>
          <cell r="C2688" t="str">
            <v xml:space="preserve">UN    </v>
          </cell>
          <cell r="D2688">
            <v>3.29</v>
          </cell>
        </row>
        <row r="2689">
          <cell r="A2689">
            <v>20149</v>
          </cell>
          <cell r="B2689" t="str">
            <v>JOELHO, PVC SERIE R, 45 GRAUS, DN 50 MM, PARA ESGOTO PREDIAL</v>
          </cell>
          <cell r="C2689" t="str">
            <v xml:space="preserve">UN    </v>
          </cell>
          <cell r="D2689">
            <v>5.09</v>
          </cell>
        </row>
        <row r="2690">
          <cell r="A2690">
            <v>20150</v>
          </cell>
          <cell r="B2690" t="str">
            <v>JOELHO, PVC SERIE R, 45 GRAUS, DN 75 MM, PARA ESGOTO PREDIAL</v>
          </cell>
          <cell r="C2690" t="str">
            <v xml:space="preserve">UN    </v>
          </cell>
          <cell r="D2690">
            <v>11.88</v>
          </cell>
        </row>
        <row r="2691">
          <cell r="A2691">
            <v>20157</v>
          </cell>
          <cell r="B2691" t="str">
            <v>JOELHO, PVC SERIE R, 90 GRAUS, DN 100 MM, PARA ESGOTO PREDIAL</v>
          </cell>
          <cell r="C2691" t="str">
            <v xml:space="preserve">UN    </v>
          </cell>
          <cell r="D2691">
            <v>22.32</v>
          </cell>
        </row>
        <row r="2692">
          <cell r="A2692">
            <v>20158</v>
          </cell>
          <cell r="B2692" t="str">
            <v>JOELHO, PVC SERIE R, 90 GRAUS, DN 150 MM, PARA ESGOTO PREDIAL</v>
          </cell>
          <cell r="C2692" t="str">
            <v xml:space="preserve">UN    </v>
          </cell>
          <cell r="D2692">
            <v>74.17</v>
          </cell>
        </row>
        <row r="2693">
          <cell r="A2693">
            <v>20154</v>
          </cell>
          <cell r="B2693" t="str">
            <v>JOELHO, PVC SERIE R, 90 GRAUS, DN 40 MM, PARA ESGOTO PREDIAL</v>
          </cell>
          <cell r="C2693" t="str">
            <v xml:space="preserve">UN    </v>
          </cell>
          <cell r="D2693">
            <v>4.2300000000000004</v>
          </cell>
        </row>
        <row r="2694">
          <cell r="A2694">
            <v>20155</v>
          </cell>
          <cell r="B2694" t="str">
            <v>JOELHO, PVC SERIE R, 90 GRAUS, DN 50 MM, PARA ESGOTO PREDIAL</v>
          </cell>
          <cell r="C2694" t="str">
            <v xml:space="preserve">UN    </v>
          </cell>
          <cell r="D2694">
            <v>6.33</v>
          </cell>
        </row>
        <row r="2695">
          <cell r="A2695">
            <v>20156</v>
          </cell>
          <cell r="B2695" t="str">
            <v>JOELHO, PVC SERIE R, 90 GRAUS, DN 75 MM, PARA ESGOTO PREDIAL</v>
          </cell>
          <cell r="C2695" t="str">
            <v xml:space="preserve">UN    </v>
          </cell>
          <cell r="D2695">
            <v>14.25</v>
          </cell>
        </row>
        <row r="2696">
          <cell r="A2696">
            <v>3512</v>
          </cell>
          <cell r="B2696" t="str">
            <v>JOELHO, PVC SOLDAVEL, 45 GRAUS, 110 MM, PARA AGUA FRIA PREDIAL</v>
          </cell>
          <cell r="C2696" t="str">
            <v xml:space="preserve">UN    </v>
          </cell>
          <cell r="D2696">
            <v>158.57</v>
          </cell>
        </row>
        <row r="2697">
          <cell r="A2697">
            <v>3499</v>
          </cell>
          <cell r="B2697" t="str">
            <v>JOELHO, PVC SOLDAVEL, 45 GRAUS, 20 MM, PARA AGUA FRIA PREDIAL</v>
          </cell>
          <cell r="C2697" t="str">
            <v xml:space="preserve">UN    </v>
          </cell>
          <cell r="D2697">
            <v>0.67</v>
          </cell>
        </row>
        <row r="2698">
          <cell r="A2698">
            <v>3500</v>
          </cell>
          <cell r="B2698" t="str">
            <v>JOELHO, PVC SOLDAVEL, 45 GRAUS, 25 MM, PARA AGUA FRIA PREDIAL</v>
          </cell>
          <cell r="C2698" t="str">
            <v xml:space="preserve">UN    </v>
          </cell>
          <cell r="D2698">
            <v>1.1299999999999999</v>
          </cell>
        </row>
        <row r="2699">
          <cell r="A2699">
            <v>3501</v>
          </cell>
          <cell r="B2699" t="str">
            <v>JOELHO, PVC SOLDAVEL, 45 GRAUS, 32 MM, PARA AGUA FRIA PREDIAL</v>
          </cell>
          <cell r="C2699" t="str">
            <v xml:space="preserve">UN    </v>
          </cell>
          <cell r="D2699">
            <v>3.29</v>
          </cell>
        </row>
        <row r="2700">
          <cell r="A2700">
            <v>3502</v>
          </cell>
          <cell r="B2700" t="str">
            <v>JOELHO, PVC SOLDAVEL, 45 GRAUS, 40 MM, PARA AGUA FRIA PREDIAL</v>
          </cell>
          <cell r="C2700" t="str">
            <v xml:space="preserve">UN    </v>
          </cell>
          <cell r="D2700">
            <v>4.68</v>
          </cell>
        </row>
        <row r="2701">
          <cell r="A2701">
            <v>3503</v>
          </cell>
          <cell r="B2701" t="str">
            <v>JOELHO, PVC SOLDAVEL, 45 GRAUS, 50 MM, PARA AGUA FRIA PREDIAL</v>
          </cell>
          <cell r="C2701" t="str">
            <v xml:space="preserve">UN    </v>
          </cell>
          <cell r="D2701">
            <v>5.6</v>
          </cell>
        </row>
        <row r="2702">
          <cell r="A2702">
            <v>3477</v>
          </cell>
          <cell r="B2702" t="str">
            <v>JOELHO, PVC SOLDAVEL, 45 GRAUS, 60 MM, PARA AGUA FRIA PREDIAL</v>
          </cell>
          <cell r="C2702" t="str">
            <v xml:space="preserve">UN    </v>
          </cell>
          <cell r="D2702">
            <v>21.7</v>
          </cell>
        </row>
        <row r="2703">
          <cell r="A2703">
            <v>3478</v>
          </cell>
          <cell r="B2703" t="str">
            <v>JOELHO, PVC SOLDAVEL, 45 GRAUS, 75 MM, PARA AGUA FRIA PREDIAL</v>
          </cell>
          <cell r="C2703" t="str">
            <v xml:space="preserve">UN    </v>
          </cell>
          <cell r="D2703">
            <v>49.87</v>
          </cell>
        </row>
        <row r="2704">
          <cell r="A2704">
            <v>3525</v>
          </cell>
          <cell r="B2704" t="str">
            <v>JOELHO, PVC SOLDAVEL, 45 GRAUS, 85 MM, PARA AGUA FRIA PREDIAL</v>
          </cell>
          <cell r="C2704" t="str">
            <v xml:space="preserve">UN    </v>
          </cell>
          <cell r="D2704">
            <v>59.17</v>
          </cell>
        </row>
        <row r="2705">
          <cell r="A2705">
            <v>3511</v>
          </cell>
          <cell r="B2705" t="str">
            <v>JOELHO, PVC SOLDAVEL, 90 GRAUS, 75 MM, PARA AGUA FRIA PREDIAL</v>
          </cell>
          <cell r="C2705" t="str">
            <v xml:space="preserve">UN    </v>
          </cell>
          <cell r="D2705">
            <v>69.430000000000007</v>
          </cell>
        </row>
        <row r="2706">
          <cell r="A2706">
            <v>38917</v>
          </cell>
          <cell r="B2706" t="str">
            <v>JOELHO, ROSCA FEMEA, COM BASE FIXA, METALICO, PARA CONEXAO COM ANEL DESLIZANTE EM TUBO PEX, DN 16 MM X 1/2"</v>
          </cell>
          <cell r="C2706" t="str">
            <v xml:space="preserve">UN    </v>
          </cell>
          <cell r="D2706">
            <v>10.18</v>
          </cell>
        </row>
        <row r="2707">
          <cell r="A2707">
            <v>38919</v>
          </cell>
          <cell r="B2707" t="str">
            <v>JOELHO, ROSCA FEMEA, COM BASE FIXA, METALICO, PARA CONEXAO COM ANEL DESLIZANTE EM TUBO PEX, DN 20 MM X 1/2"</v>
          </cell>
          <cell r="C2707" t="str">
            <v xml:space="preserve">UN    </v>
          </cell>
          <cell r="D2707">
            <v>15.15</v>
          </cell>
        </row>
        <row r="2708">
          <cell r="A2708">
            <v>38922</v>
          </cell>
          <cell r="B2708" t="str">
            <v>JOELHO, ROSCA FEMEA, COM BASE FIXA, METALICO, PARA CONEXAO COM ANEL DESLIZANTE EM TUBO PEX, DN 25 MM X 3/4"</v>
          </cell>
          <cell r="C2708" t="str">
            <v xml:space="preserve">UN    </v>
          </cell>
          <cell r="D2708">
            <v>19.57</v>
          </cell>
        </row>
        <row r="2709">
          <cell r="A2709">
            <v>38921</v>
          </cell>
          <cell r="B2709" t="str">
            <v>JOELHO, ROSCA FEMEA, COM BASE FIXA, PLASTICO, PARA CONEXAO COM CRIMPAGEM EM TUBO PEX, DN 25 MM X 1/2"</v>
          </cell>
          <cell r="C2709" t="str">
            <v xml:space="preserve">UN    </v>
          </cell>
          <cell r="D2709">
            <v>24.2</v>
          </cell>
        </row>
        <row r="2710">
          <cell r="A2710">
            <v>38918</v>
          </cell>
          <cell r="B2710" t="str">
            <v>JOELHO, ROSCA FEMEA, COM BASE FIXA, PLASTICO, PARA CONEXAO POR CRIMPAGEM EM TUBO PEX, DN 16 MM X 3/4"</v>
          </cell>
          <cell r="C2710" t="str">
            <v xml:space="preserve">UN    </v>
          </cell>
          <cell r="D2710">
            <v>23</v>
          </cell>
        </row>
        <row r="2711">
          <cell r="A2711">
            <v>38920</v>
          </cell>
          <cell r="B2711" t="str">
            <v>JOELHO, ROSCA FEMEA, COM BASE FIXA, PLASTICO, PARA CONEXAO POR CRIMPAGEM EM TUBO PEX, DN 20 MM X 3/4"</v>
          </cell>
          <cell r="C2711" t="str">
            <v xml:space="preserve">UN    </v>
          </cell>
          <cell r="D2711">
            <v>28.75</v>
          </cell>
        </row>
        <row r="2712">
          <cell r="A2712">
            <v>3104</v>
          </cell>
          <cell r="B2712" t="str">
            <v>JOGO DE FERRAGENS CROMADAS P/ PORTA DE VIDRO TEMPERADO, UMA FOLHA COMPOSTA: DOBRADICA SUPERIOR (101) E INFERIOR (103),TRINCO (502), FECHADURA (520),CONTRA FECHADURA (531),COM CAPUCHINHO</v>
          </cell>
          <cell r="C2712" t="str">
            <v xml:space="preserve">CJ    </v>
          </cell>
          <cell r="D2712">
            <v>376.14</v>
          </cell>
        </row>
        <row r="2713">
          <cell r="A2713">
            <v>12032</v>
          </cell>
          <cell r="B2713" t="str">
            <v>JOGO DE TRANQUETA E ROSETA QUADRADA DE SOBREPOR SEM FUROS, EM LATAO CROMADO, *50 X 50* MM, PARA FECHADURA DE PORTA DE BANHEIRO</v>
          </cell>
          <cell r="C2713" t="str">
            <v xml:space="preserve">JG    </v>
          </cell>
          <cell r="D2713">
            <v>45.27</v>
          </cell>
        </row>
        <row r="2714">
          <cell r="A2714">
            <v>12030</v>
          </cell>
          <cell r="B2714" t="str">
            <v>JOGO DE TRANQUETA E ROSETA REDONDA DE SOBREPOR SEM FUROS, EM LATAO CROMADO, DIAMETRO *50* MM, PARA FECHADURA DE PORTA DE BANHEIRO</v>
          </cell>
          <cell r="C2714" t="str">
            <v xml:space="preserve">JG    </v>
          </cell>
          <cell r="D2714">
            <v>42.54</v>
          </cell>
        </row>
        <row r="2715">
          <cell r="A2715">
            <v>10908</v>
          </cell>
          <cell r="B2715" t="str">
            <v>JUNCAO DE REDUCAO INVERTIDA, PVC SOLDAVEL, 100 X 50 MM, SERIE NORMAL PARA ESGOTO PREDIAL</v>
          </cell>
          <cell r="C2715" t="str">
            <v xml:space="preserve">UN    </v>
          </cell>
          <cell r="D2715">
            <v>12.5</v>
          </cell>
        </row>
        <row r="2716">
          <cell r="A2716">
            <v>10909</v>
          </cell>
          <cell r="B2716" t="str">
            <v>JUNCAO DE REDUCAO INVERTIDA, PVC SOLDAVEL, 100 X 75 MM, SERIE NORMAL PARA ESGOTO PREDIAL</v>
          </cell>
          <cell r="C2716" t="str">
            <v xml:space="preserve">UN    </v>
          </cell>
          <cell r="D2716">
            <v>19.93</v>
          </cell>
        </row>
        <row r="2717">
          <cell r="A2717">
            <v>3669</v>
          </cell>
          <cell r="B2717" t="str">
            <v>JUNCAO DE REDUCAO INVERTIDA, PVC SOLDAVEL, 75 X 50 MM, SERIE NORMAL PARA ESGOTO PREDIAL</v>
          </cell>
          <cell r="C2717" t="str">
            <v xml:space="preserve">UN    </v>
          </cell>
          <cell r="D2717">
            <v>8.5399999999999991</v>
          </cell>
        </row>
        <row r="2718">
          <cell r="A2718">
            <v>20138</v>
          </cell>
          <cell r="B2718" t="str">
            <v>JUNCAO DE REDUCAO SIMPLES, COM BOLSA PARA ANEL, PVC LEVE,  150 X 100 MM, PARA ESGOTO PREDIAL</v>
          </cell>
          <cell r="C2718" t="str">
            <v xml:space="preserve">UN    </v>
          </cell>
          <cell r="D2718">
            <v>42.43</v>
          </cell>
        </row>
        <row r="2719">
          <cell r="A2719">
            <v>20139</v>
          </cell>
          <cell r="B2719" t="str">
            <v>JUNCAO DUPLA, PVC SERIE R, DN 100 X 100 X 100 MM, PARA ESGOTO PREDIAL</v>
          </cell>
          <cell r="C2719" t="str">
            <v xml:space="preserve">UN    </v>
          </cell>
          <cell r="D2719">
            <v>71.290000000000006</v>
          </cell>
        </row>
        <row r="2720">
          <cell r="A2720">
            <v>3668</v>
          </cell>
          <cell r="B2720" t="str">
            <v>JUNCAO DUPLA, PVC SOLDAVEL, DN 100 X 100 X 100 MM , SERIE NORMAL PARA ESGOTO PREDIAL</v>
          </cell>
          <cell r="C2720" t="str">
            <v xml:space="preserve">UN    </v>
          </cell>
          <cell r="D2720">
            <v>28.27</v>
          </cell>
        </row>
        <row r="2721">
          <cell r="A2721">
            <v>3656</v>
          </cell>
          <cell r="B2721" t="str">
            <v>JUNCAO DUPLA, PVC SOLDAVEL, DN 75 X 75 X 75 MM , SERIE NORMAL PARA ESGOTO PREDIAL</v>
          </cell>
          <cell r="C2721" t="str">
            <v xml:space="preserve">UN    </v>
          </cell>
          <cell r="D2721">
            <v>14.01</v>
          </cell>
        </row>
        <row r="2722">
          <cell r="A2722">
            <v>10911</v>
          </cell>
          <cell r="B2722" t="str">
            <v>JUNCAO INVERTIDA, PVC SOLDAVEL, 75 X 75 MM, SERIE NORMAL PARA ESGOTO PREDIAL</v>
          </cell>
          <cell r="C2722" t="str">
            <v xml:space="preserve">UN    </v>
          </cell>
          <cell r="D2722">
            <v>15.55</v>
          </cell>
        </row>
        <row r="2723">
          <cell r="A2723">
            <v>3654</v>
          </cell>
          <cell r="B2723" t="str">
            <v>JUNCAO PVC  ROSCAVEL, 45 GRAUS, 1/2", PARA AGUA FRIA PREDIAL</v>
          </cell>
          <cell r="C2723" t="str">
            <v xml:space="preserve">UN    </v>
          </cell>
          <cell r="D2723">
            <v>3.52</v>
          </cell>
        </row>
        <row r="2724">
          <cell r="A2724">
            <v>3664</v>
          </cell>
          <cell r="B2724" t="str">
            <v>JUNCAO PVC  ROSCAVEL, 45 GRAUS, 3/4", PARA AGUA FRIA PREDIAL</v>
          </cell>
          <cell r="C2724" t="str">
            <v xml:space="preserve">UN    </v>
          </cell>
          <cell r="D2724">
            <v>4.37</v>
          </cell>
        </row>
        <row r="2725">
          <cell r="A2725">
            <v>3657</v>
          </cell>
          <cell r="B2725" t="str">
            <v>JUNCAO PVC, 45 GRAUS, ROSCAVEL, 1 1/4", AGUA FRIA PREDIAL</v>
          </cell>
          <cell r="C2725" t="str">
            <v xml:space="preserve">UN    </v>
          </cell>
          <cell r="D2725">
            <v>4.71</v>
          </cell>
        </row>
        <row r="2726">
          <cell r="A2726">
            <v>12625</v>
          </cell>
          <cell r="B2726" t="str">
            <v>JUNCAO PVC, 60 GRAUS, CIRCULAR,  DIAMETRO ENTRE 80 E 100 MM, PARA DRENAGEM PLUVIAL PREDIAL</v>
          </cell>
          <cell r="C2726" t="str">
            <v xml:space="preserve">UN    </v>
          </cell>
          <cell r="D2726">
            <v>7.94</v>
          </cell>
        </row>
        <row r="2727">
          <cell r="A2727">
            <v>20136</v>
          </cell>
          <cell r="B2727" t="str">
            <v>JUNCAO SIMPLES, PVC LEVE, 150 MM, PARA ESGOTO PREDIAL</v>
          </cell>
          <cell r="C2727" t="str">
            <v xml:space="preserve">UN    </v>
          </cell>
          <cell r="D2727">
            <v>95.76</v>
          </cell>
        </row>
        <row r="2728">
          <cell r="A2728">
            <v>20144</v>
          </cell>
          <cell r="B2728" t="str">
            <v>JUNCAO SIMPLES, PVC SERIE R, DN 100 X 100 MM, PARA ESGOTO PREDIAL</v>
          </cell>
          <cell r="C2728" t="str">
            <v xml:space="preserve">UN    </v>
          </cell>
          <cell r="D2728">
            <v>42.06</v>
          </cell>
        </row>
        <row r="2729">
          <cell r="A2729">
            <v>20143</v>
          </cell>
          <cell r="B2729" t="str">
            <v>JUNCAO SIMPLES, PVC SERIE R, DN 100 X 75 MM, PARA ESGOTO PREDIAL</v>
          </cell>
          <cell r="C2729" t="str">
            <v xml:space="preserve">UN    </v>
          </cell>
          <cell r="D2729">
            <v>39.28</v>
          </cell>
        </row>
        <row r="2730">
          <cell r="A2730">
            <v>20145</v>
          </cell>
          <cell r="B2730" t="str">
            <v>JUNCAO SIMPLES, PVC SERIE R, DN 150 X 100 MM, PARA ESGOTO PREDIAL</v>
          </cell>
          <cell r="C2730" t="str">
            <v xml:space="preserve">UN    </v>
          </cell>
          <cell r="D2730">
            <v>111.49</v>
          </cell>
        </row>
        <row r="2731">
          <cell r="A2731">
            <v>20146</v>
          </cell>
          <cell r="B2731" t="str">
            <v>JUNCAO SIMPLES, PVC SERIE R, DN 150 X 150 MM, PARA ESGOTO PREDIAL</v>
          </cell>
          <cell r="C2731" t="str">
            <v xml:space="preserve">UN    </v>
          </cell>
          <cell r="D2731">
            <v>125.72</v>
          </cell>
        </row>
        <row r="2732">
          <cell r="A2732">
            <v>20140</v>
          </cell>
          <cell r="B2732" t="str">
            <v>JUNCAO SIMPLES, PVC SERIE R, DN 40 X 40 MM, PARA ESGOTO PREDIAL</v>
          </cell>
          <cell r="C2732" t="str">
            <v xml:space="preserve">UN    </v>
          </cell>
          <cell r="D2732">
            <v>5</v>
          </cell>
        </row>
        <row r="2733">
          <cell r="A2733">
            <v>20141</v>
          </cell>
          <cell r="B2733" t="str">
            <v>JUNCAO SIMPLES, PVC SERIE R, DN 50 X 50 MM, PARA ESGOTO PREDIAL</v>
          </cell>
          <cell r="C2733" t="str">
            <v xml:space="preserve">UN    </v>
          </cell>
          <cell r="D2733">
            <v>8.7799999999999994</v>
          </cell>
        </row>
        <row r="2734">
          <cell r="A2734">
            <v>20142</v>
          </cell>
          <cell r="B2734" t="str">
            <v>JUNCAO SIMPLES, PVC SERIE R, DN 75 X 75 MM, PARA ESGOTO PREDIAL</v>
          </cell>
          <cell r="C2734" t="str">
            <v xml:space="preserve">UN    </v>
          </cell>
          <cell r="D2734">
            <v>26.88</v>
          </cell>
        </row>
        <row r="2735">
          <cell r="A2735">
            <v>3659</v>
          </cell>
          <cell r="B2735" t="str">
            <v>JUNCAO SIMPLES, PVC, DN 100 X 50 MM, SERIE NORMAL PARA ESGOTO PREDIAL</v>
          </cell>
          <cell r="C2735" t="str">
            <v xml:space="preserve">UN    </v>
          </cell>
          <cell r="D2735">
            <v>11.66</v>
          </cell>
        </row>
        <row r="2736">
          <cell r="A2736">
            <v>3660</v>
          </cell>
          <cell r="B2736" t="str">
            <v>JUNCAO SIMPLES, PVC, DN 100 X 75 MM, SERIE NORMAL PARA ESGOTO PREDIAL</v>
          </cell>
          <cell r="C2736" t="str">
            <v xml:space="preserve">UN    </v>
          </cell>
          <cell r="D2736">
            <v>16.809999999999999</v>
          </cell>
        </row>
        <row r="2737">
          <cell r="A2737">
            <v>3662</v>
          </cell>
          <cell r="B2737" t="str">
            <v>JUNCAO SIMPLES, PVC, DN 50 X 50 MM, SERIE NORMAL PARA ESGOTO PREDIAL</v>
          </cell>
          <cell r="C2737" t="str">
            <v xml:space="preserve">UN    </v>
          </cell>
          <cell r="D2737">
            <v>6.35</v>
          </cell>
        </row>
        <row r="2738">
          <cell r="A2738">
            <v>3661</v>
          </cell>
          <cell r="B2738" t="str">
            <v>JUNCAO SIMPLES, PVC, DN 75 X 50 MM, SERIE NORMAL PARA ESGOTO PREDIAL</v>
          </cell>
          <cell r="C2738" t="str">
            <v xml:space="preserve">UN    </v>
          </cell>
          <cell r="D2738">
            <v>9.34</v>
          </cell>
        </row>
        <row r="2739">
          <cell r="A2739">
            <v>3658</v>
          </cell>
          <cell r="B2739" t="str">
            <v>JUNCAO SIMPLES, PVC, DN 75 X 75 MM, SERIE NORMAL PARA ESGOTO PREDIAL</v>
          </cell>
          <cell r="C2739" t="str">
            <v xml:space="preserve">UN    </v>
          </cell>
          <cell r="D2739">
            <v>11.89</v>
          </cell>
        </row>
        <row r="2740">
          <cell r="A2740">
            <v>3670</v>
          </cell>
          <cell r="B2740" t="str">
            <v>JUNCAO SIMPLES, PVC, 45 GRAUS, DN 100 X 100 MM, SERIE NORMAL PARA ESGOTO PREDIAL</v>
          </cell>
          <cell r="C2740" t="str">
            <v xml:space="preserve">UN    </v>
          </cell>
          <cell r="D2740">
            <v>15.51</v>
          </cell>
        </row>
        <row r="2741">
          <cell r="A2741">
            <v>3666</v>
          </cell>
          <cell r="B2741" t="str">
            <v>JUNCAO SIMPLES, PVC, 45 GRAUS, DN 40 X 40 MM, SERIE NORMAL PARA ESGOTO PREDIAL</v>
          </cell>
          <cell r="C2741" t="str">
            <v xml:space="preserve">UN    </v>
          </cell>
          <cell r="D2741">
            <v>2.63</v>
          </cell>
        </row>
        <row r="2742">
          <cell r="A2742">
            <v>14157</v>
          </cell>
          <cell r="B2742" t="str">
            <v>JUNCAO 2 GARRAS PARA FITA PERFURADA</v>
          </cell>
          <cell r="C2742" t="str">
            <v xml:space="preserve">UN    </v>
          </cell>
          <cell r="D2742">
            <v>1.07</v>
          </cell>
        </row>
        <row r="2743">
          <cell r="A2743">
            <v>3653</v>
          </cell>
          <cell r="B2743" t="str">
            <v>JUNCAO, PVC, 45 GRAUS, JE, BBB, DN 100 MM, PARA REDE COLETORA DE ESGOTO (NBR 10569)</v>
          </cell>
          <cell r="C2743" t="str">
            <v xml:space="preserve">UN    </v>
          </cell>
          <cell r="D2743">
            <v>53.9</v>
          </cell>
        </row>
        <row r="2744">
          <cell r="A2744">
            <v>3649</v>
          </cell>
          <cell r="B2744" t="str">
            <v>JUNCAO, PVC, 45 GRAUS, JE, BBB, DN 150 MM, PARA REDE COLETORA DE ESGOTO (NBR 10569)</v>
          </cell>
          <cell r="C2744" t="str">
            <v xml:space="preserve">UN    </v>
          </cell>
          <cell r="D2744">
            <v>111.64</v>
          </cell>
        </row>
        <row r="2745">
          <cell r="A2745">
            <v>42696</v>
          </cell>
          <cell r="B2745" t="str">
            <v>JUNCAO, PVC, 45 GRAUS, JE, BBB, DN 150 MM, PARA TUBO CORRUGADO E/OU LISO, REDE COLETORA DE ESGOTO (NBR 10569)</v>
          </cell>
          <cell r="C2745" t="str">
            <v xml:space="preserve">UN    </v>
          </cell>
          <cell r="D2745">
            <v>312.37</v>
          </cell>
        </row>
        <row r="2746">
          <cell r="A2746">
            <v>42697</v>
          </cell>
          <cell r="B2746" t="str">
            <v>JUNCAO, PVC, 45 GRAUS, JE, BBB, DN 200 MM, PARA TUBO CORRUGADO E/OU LISO, REDE COLETORA DE ESGOTO (NBR 10569)</v>
          </cell>
          <cell r="C2746" t="str">
            <v xml:space="preserve">UN    </v>
          </cell>
          <cell r="D2746">
            <v>470.44</v>
          </cell>
        </row>
        <row r="2747">
          <cell r="A2747">
            <v>42698</v>
          </cell>
          <cell r="B2747" t="str">
            <v>JUNCAO, PVC, 45 GRAUS, JE, BBB, DN 250 MM, PARA TUBO CORRUGADO E/OU LISO, REDE COLETORA DE ESGOTO (NBR 10569)</v>
          </cell>
          <cell r="C2747" t="str">
            <v xml:space="preserve">UN    </v>
          </cell>
          <cell r="D2747">
            <v>655.30999999999995</v>
          </cell>
        </row>
        <row r="2748">
          <cell r="A2748">
            <v>39875</v>
          </cell>
          <cell r="B2748" t="str">
            <v>JUNTA DE EXPANSAO BRONZE/LATAO (REF 900), PONTA X PONTA, 35 MM</v>
          </cell>
          <cell r="C2748" t="str">
            <v xml:space="preserve">UN    </v>
          </cell>
          <cell r="D2748">
            <v>435.05</v>
          </cell>
        </row>
        <row r="2749">
          <cell r="A2749">
            <v>39876</v>
          </cell>
          <cell r="B2749" t="str">
            <v>JUNTA DE EXPANSAO BRONZE/LATAO (REF 900), PONTA X PONTA, 42 MM</v>
          </cell>
          <cell r="C2749" t="str">
            <v xml:space="preserve">UN    </v>
          </cell>
          <cell r="D2749">
            <v>544.69000000000005</v>
          </cell>
        </row>
        <row r="2750">
          <cell r="A2750">
            <v>39877</v>
          </cell>
          <cell r="B2750" t="str">
            <v>JUNTA DE EXPANSAO BRONZE/LATAO (REF 900), PONTA X PONTA, 54 MM</v>
          </cell>
          <cell r="C2750" t="str">
            <v xml:space="preserve">UN    </v>
          </cell>
          <cell r="D2750">
            <v>755.46</v>
          </cell>
        </row>
        <row r="2751">
          <cell r="A2751">
            <v>39878</v>
          </cell>
          <cell r="B2751" t="str">
            <v>JUNTA DE EXPANSAO BRONZE/LATAO (REF 900), PONTA X PONTA, 66 MM</v>
          </cell>
          <cell r="C2751" t="str">
            <v xml:space="preserve">UN    </v>
          </cell>
          <cell r="D2751">
            <v>997.84</v>
          </cell>
        </row>
        <row r="2752">
          <cell r="A2752">
            <v>39872</v>
          </cell>
          <cell r="B2752" t="str">
            <v>JUNTA DE EXPANSAO DE COBRE (REF 900), PONTA X PONTA, 15 MM</v>
          </cell>
          <cell r="C2752" t="str">
            <v xml:space="preserve">UN    </v>
          </cell>
          <cell r="D2752">
            <v>298.35000000000002</v>
          </cell>
        </row>
        <row r="2753">
          <cell r="A2753">
            <v>39873</v>
          </cell>
          <cell r="B2753" t="str">
            <v>JUNTA DE EXPANSAO DE COBRE (REF 900), PONTA X PONTA, 22 MM</v>
          </cell>
          <cell r="C2753" t="str">
            <v xml:space="preserve">UN    </v>
          </cell>
          <cell r="D2753">
            <v>346.07</v>
          </cell>
        </row>
        <row r="2754">
          <cell r="A2754">
            <v>39874</v>
          </cell>
          <cell r="B2754" t="str">
            <v>JUNTA DE EXPANSAO DE COBRE (REF 900), PONTA X PONTA, 28 MM</v>
          </cell>
          <cell r="C2754" t="str">
            <v xml:space="preserve">UN    </v>
          </cell>
          <cell r="D2754">
            <v>380.11</v>
          </cell>
        </row>
        <row r="2755">
          <cell r="A2755">
            <v>3674</v>
          </cell>
          <cell r="B2755" t="str">
            <v>JUNTA DILATACAO ELASTICA PARA CONCRETO (FUGENBAND) O-12, ATE 5 MCA</v>
          </cell>
          <cell r="C2755" t="str">
            <v xml:space="preserve">M     </v>
          </cell>
          <cell r="D2755">
            <v>59.04</v>
          </cell>
        </row>
        <row r="2756">
          <cell r="A2756">
            <v>3681</v>
          </cell>
          <cell r="B2756" t="str">
            <v>JUNTA DILATACAO ELASTICA PARA CONCRETO (FUGENBAND) O-22, ATE 30 MCA</v>
          </cell>
          <cell r="C2756" t="str">
            <v xml:space="preserve">M     </v>
          </cell>
          <cell r="D2756">
            <v>87.85</v>
          </cell>
        </row>
        <row r="2757">
          <cell r="A2757">
            <v>3676</v>
          </cell>
          <cell r="B2757" t="str">
            <v>JUNTA DILATACAO ELASTICA PARA CONCRETO (FUGENBAND) O-35/10, ATE 100 MCA</v>
          </cell>
          <cell r="C2757" t="str">
            <v xml:space="preserve">M     </v>
          </cell>
          <cell r="D2757">
            <v>330.62</v>
          </cell>
        </row>
        <row r="2758">
          <cell r="A2758">
            <v>3679</v>
          </cell>
          <cell r="B2758" t="str">
            <v>JUNTA DILATACAO ELASTICA PARA CONCRETO (FUGENBAND) O-35/6, ATE 100 MCA</v>
          </cell>
          <cell r="C2758" t="str">
            <v xml:space="preserve">M     </v>
          </cell>
          <cell r="D2758">
            <v>273.52999999999997</v>
          </cell>
        </row>
        <row r="2759">
          <cell r="A2759">
            <v>3672</v>
          </cell>
          <cell r="B2759" t="str">
            <v>JUNTA PLASTICA DE DILATACAO PARA PISOS, COR CINZA, 10 X 4,5 MM (ALTURA X ESPESSURA)</v>
          </cell>
          <cell r="C2759" t="str">
            <v xml:space="preserve">M     </v>
          </cell>
          <cell r="D2759">
            <v>0.93</v>
          </cell>
        </row>
        <row r="2760">
          <cell r="A2760">
            <v>3671</v>
          </cell>
          <cell r="B2760" t="str">
            <v>JUNTA PLASTICA DE DILATACAO PARA PISOS, COR CINZA, 17 X 3 MM (ALTURA X ESPESSURA)</v>
          </cell>
          <cell r="C2760" t="str">
            <v xml:space="preserve">M     </v>
          </cell>
          <cell r="D2760">
            <v>0.88</v>
          </cell>
        </row>
        <row r="2761">
          <cell r="A2761">
            <v>3673</v>
          </cell>
          <cell r="B2761" t="str">
            <v>JUNTA PLASTICA DE DILATACAO PARA PISOS, COR CINZA, 27 X 3 MM (ALTURA X ESPESSURA)</v>
          </cell>
          <cell r="C2761" t="str">
            <v xml:space="preserve">M     </v>
          </cell>
          <cell r="D2761">
            <v>1.38</v>
          </cell>
        </row>
        <row r="2762">
          <cell r="A2762">
            <v>38394</v>
          </cell>
          <cell r="B2762" t="str">
            <v>KIT ACESSORIOS PARA COMPRESSOR DE AR, 5 PECAS (PISTOLAS PINTURA, LIMPEZA E PULVERIZACAO, CALIBRADOR E MANGUEIRA)</v>
          </cell>
          <cell r="C2762" t="str">
            <v xml:space="preserve">UN    </v>
          </cell>
          <cell r="D2762">
            <v>293.05</v>
          </cell>
        </row>
        <row r="2763">
          <cell r="A2763">
            <v>3729</v>
          </cell>
          <cell r="B2763" t="str">
            <v>KIT CAVALETE, PVC, COM REGISTRO, PARA HIDROMETRO, BITOLAS 1/2" OU 3/4" - COMPLETO</v>
          </cell>
          <cell r="C2763" t="str">
            <v xml:space="preserve">UN    </v>
          </cell>
          <cell r="D2763">
            <v>58.87</v>
          </cell>
        </row>
        <row r="2764">
          <cell r="A2764">
            <v>39357</v>
          </cell>
          <cell r="B2764"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64" t="str">
            <v xml:space="preserve">UN    </v>
          </cell>
          <cell r="D2764">
            <v>92.5</v>
          </cell>
        </row>
        <row r="2765">
          <cell r="A2765">
            <v>39358</v>
          </cell>
          <cell r="B2765"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65" t="str">
            <v xml:space="preserve">UN    </v>
          </cell>
          <cell r="D2765">
            <v>101.43</v>
          </cell>
        </row>
        <row r="2766">
          <cell r="A2766">
            <v>39356</v>
          </cell>
          <cell r="B2766"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66" t="str">
            <v xml:space="preserve">UN    </v>
          </cell>
          <cell r="D2766">
            <v>173.05</v>
          </cell>
        </row>
        <row r="2767">
          <cell r="A2767">
            <v>39355</v>
          </cell>
          <cell r="B276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67" t="str">
            <v xml:space="preserve">UN    </v>
          </cell>
          <cell r="D2767">
            <v>148.91</v>
          </cell>
        </row>
        <row r="2768">
          <cell r="A2768">
            <v>39353</v>
          </cell>
          <cell r="B2768"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68" t="str">
            <v xml:space="preserve">UN    </v>
          </cell>
          <cell r="D2768">
            <v>204.21</v>
          </cell>
        </row>
        <row r="2769">
          <cell r="A2769">
            <v>39354</v>
          </cell>
          <cell r="B2769"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69" t="str">
            <v xml:space="preserve">UN    </v>
          </cell>
          <cell r="D2769">
            <v>203.53</v>
          </cell>
        </row>
        <row r="2770">
          <cell r="A2770">
            <v>39398</v>
          </cell>
          <cell r="B2770" t="str">
            <v>KIT DE ACESSORIOS PARA BANHEIRO EM METAL CROMADO, 5 PECAS</v>
          </cell>
          <cell r="C2770" t="str">
            <v xml:space="preserve">UN    </v>
          </cell>
          <cell r="D2770">
            <v>59.52</v>
          </cell>
        </row>
        <row r="2771">
          <cell r="A2771">
            <v>13343</v>
          </cell>
          <cell r="B2771" t="str">
            <v>KIT DE MATERIAIS PARA BRACADEIRA PARA FIXACAO EM POSTE CIRCULAR, CONTEM TRES FIXADORES E UM ROLO DE FITA DE 3 M EM ACO CARBONO</v>
          </cell>
          <cell r="C2771" t="str">
            <v xml:space="preserve">UN    </v>
          </cell>
          <cell r="D2771">
            <v>30.91</v>
          </cell>
        </row>
        <row r="2772">
          <cell r="A2772">
            <v>12118</v>
          </cell>
          <cell r="B2772" t="str">
            <v>KIT DE PROTECAO ARSTOP PARA AR CONDICIONADO, TOMADA PADRAO 2P+T 20 A, COM DISJUNTOR UNIPOLAR DIN 20A</v>
          </cell>
          <cell r="C2772" t="str">
            <v xml:space="preserve">UN    </v>
          </cell>
          <cell r="D2772">
            <v>13.56</v>
          </cell>
        </row>
        <row r="2773">
          <cell r="A2773">
            <v>39482</v>
          </cell>
          <cell r="B2773" t="str">
            <v>KIT PORTA PRONTA DE MADEIRA, FOLHA LEVE (NBR 15930) DE 60 X 210 CM, E = *35* MM, COM MARCO EM ACO, NUCLEO COLMEIA, CAPA LISA EM HDF, ACABAMENTO MELAMINICO BRANCO (INCLUI MARCO, ALIZARES, DOBRADICAS E FECHADURA)</v>
          </cell>
          <cell r="C2773" t="str">
            <v xml:space="preserve">UN    </v>
          </cell>
          <cell r="D2773">
            <v>471.94</v>
          </cell>
        </row>
        <row r="2774">
          <cell r="A2774">
            <v>39486</v>
          </cell>
          <cell r="B2774" t="str">
            <v>KIT PORTA PRONTA DE MADEIRA, FOLHA LEVE (NBR 15930) DE 60 X 210 CM, E = 35 MM, NUCLEO COLMEIA, ESTRUTURA USINADA PARA FECHADURA, CAPA LISA EM HDF, ACABAMENTO EM PRIMER PARA PINTURA (INCLUI MARCO, ALIZARES E DOBRADICAS)</v>
          </cell>
          <cell r="C2774" t="str">
            <v xml:space="preserve">UN    </v>
          </cell>
          <cell r="D2774">
            <v>415.79</v>
          </cell>
        </row>
        <row r="2775">
          <cell r="A2775">
            <v>39483</v>
          </cell>
          <cell r="B2775" t="str">
            <v>KIT PORTA PRONTA DE MADEIRA, FOLHA LEVE (NBR 15930) DE 70 X 210 CM, E = *35* MM, COM MARCO EM ACO, NUCLEO COLMEIA, CAPA LISA EM HDF, ACABAMENTO MELAMINICO BRANCO (INCLUI MARCO, ALIZARES, DOBRADICAS E FECHADURA)</v>
          </cell>
          <cell r="C2775" t="str">
            <v xml:space="preserve">UN    </v>
          </cell>
          <cell r="D2775">
            <v>450.12</v>
          </cell>
        </row>
        <row r="2776">
          <cell r="A2776">
            <v>39487</v>
          </cell>
          <cell r="B2776" t="str">
            <v>KIT PORTA PRONTA DE MADEIRA, FOLHA LEVE (NBR 15930) DE 70 X 210 CM, E = 35 MM, NUCLEO COLMEIA, ESTRUTURA USINADA PARA FECHADURA, CAPA LISA EM HDF, ACABAMENTO EM PRIMER PARA PINTURA (INCLUI MARCO, ALIZARES E DOBRADICAS)</v>
          </cell>
          <cell r="C2776" t="str">
            <v xml:space="preserve">UN    </v>
          </cell>
          <cell r="D2776">
            <v>420.09</v>
          </cell>
        </row>
        <row r="2777">
          <cell r="A2777">
            <v>39484</v>
          </cell>
          <cell r="B2777" t="str">
            <v>KIT PORTA PRONTA DE MADEIRA, FOLHA LEVE (NBR 15930) DE 80 X 210 CM, E = *35* MM, COM MARCO EM ACO, NUCLEO COLMEIA, CAPA LISA EM HDF, ACABAMENTO MELAMINICO BRANCO (INCLUI MARCO, ALIZARES, DOBRADICAS E FECHADURA)</v>
          </cell>
          <cell r="C2777" t="str">
            <v xml:space="preserve">UN    </v>
          </cell>
          <cell r="D2777">
            <v>454.41</v>
          </cell>
        </row>
        <row r="2778">
          <cell r="A2778">
            <v>39488</v>
          </cell>
          <cell r="B2778" t="str">
            <v>KIT PORTA PRONTA DE MADEIRA, FOLHA LEVE (NBR 15930) DE 80 X 210 CM, E = 35 MM, NUCLEO COLMEIA, ESTRUTURA USINADA PARA FECHADURA, CAPA LISA EM HDF, ACABAMENTO EM PRIMER PARA PINTURA (INCLUI MARCO, ALIZARES E DOBRADICAS)</v>
          </cell>
          <cell r="C2778" t="str">
            <v xml:space="preserve">UN    </v>
          </cell>
          <cell r="D2778">
            <v>424.38</v>
          </cell>
        </row>
        <row r="2779">
          <cell r="A2779">
            <v>39485</v>
          </cell>
          <cell r="B2779" t="str">
            <v>KIT PORTA PRONTA DE MADEIRA, FOLHA LEVE (NBR 15930) DE 90 X 210 CM, E = *35* MM, COM MARCO EM ACO, NUCLEO COLMEIA, CAPA LISA EM HDF, ACABAMENTO MELAMINICO BRANCO (INCLUI MARCO, ALIZARES, DOBRADICAS E FECHADURA)</v>
          </cell>
          <cell r="C2779" t="str">
            <v xml:space="preserve">UN    </v>
          </cell>
          <cell r="D2779">
            <v>475.89</v>
          </cell>
        </row>
        <row r="2780">
          <cell r="A2780">
            <v>39489</v>
          </cell>
          <cell r="B2780" t="str">
            <v>KIT PORTA PRONTA DE MADEIRA, FOLHA LEVE (NBR 15930) DE 90 X 210 CM, E = 35 MM, NUCLEO COLMEIA, ESTRUTURA USINADA PARA FECHADURA, CAPA LISA EM HDF, ACABAMENTO EM PRIMER PARA PINTURA (INCLUI MARCO, ALIZARES E DOBRADICAS)</v>
          </cell>
          <cell r="C2780" t="str">
            <v xml:space="preserve">UN    </v>
          </cell>
          <cell r="D2780">
            <v>445.85</v>
          </cell>
        </row>
        <row r="2781">
          <cell r="A2781">
            <v>39494</v>
          </cell>
          <cell r="B2781" t="str">
            <v>KIT PORTA PRONTA DE MADEIRA, FOLHA MEDIA (NBR 15930) DE 60 X 210 CM, E = 35 MM, NUCLEO SARRAFEADO, ESTRUTURA USINADA PARA FECHADURA, CAPA LISA EM HDF, ACABAMENTO EM PRIMER PARA PINTURA (INCLUI MARCO, ALIZARES E DOBRADICAS)</v>
          </cell>
          <cell r="C2781" t="str">
            <v xml:space="preserve">UN    </v>
          </cell>
          <cell r="D2781">
            <v>454.78</v>
          </cell>
        </row>
        <row r="2782">
          <cell r="A2782">
            <v>39490</v>
          </cell>
          <cell r="B2782" t="str">
            <v>KIT PORTA PRONTA DE MADEIRA, FOLHA MEDIA (NBR 15930) DE 60 X 210 CM, E = 35 MM, NUCLEO SARRAFEADO, ESTRUTURA USINADA PARA FECHADURA, CAPA LISA EM HDF, ACABAMENTO MELAMINICO BRANCO (INCLUI MARCO, ALIZARES E DOBRADICAS)</v>
          </cell>
          <cell r="C2782" t="str">
            <v xml:space="preserve">UN    </v>
          </cell>
          <cell r="D2782">
            <v>515.53</v>
          </cell>
        </row>
        <row r="2783">
          <cell r="A2783">
            <v>39495</v>
          </cell>
          <cell r="B2783" t="str">
            <v>KIT PORTA PRONTA DE MADEIRA, FOLHA MEDIA (NBR 15930) DE 70 X 210 CM, E = 35 MM, NUCLEO SARRAFEADO, ESTRUTURA USINADA PARA FECHADURA, CAPA LISA EM HDF, ACABAMENTO EM PRIMER PARA PINTURA (INCLUI MARCO, ALIZARES E DOBRADICAS)</v>
          </cell>
          <cell r="C2783" t="str">
            <v xml:space="preserve">UN    </v>
          </cell>
          <cell r="D2783">
            <v>471.94</v>
          </cell>
        </row>
        <row r="2784">
          <cell r="A2784">
            <v>39491</v>
          </cell>
          <cell r="B2784" t="str">
            <v>KIT PORTA PRONTA DE MADEIRA, FOLHA MEDIA (NBR 15930) DE 70 X 210 CM, E = 35 MM, NUCLEO SARRAFEADO, ESTRUTURA USINADA PARA FECHADURA, CAPA LISA EM HDF, ACABAMENTO MELAMINICO BRANCO (INCLUI MARCO, ALIZARES E DOBRADICAS)</v>
          </cell>
          <cell r="C2784" t="str">
            <v xml:space="preserve">UN    </v>
          </cell>
          <cell r="D2784">
            <v>532</v>
          </cell>
        </row>
        <row r="2785">
          <cell r="A2785">
            <v>39496</v>
          </cell>
          <cell r="B2785" t="str">
            <v>KIT PORTA PRONTA DE MADEIRA, FOLHA MEDIA (NBR 15930) DE 80 X 210 CM, E = 35 MM, NUCLEO SARRAFEADO, ESTRUTURA USINADA PARA FECHADURA, CAPA LISA EM HDF, ACABAMENTO EM PRIMER PARA PINTURA (INCLUI MARCO, ALIZARES E DOBRADICAS)</v>
          </cell>
          <cell r="C2785" t="str">
            <v xml:space="preserve">UN    </v>
          </cell>
          <cell r="D2785">
            <v>488.93</v>
          </cell>
        </row>
        <row r="2786">
          <cell r="A2786">
            <v>39492</v>
          </cell>
          <cell r="B2786" t="str">
            <v>KIT PORTA PRONTA DE MADEIRA, FOLHA MEDIA (NBR 15930) DE 80 X 210 CM, E = 35 MM, NUCLEO SARRAFEADO, ESTRUTURA USINADA PARA FECHADURA, CAPA LISA EM HDF, ACABAMENTO MELAMINICO BRANCO (INCLUI MARCO, ALIZARES E DOBRADICAS)</v>
          </cell>
          <cell r="C2786" t="str">
            <v xml:space="preserve">UN    </v>
          </cell>
          <cell r="D2786">
            <v>535.27</v>
          </cell>
        </row>
        <row r="2787">
          <cell r="A2787">
            <v>39497</v>
          </cell>
          <cell r="B2787" t="str">
            <v>KIT PORTA PRONTA DE MADEIRA, FOLHA MEDIA (NBR 15930) DE 90 X 210 CM, E = 35 MM, NUCLEO SARRAFEADO, ESTRUTURA USINADA PARA FECHADURA, CAPA LISA EM HDF, ACABAMENTO EM PRIMER PARA PINTURA (INCLUI MARCO, ALIZARES E DOBRADICAS)</v>
          </cell>
          <cell r="C2787" t="str">
            <v xml:space="preserve">UN    </v>
          </cell>
          <cell r="D2787">
            <v>506.09</v>
          </cell>
        </row>
        <row r="2788">
          <cell r="A2788">
            <v>39493</v>
          </cell>
          <cell r="B2788" t="str">
            <v>KIT PORTA PRONTA DE MADEIRA, FOLHA MEDIA (NBR 15930) DE 90 X 210 CM, E = 35 MM, NUCLEO SARRAFEADO, ESTRUTURA USINADA PARA FECHADURA, CAPA LISA EM HDF, ACABAMENTO MELAMINICO BRANCO (INCLUI MARCO, ALIZARES E DOBRADICAS)</v>
          </cell>
          <cell r="C2788" t="str">
            <v xml:space="preserve">UN    </v>
          </cell>
          <cell r="D2788">
            <v>566.33000000000004</v>
          </cell>
        </row>
        <row r="2789">
          <cell r="A2789">
            <v>39500</v>
          </cell>
          <cell r="B2789" t="str">
            <v>KIT PORTA PRONTA DE MADEIRA, FOLHA PESADA (NBR 15930) DE 80 X 210 CM, E = 35 MM, NUCLEO SOLIDO, CAPA LISA EM HDF, ACABAMENTO MELAMINICO BRANCO (INCLUI MARCO, ALIZARES, DOBRADICAS E FECHADURA EXTERNA)</v>
          </cell>
          <cell r="C2789" t="str">
            <v xml:space="preserve">UN    </v>
          </cell>
          <cell r="D2789">
            <v>568.17999999999995</v>
          </cell>
        </row>
        <row r="2790">
          <cell r="A2790">
            <v>39498</v>
          </cell>
          <cell r="B2790" t="str">
            <v>KIT PORTA PRONTA DE MADEIRA, FOLHA PESADA (NBR 15930) DE 80 X 210 CM, E = 35 MM, NUCLEO SOLIDO, ESTRUTURA USINADA PARA FECHADURA, CAPA LISA EM HDF, ACABAMENTO EM LAMINADO NATURAL COM VERNIZ (INCLUI MARCO, ALIZARES E DOBRADICAS)</v>
          </cell>
          <cell r="C2790" t="str">
            <v xml:space="preserve">UN    </v>
          </cell>
          <cell r="D2790">
            <v>631.79999999999995</v>
          </cell>
        </row>
        <row r="2791">
          <cell r="A2791">
            <v>39501</v>
          </cell>
          <cell r="B2791" t="str">
            <v>KIT PORTA PRONTA DE MADEIRA, FOLHA PESADA (NBR 15930) DE 90 X 210 CM, E = 35 MM, NUCLEO SOLIDO, CAPA LISA EM HDF, ACABAMENTO MELAMINICO BRANCO (INCLUI MARCO, ALIZARES, DOBRADICAS E FECHADURA EXTERNA)</v>
          </cell>
          <cell r="C2791" t="str">
            <v xml:space="preserve">UN    </v>
          </cell>
          <cell r="D2791">
            <v>582.97</v>
          </cell>
        </row>
        <row r="2792">
          <cell r="A2792">
            <v>39499</v>
          </cell>
          <cell r="B2792" t="str">
            <v>KIT PORTA PRONTA DE MADEIRA, FOLHA PESADA (NBR 15930) DE 90 X 210 CM, E = 35 MM, NUCLEO SOLIDO, ESTRUTURA USINADA PARA FECHADURA, CAPA LISA EM HDF, ACABAMENTO EM LAMINADO NATURAL COM VERNIZ (INCLUI MARCO, ALIZARES E DOBRADICAS)</v>
          </cell>
          <cell r="C2792" t="str">
            <v xml:space="preserve">UN    </v>
          </cell>
          <cell r="D2792">
            <v>685.39</v>
          </cell>
        </row>
        <row r="2793">
          <cell r="A2793">
            <v>3733</v>
          </cell>
          <cell r="B2793" t="str">
            <v>LADRILHO HIDRAULICO, *20 x 20* CM, E= 2 CM, PADRAO COPACABANA, 2 CORES (PRETO E BRANCO)</v>
          </cell>
          <cell r="C2793" t="str">
            <v xml:space="preserve">M2    </v>
          </cell>
          <cell r="D2793">
            <v>48.01</v>
          </cell>
        </row>
        <row r="2794">
          <cell r="A2794">
            <v>3731</v>
          </cell>
          <cell r="B2794" t="str">
            <v>LADRILHO HIDRAULICO, *20 X 20* CM, E= 2 CM, DADOS, COR NATURAL</v>
          </cell>
          <cell r="C2794" t="str">
            <v xml:space="preserve">M2    </v>
          </cell>
          <cell r="D2794">
            <v>44.57</v>
          </cell>
        </row>
        <row r="2795">
          <cell r="A2795">
            <v>38137</v>
          </cell>
          <cell r="B2795" t="str">
            <v>LADRILHO HIDRAULICO, *20 X 20* CM, E= 2 CM, RAMPA, NATURAL</v>
          </cell>
          <cell r="C2795" t="str">
            <v xml:space="preserve">M2    </v>
          </cell>
          <cell r="D2795">
            <v>44.83</v>
          </cell>
        </row>
        <row r="2796">
          <cell r="A2796">
            <v>38135</v>
          </cell>
          <cell r="B2796" t="str">
            <v>LADRILHO HIDRAULICO, *20 X 20* CM, E= 2 CM, TATIL ALERTA OU DIRECIONAL, AMARELO</v>
          </cell>
          <cell r="C2796" t="str">
            <v xml:space="preserve">M2    </v>
          </cell>
          <cell r="D2796">
            <v>56.83</v>
          </cell>
        </row>
        <row r="2797">
          <cell r="A2797">
            <v>38138</v>
          </cell>
          <cell r="B2797" t="str">
            <v>LADRILHO HIDRAULICO, *30 X 30* CM, E= 2 CM, MILANO, NATURAL</v>
          </cell>
          <cell r="C2797" t="str">
            <v xml:space="preserve">M2    </v>
          </cell>
          <cell r="D2797">
            <v>44.02</v>
          </cell>
        </row>
        <row r="2798">
          <cell r="A2798">
            <v>3736</v>
          </cell>
          <cell r="B2798" t="str">
            <v>LAJE PRE-MOLDADA CONVENCIONAL (LAJOTAS + VIGOTAS) PARA FORRO, UNIDIRECIONAL, SOBRECARGA DE 100 KG/M2, VAO ATE 4,00 M (SEM COLOCACAO)</v>
          </cell>
          <cell r="C2798" t="str">
            <v xml:space="preserve">M2    </v>
          </cell>
          <cell r="D2798">
            <v>37.28</v>
          </cell>
        </row>
        <row r="2799">
          <cell r="A2799">
            <v>3741</v>
          </cell>
          <cell r="B2799" t="str">
            <v>LAJE PRE-MOLDADA CONVENCIONAL (LAJOTAS + VIGOTAS) PARA FORRO, UNIDIRECIONAL, SOBRECARGA DE 100 KG/M2, VAO ATE 4,50 M (SEM COLOCACAO)</v>
          </cell>
          <cell r="C2799" t="str">
            <v xml:space="preserve">M2    </v>
          </cell>
          <cell r="D2799">
            <v>38.86</v>
          </cell>
        </row>
        <row r="2800">
          <cell r="A2800">
            <v>3745</v>
          </cell>
          <cell r="B2800" t="str">
            <v>LAJE PRE-MOLDADA CONVENCIONAL (LAJOTAS + VIGOTAS) PARA FORRO, UNIDIRECIONAL, SOBRECARGA 100 KG/M2, VAO ATE 5,00 M (SEM COLOCACAO)</v>
          </cell>
          <cell r="C2800" t="str">
            <v xml:space="preserve">M2    </v>
          </cell>
          <cell r="D2800">
            <v>41.9</v>
          </cell>
        </row>
        <row r="2801">
          <cell r="A2801">
            <v>3743</v>
          </cell>
          <cell r="B2801" t="str">
            <v>LAJE PRE-MOLDADA CONVENCIONAL (LAJOTAS + VIGOTAS) PARA PISO, UNIDIRECIONAL, SOBRECARGA DE 200 KG/M2, VAO ATE 3,50 M (SEM COLOCACAO)</v>
          </cell>
          <cell r="C2801" t="str">
            <v xml:space="preserve">M2    </v>
          </cell>
          <cell r="D2801">
            <v>38.72</v>
          </cell>
        </row>
        <row r="2802">
          <cell r="A2802">
            <v>3744</v>
          </cell>
          <cell r="B2802" t="str">
            <v>LAJE PRE-MOLDADA CONVENCIONAL (LAJOTAS + VIGOTAS) PARA PISO, UNIDIRECIONAL, SOBRECARGA DE 200 KG/M2, VAO ATE 4,50 M (SEM COLOCACAO)</v>
          </cell>
          <cell r="C2802" t="str">
            <v xml:space="preserve">M2    </v>
          </cell>
          <cell r="D2802">
            <v>42.62</v>
          </cell>
        </row>
        <row r="2803">
          <cell r="A2803">
            <v>3739</v>
          </cell>
          <cell r="B2803" t="str">
            <v>LAJE PRE-MOLDADA CONVENCIONAL (LAJOTAS + VIGOTAS) PARA PISO, UNIDIRECIONAL, SOBRECARGA DE 200 KG/M2, VAO ATE 5,00 M (SEM COLOCACAO)</v>
          </cell>
          <cell r="C2803" t="str">
            <v xml:space="preserve">M2    </v>
          </cell>
          <cell r="D2803">
            <v>44.79</v>
          </cell>
        </row>
        <row r="2804">
          <cell r="A2804">
            <v>3737</v>
          </cell>
          <cell r="B2804" t="str">
            <v>LAJE PRE-MOLDADA CONVENCIONAL (LAJOTAS + VIGOTAS) PARA PISO, UNIDIRECIONAL, SOBRECARGA DE 350 KG/M2, VAO ATE 4,50 M (SEM COLOCACAO)</v>
          </cell>
          <cell r="C2804" t="str">
            <v xml:space="preserve">M2    </v>
          </cell>
          <cell r="D2804">
            <v>46.96</v>
          </cell>
        </row>
        <row r="2805">
          <cell r="A2805">
            <v>3738</v>
          </cell>
          <cell r="B2805" t="str">
            <v>LAJE PRE-MOLDADA CONVENCIONAL (LAJOTAS + VIGOTAS) PARA PISO, UNIDIRECIONAL, SOBRECARGA DE 350 KG/M2, VAO ATE 5,00 M (SEM COLOCACAO)</v>
          </cell>
          <cell r="C2805" t="str">
            <v xml:space="preserve">M2    </v>
          </cell>
          <cell r="D2805">
            <v>54.18</v>
          </cell>
        </row>
        <row r="2806">
          <cell r="A2806">
            <v>3747</v>
          </cell>
          <cell r="B2806" t="str">
            <v>LAJE PRE-MOLDADA CONVENCIONAL (LAJOTAS + VIGOTAS) PARA PISO, UNIDIRECIONAL, SOBRECARGA 350 KG/M2 VAO ATE 3,50 M (SEM COLOCACAO)</v>
          </cell>
          <cell r="C2806" t="str">
            <v xml:space="preserve">M2    </v>
          </cell>
          <cell r="D2806">
            <v>42.62</v>
          </cell>
        </row>
        <row r="2807">
          <cell r="A2807">
            <v>11649</v>
          </cell>
          <cell r="B2807" t="str">
            <v>LAJE PRE-MOLDADA DE TRANSICAO EXCENTRICA EM CONCRETO ARMADO, DN 1200 MM, FURO CIRCULAR DN 600 MM, ESPESSURA 12 CM</v>
          </cell>
          <cell r="C2807" t="str">
            <v xml:space="preserve">UN    </v>
          </cell>
          <cell r="D2807">
            <v>309.22000000000003</v>
          </cell>
        </row>
        <row r="2808">
          <cell r="A2808">
            <v>11650</v>
          </cell>
          <cell r="B2808" t="str">
            <v>LAJE PRE-MOLDADA DE TRANSICAO EXCENTRICA EM CONCRETO ARMADO, DN 1500 MM, FURO CIRCULAR DN 530 MM, ESPESSURA 15 CM</v>
          </cell>
          <cell r="C2808" t="str">
            <v xml:space="preserve">UN    </v>
          </cell>
          <cell r="D2808">
            <v>527.04</v>
          </cell>
        </row>
        <row r="2809">
          <cell r="A2809">
            <v>3742</v>
          </cell>
          <cell r="B2809" t="str">
            <v>LAJE PRE-MOLDADA TRELICADA (LAJOTAS + VIGOTAS) PARA FORRO, UNIDIRECIONAL, SOBRECARGA DE 100 KG/M2, VAO ATE 6,00 M (SEM COLOCACAO)</v>
          </cell>
          <cell r="C2809" t="str">
            <v xml:space="preserve">M2    </v>
          </cell>
          <cell r="D2809">
            <v>56.2</v>
          </cell>
        </row>
        <row r="2810">
          <cell r="A2810">
            <v>3746</v>
          </cell>
          <cell r="B2810" t="str">
            <v>LAJE PRE-MOLDADA TRELICADA (LAJOTAS + VIGOTAS) PARA PISO, UNIDIRECIONAL, SOBRECARGA DE 200 KG/M2, VAO ATE 6,00 M (SEM COLOCACAO)</v>
          </cell>
          <cell r="C2810" t="str">
            <v xml:space="preserve">M2    </v>
          </cell>
          <cell r="D2810">
            <v>65.63</v>
          </cell>
        </row>
        <row r="2811">
          <cell r="A2811">
            <v>21106</v>
          </cell>
          <cell r="B2811" t="str">
            <v>LAMBRI EM ALUMINIO, DE APROXIMADAMENTE 0,6 KG/M, COM APROXIMADAMENTE 168,0 MM DE LARGURA, 6,0 MM DE ALTURA E 6,0 M DE EXTENSAO</v>
          </cell>
          <cell r="C2811" t="str">
            <v xml:space="preserve">KG    </v>
          </cell>
          <cell r="D2811">
            <v>26.52</v>
          </cell>
        </row>
        <row r="2812">
          <cell r="A2812">
            <v>3755</v>
          </cell>
          <cell r="B2812" t="str">
            <v>LAMPADA DE LUZ MISTA 160 W, BASE E27 (220 V)</v>
          </cell>
          <cell r="C2812" t="str">
            <v xml:space="preserve">UN    </v>
          </cell>
          <cell r="D2812">
            <v>15.25</v>
          </cell>
        </row>
        <row r="2813">
          <cell r="A2813">
            <v>3750</v>
          </cell>
          <cell r="B2813" t="str">
            <v>LAMPADA DE LUZ MISTA 250 W, BASE E27 (220 V)</v>
          </cell>
          <cell r="C2813" t="str">
            <v xml:space="preserve">UN    </v>
          </cell>
          <cell r="D2813">
            <v>20.51</v>
          </cell>
        </row>
        <row r="2814">
          <cell r="A2814">
            <v>3756</v>
          </cell>
          <cell r="B2814" t="str">
            <v>LAMPADA DE LUZ MISTA 500 W, BASE E40 (220 V)</v>
          </cell>
          <cell r="C2814" t="str">
            <v xml:space="preserve">UN    </v>
          </cell>
          <cell r="D2814">
            <v>38.33</v>
          </cell>
        </row>
        <row r="2815">
          <cell r="A2815">
            <v>39377</v>
          </cell>
          <cell r="B2815" t="str">
            <v>LAMPADA FLUORESCENTE COMPACTA BRANCA 135 W, BASE E40 (127/220 V)</v>
          </cell>
          <cell r="C2815" t="str">
            <v xml:space="preserve">UN    </v>
          </cell>
          <cell r="D2815">
            <v>113.55</v>
          </cell>
        </row>
        <row r="2816">
          <cell r="A2816">
            <v>38191</v>
          </cell>
          <cell r="B2816" t="str">
            <v>LAMPADA FLUORESCENTE COMPACTA 2U BRANCA 15 W, BASE E27 (127/220 V)</v>
          </cell>
          <cell r="C2816" t="str">
            <v xml:space="preserve">UN    </v>
          </cell>
          <cell r="D2816">
            <v>8.4499999999999993</v>
          </cell>
        </row>
        <row r="2817">
          <cell r="A2817">
            <v>39381</v>
          </cell>
          <cell r="B2817" t="str">
            <v>LAMPADA FLUORESCENTE COMPACTA 2U/3U BRANCA 9/10 W, BASE E27 (127/220 V)</v>
          </cell>
          <cell r="C2817" t="str">
            <v xml:space="preserve">UN    </v>
          </cell>
          <cell r="D2817">
            <v>7.88</v>
          </cell>
        </row>
        <row r="2818">
          <cell r="A2818">
            <v>38780</v>
          </cell>
          <cell r="B2818" t="str">
            <v>LAMPADA FLUORESCENTE COMPACTA 3U BRANCA 20 W, BASE E27 (127/220 V)</v>
          </cell>
          <cell r="C2818" t="str">
            <v xml:space="preserve">UN    </v>
          </cell>
          <cell r="D2818">
            <v>9.64</v>
          </cell>
        </row>
        <row r="2819">
          <cell r="A2819">
            <v>38781</v>
          </cell>
          <cell r="B2819" t="str">
            <v>LAMPADA FLUORESCENTE ESPIRAL BRANCA 45 W, BASE E27 (127/220 V)</v>
          </cell>
          <cell r="C2819" t="str">
            <v xml:space="preserve">UN    </v>
          </cell>
          <cell r="D2819">
            <v>32.57</v>
          </cell>
        </row>
        <row r="2820">
          <cell r="A2820">
            <v>38192</v>
          </cell>
          <cell r="B2820" t="str">
            <v>LAMPADA FLUORESCENTE ESPIRAL BRANCA 65 W, BASE E27 (127/220 V)</v>
          </cell>
          <cell r="C2820" t="str">
            <v xml:space="preserve">UN    </v>
          </cell>
          <cell r="D2820">
            <v>58.93</v>
          </cell>
        </row>
        <row r="2821">
          <cell r="A2821">
            <v>3753</v>
          </cell>
          <cell r="B2821" t="str">
            <v>LAMPADA FLUORESCENTE TUBULAR T10, DE 20 OU 40 W, BIVOLT</v>
          </cell>
          <cell r="C2821" t="str">
            <v xml:space="preserve">UN    </v>
          </cell>
          <cell r="D2821">
            <v>5.16</v>
          </cell>
        </row>
        <row r="2822">
          <cell r="A2822">
            <v>38782</v>
          </cell>
          <cell r="B2822" t="str">
            <v>LAMPADA FLUORESCENTE TUBULAR T5 DE 14 W, BIVOLT</v>
          </cell>
          <cell r="C2822" t="str">
            <v xml:space="preserve">UN    </v>
          </cell>
          <cell r="D2822">
            <v>6.71</v>
          </cell>
        </row>
        <row r="2823">
          <cell r="A2823">
            <v>38778</v>
          </cell>
          <cell r="B2823" t="str">
            <v>LAMPADA FLUORESCENTE TUBULAR T8 DE 16/18 W, BIVOLT</v>
          </cell>
          <cell r="C2823" t="str">
            <v xml:space="preserve">UN    </v>
          </cell>
          <cell r="D2823">
            <v>5.04</v>
          </cell>
        </row>
        <row r="2824">
          <cell r="A2824">
            <v>38779</v>
          </cell>
          <cell r="B2824" t="str">
            <v>LAMPADA FLUORESCENTE TUBULAR T8 DE 32/36 W, BIVOLT</v>
          </cell>
          <cell r="C2824" t="str">
            <v xml:space="preserve">UN    </v>
          </cell>
          <cell r="D2824">
            <v>5.34</v>
          </cell>
        </row>
        <row r="2825">
          <cell r="A2825">
            <v>39388</v>
          </cell>
          <cell r="B2825" t="str">
            <v>LAMPADA LED TIPO DICROICA BIVOLT, LUZ BRANCA, 5 W (BASE GU10)</v>
          </cell>
          <cell r="C2825" t="str">
            <v xml:space="preserve">UN    </v>
          </cell>
          <cell r="D2825">
            <v>8.59</v>
          </cell>
        </row>
        <row r="2826">
          <cell r="A2826">
            <v>39387</v>
          </cell>
          <cell r="B2826" t="str">
            <v>LAMPADA LED TUBULAR BIVOLT 18/20 W, BASE G13</v>
          </cell>
          <cell r="C2826" t="str">
            <v xml:space="preserve">UN    </v>
          </cell>
          <cell r="D2826">
            <v>13.4</v>
          </cell>
        </row>
        <row r="2827">
          <cell r="A2827">
            <v>39386</v>
          </cell>
          <cell r="B2827" t="str">
            <v>LAMPADA LED TUBULAR BIVOLT 9/10 W, BASE G13</v>
          </cell>
          <cell r="C2827" t="str">
            <v xml:space="preserve">UN    </v>
          </cell>
          <cell r="D2827">
            <v>9.34</v>
          </cell>
        </row>
        <row r="2828">
          <cell r="A2828">
            <v>38194</v>
          </cell>
          <cell r="B2828" t="str">
            <v>LAMPADA LED 10 W BIVOLT BRANCA, FORMATO TRADICIONAL (BASE E27)</v>
          </cell>
          <cell r="C2828" t="str">
            <v xml:space="preserve">UN    </v>
          </cell>
          <cell r="D2828">
            <v>6.99</v>
          </cell>
        </row>
        <row r="2829">
          <cell r="A2829">
            <v>38193</v>
          </cell>
          <cell r="B2829" t="str">
            <v>LAMPADA LED 6 W BIVOLT BRANCA, FORMATO TRADICIONAL (BASE E27)</v>
          </cell>
          <cell r="C2829" t="str">
            <v xml:space="preserve">UN    </v>
          </cell>
          <cell r="D2829">
            <v>6.07</v>
          </cell>
        </row>
        <row r="2830">
          <cell r="A2830">
            <v>12216</v>
          </cell>
          <cell r="B2830" t="str">
            <v>LAMPADA VAPOR DE SODIO OVOIDE 150 W (BASE E40)</v>
          </cell>
          <cell r="C2830" t="str">
            <v xml:space="preserve">UN    </v>
          </cell>
          <cell r="D2830">
            <v>29.47</v>
          </cell>
        </row>
        <row r="2831">
          <cell r="A2831">
            <v>3757</v>
          </cell>
          <cell r="B2831" t="str">
            <v>LAMPADA VAPOR DE SODIO OVOIDE 250 W (BASE E40)</v>
          </cell>
          <cell r="C2831" t="str">
            <v xml:space="preserve">UN    </v>
          </cell>
          <cell r="D2831">
            <v>34.07</v>
          </cell>
        </row>
        <row r="2832">
          <cell r="A2832">
            <v>3758</v>
          </cell>
          <cell r="B2832" t="str">
            <v>LAMPADA VAPOR DE SODIO OVOIDE 400 W (BASE E40)</v>
          </cell>
          <cell r="C2832" t="str">
            <v xml:space="preserve">UN    </v>
          </cell>
          <cell r="D2832">
            <v>39.729999999999997</v>
          </cell>
        </row>
        <row r="2833">
          <cell r="A2833">
            <v>12214</v>
          </cell>
          <cell r="B2833" t="str">
            <v>LAMPADA VAPOR MERCURIO 125 W (BASE E27)</v>
          </cell>
          <cell r="C2833" t="str">
            <v xml:space="preserve">UN    </v>
          </cell>
          <cell r="D2833">
            <v>13.6</v>
          </cell>
        </row>
        <row r="2834">
          <cell r="A2834">
            <v>3749</v>
          </cell>
          <cell r="B2834" t="str">
            <v>LAMPADA VAPOR MERCURIO 250 W (BASE E40)</v>
          </cell>
          <cell r="C2834" t="str">
            <v xml:space="preserve">UN    </v>
          </cell>
          <cell r="D2834">
            <v>24.25</v>
          </cell>
        </row>
        <row r="2835">
          <cell r="A2835">
            <v>3751</v>
          </cell>
          <cell r="B2835" t="str">
            <v>LAMPADA VAPOR MERCURIO 400 W (BASE E40)</v>
          </cell>
          <cell r="C2835" t="str">
            <v xml:space="preserve">UN    </v>
          </cell>
          <cell r="D2835">
            <v>33.090000000000003</v>
          </cell>
        </row>
        <row r="2836">
          <cell r="A2836">
            <v>39376</v>
          </cell>
          <cell r="B2836" t="str">
            <v>LAMPADA VAPOR METALICO OVOIDE 150 W, BASE E27/E40</v>
          </cell>
          <cell r="C2836" t="str">
            <v xml:space="preserve">UN    </v>
          </cell>
          <cell r="D2836">
            <v>27.9</v>
          </cell>
        </row>
        <row r="2837">
          <cell r="A2837">
            <v>3752</v>
          </cell>
          <cell r="B2837" t="str">
            <v>LAMPADA VAPOR METALICO TUBULAR 400 W (BASE E40)</v>
          </cell>
          <cell r="C2837" t="str">
            <v xml:space="preserve">UN    </v>
          </cell>
          <cell r="D2837">
            <v>54.59</v>
          </cell>
        </row>
        <row r="2838">
          <cell r="A2838">
            <v>746</v>
          </cell>
          <cell r="B2838" t="str">
            <v>LAVADORA DE ALTA PRESSAO (LAVA-JATO) PARA AGUA FRIA, PRESSAO DE OPERACAO ENTRE 1400 E 1900 LIB/POL2, VAZAO MAXIMA ENTRE  400 E 700 L/H</v>
          </cell>
          <cell r="C2838" t="str">
            <v xml:space="preserve">UN    </v>
          </cell>
          <cell r="D2838">
            <v>3882.5</v>
          </cell>
        </row>
        <row r="2839">
          <cell r="A2839">
            <v>36521</v>
          </cell>
          <cell r="B2839" t="str">
            <v>LAVATORIO DE CANTO LOUCA BRANCA SUSPENSO *40 X 30* CM</v>
          </cell>
          <cell r="C2839" t="str">
            <v xml:space="preserve">UN    </v>
          </cell>
          <cell r="D2839">
            <v>110.77</v>
          </cell>
        </row>
        <row r="2840">
          <cell r="A2840">
            <v>36794</v>
          </cell>
          <cell r="B2840" t="str">
            <v>LAVATORIO LOUCA BRANCA COM COLUNA *44 X 35,5* CM</v>
          </cell>
          <cell r="C2840" t="str">
            <v xml:space="preserve">UN    </v>
          </cell>
          <cell r="D2840">
            <v>112.92</v>
          </cell>
        </row>
        <row r="2841">
          <cell r="A2841">
            <v>10426</v>
          </cell>
          <cell r="B2841" t="str">
            <v>LAVATORIO LOUCA BRANCA COM COLUNA *54 X 44* CM</v>
          </cell>
          <cell r="C2841" t="str">
            <v xml:space="preserve">UN    </v>
          </cell>
          <cell r="D2841">
            <v>162.63</v>
          </cell>
        </row>
        <row r="2842">
          <cell r="A2842">
            <v>10425</v>
          </cell>
          <cell r="B2842" t="str">
            <v>LAVATORIO LOUCA BRANCA SUSPENSO *40 X 30* CM</v>
          </cell>
          <cell r="C2842" t="str">
            <v xml:space="preserve">UN    </v>
          </cell>
          <cell r="D2842">
            <v>71.72</v>
          </cell>
        </row>
        <row r="2843">
          <cell r="A2843">
            <v>10431</v>
          </cell>
          <cell r="B2843" t="str">
            <v>LAVATORIO LOUCA COR COM COLUNA *54 X 44* CM</v>
          </cell>
          <cell r="C2843" t="str">
            <v xml:space="preserve">UN    </v>
          </cell>
          <cell r="D2843">
            <v>178.42</v>
          </cell>
        </row>
        <row r="2844">
          <cell r="A2844">
            <v>10429</v>
          </cell>
          <cell r="B2844" t="str">
            <v>LAVATORIO LOUCA COR SUSPENSO *40 X 30* CM</v>
          </cell>
          <cell r="C2844" t="str">
            <v xml:space="preserve">UN    </v>
          </cell>
          <cell r="D2844">
            <v>85.53</v>
          </cell>
        </row>
        <row r="2845">
          <cell r="A2845">
            <v>20269</v>
          </cell>
          <cell r="B2845" t="str">
            <v>LAVATORIO/CUBA DE EMBUTIR OVAL LOUCA BRANCA SEM LADRAO *50 X 35* CM</v>
          </cell>
          <cell r="C2845" t="str">
            <v xml:space="preserve">UN    </v>
          </cell>
          <cell r="D2845">
            <v>70.489999999999995</v>
          </cell>
        </row>
        <row r="2846">
          <cell r="A2846">
            <v>20270</v>
          </cell>
          <cell r="B2846" t="str">
            <v>LAVATORIO/CUBA DE EMBUTIR OVAL LOUCA COR SEM LADRAO *50 X 35* CM</v>
          </cell>
          <cell r="C2846" t="str">
            <v xml:space="preserve">UN    </v>
          </cell>
          <cell r="D2846">
            <v>76.760000000000005</v>
          </cell>
        </row>
        <row r="2847">
          <cell r="A2847">
            <v>11696</v>
          </cell>
          <cell r="B2847" t="str">
            <v>LAVATORIO/CUBA DE SOBREPOR OVAL PEQUENA LOUCA BRANCA SEM LADRAO *31 X 44*</v>
          </cell>
          <cell r="C2847" t="str">
            <v xml:space="preserve">UN    </v>
          </cell>
          <cell r="D2847">
            <v>112.15</v>
          </cell>
        </row>
        <row r="2848">
          <cell r="A2848">
            <v>10427</v>
          </cell>
          <cell r="B2848" t="str">
            <v>LAVATORIO/CUBA DE SOBREPOR RETANGULAR LOUCA BRANCA COM LADRAO *52 X 45* CM</v>
          </cell>
          <cell r="C2848" t="str">
            <v xml:space="preserve">UN    </v>
          </cell>
          <cell r="D2848">
            <v>201.09</v>
          </cell>
        </row>
        <row r="2849">
          <cell r="A2849">
            <v>10428</v>
          </cell>
          <cell r="B2849" t="str">
            <v>LAVATORIO/CUBA DE SOBREPOR RETANGULAR LOUCA COR COM LADRAO *52 X 45* CM</v>
          </cell>
          <cell r="C2849" t="str">
            <v xml:space="preserve">UN    </v>
          </cell>
          <cell r="D2849">
            <v>204.09</v>
          </cell>
        </row>
        <row r="2850">
          <cell r="A2850">
            <v>2354</v>
          </cell>
          <cell r="B2850" t="str">
            <v>LEITURISTA OU CADASTRISTA DE REDES DE AGUA E ESGOTO</v>
          </cell>
          <cell r="C2850" t="str">
            <v xml:space="preserve">H     </v>
          </cell>
          <cell r="D2850">
            <v>9.8000000000000007</v>
          </cell>
        </row>
        <row r="2851">
          <cell r="A2851">
            <v>40932</v>
          </cell>
          <cell r="B2851" t="str">
            <v>LEITURISTA OU CADASTRISTA DE REDES DE AGUA E ESGOTO (MENSALISTA)</v>
          </cell>
          <cell r="C2851" t="str">
            <v xml:space="preserve">MES   </v>
          </cell>
          <cell r="D2851">
            <v>1740.16</v>
          </cell>
        </row>
        <row r="2852">
          <cell r="A2852">
            <v>10853</v>
          </cell>
          <cell r="B2852" t="str">
            <v>LETRA ACO INOX (AISI 304), CHAPA NUM. 22, RECORTADO, H= 20 CM (SEM RELEVO)</v>
          </cell>
          <cell r="C2852" t="str">
            <v xml:space="preserve">UN    </v>
          </cell>
          <cell r="D2852">
            <v>74.540000000000006</v>
          </cell>
        </row>
        <row r="2853">
          <cell r="A2853">
            <v>5093</v>
          </cell>
          <cell r="B2853" t="str">
            <v>LEVANTADOR DE JANELA GUILHOTINA, EM LATAO CROMADO</v>
          </cell>
          <cell r="C2853" t="str">
            <v xml:space="preserve">PAR   </v>
          </cell>
          <cell r="D2853">
            <v>14.39</v>
          </cell>
        </row>
        <row r="2854">
          <cell r="A2854">
            <v>37768</v>
          </cell>
          <cell r="B2854" t="str">
            <v>LIMPADORA A SUCCAO, TANQUE 12000 L, BASCULAMENTO HIDRAULICO, BOMBA 12 M3/MIN 95% VACUO (INCLUI MONTAGEM, NAO INCLUI CAMINHAO)</v>
          </cell>
          <cell r="C2854" t="str">
            <v xml:space="preserve">UN    </v>
          </cell>
          <cell r="D2854">
            <v>98500</v>
          </cell>
        </row>
        <row r="2855">
          <cell r="A2855">
            <v>37773</v>
          </cell>
          <cell r="B2855" t="str">
            <v>LIMPADORA DE SUCCAO TANQUE 7000 L, BOMBA 12 M3/MIN 95% VACUO (INCLUI MONTAGEM, NAO INCLUI CAMINHAO)</v>
          </cell>
          <cell r="C2855" t="str">
            <v xml:space="preserve">UN    </v>
          </cell>
          <cell r="D2855">
            <v>83643.100000000006</v>
          </cell>
        </row>
        <row r="2856">
          <cell r="A2856">
            <v>37769</v>
          </cell>
          <cell r="B2856" t="str">
            <v>LIMPADORA DE SUCCAO, TANQUE 11000 L, BOMBA 340 M3/MIN (INCLUI MONTAGEM, NAO INCLUI CAMINHAO)</v>
          </cell>
          <cell r="C2856" t="str">
            <v xml:space="preserve">UN    </v>
          </cell>
          <cell r="D2856">
            <v>140029.09</v>
          </cell>
        </row>
        <row r="2857">
          <cell r="A2857">
            <v>37770</v>
          </cell>
          <cell r="B2857" t="str">
            <v>LIMPADORA DE SUCCAO, TANQUE 5500 L, BOMBA 60M3/MIN, VACUO 500 MBAR (INCLUI MONTAGEM, NAO INCLUI CAMINHAO)</v>
          </cell>
          <cell r="C2857" t="str">
            <v xml:space="preserve">UN    </v>
          </cell>
          <cell r="D2857">
            <v>237651.71</v>
          </cell>
        </row>
        <row r="2858">
          <cell r="A2858">
            <v>38382</v>
          </cell>
          <cell r="B2858" t="str">
            <v>LINHA DE PEDREIRO LISA 100 M</v>
          </cell>
          <cell r="C2858" t="str">
            <v xml:space="preserve">UN    </v>
          </cell>
          <cell r="D2858">
            <v>10.66</v>
          </cell>
        </row>
        <row r="2859">
          <cell r="A2859">
            <v>6091</v>
          </cell>
          <cell r="B2859" t="str">
            <v>LIQUIDO PARA BRILHO PAREDES INTERNAS</v>
          </cell>
          <cell r="C2859" t="str">
            <v xml:space="preserve">L     </v>
          </cell>
          <cell r="D2859">
            <v>10.49</v>
          </cell>
        </row>
        <row r="2860">
          <cell r="A2860">
            <v>38383</v>
          </cell>
          <cell r="B2860" t="str">
            <v>LIXA D'AGUA EM FOLHA, GRAO 100</v>
          </cell>
          <cell r="C2860" t="str">
            <v xml:space="preserve">UN    </v>
          </cell>
          <cell r="D2860">
            <v>1.99</v>
          </cell>
        </row>
        <row r="2861">
          <cell r="A2861">
            <v>3768</v>
          </cell>
          <cell r="B2861" t="str">
            <v>LIXA EM FOLHA PARA FERRO, NUMERO 150</v>
          </cell>
          <cell r="C2861" t="str">
            <v xml:space="preserve">UN    </v>
          </cell>
          <cell r="D2861">
            <v>2.75</v>
          </cell>
        </row>
        <row r="2862">
          <cell r="A2862">
            <v>3767</v>
          </cell>
          <cell r="B2862" t="str">
            <v>LIXA EM FOLHA PARA PAREDE OU MADEIRA, NUMERO 120 (COR VERMELHA)</v>
          </cell>
          <cell r="C2862" t="str">
            <v xml:space="preserve">UN    </v>
          </cell>
          <cell r="D2862">
            <v>0.65</v>
          </cell>
        </row>
        <row r="2863">
          <cell r="A2863">
            <v>13192</v>
          </cell>
          <cell r="B2863" t="str">
            <v>LIXADEIRA ELETRICA ANGULAR PARA CONCRETO, POTENCIA 1.400 W, PRATO DIAMANTADO DE 5''</v>
          </cell>
          <cell r="C2863" t="str">
            <v xml:space="preserve">UN    </v>
          </cell>
          <cell r="D2863">
            <v>5170.37</v>
          </cell>
        </row>
        <row r="2864">
          <cell r="A2864">
            <v>38413</v>
          </cell>
          <cell r="B2864" t="str">
            <v>LIXADEIRA ELETRICA ANGULAR, PARA DISCO DE 7 " (180 MM), POTENCIA DE 2.200 W, *5.000* RPM, 220 V</v>
          </cell>
          <cell r="C2864" t="str">
            <v xml:space="preserve">UN    </v>
          </cell>
          <cell r="D2864">
            <v>855.1</v>
          </cell>
        </row>
        <row r="2865">
          <cell r="A2865">
            <v>42440</v>
          </cell>
          <cell r="B2865" t="str">
            <v>LIXEIRA DUPLA, COM CAPACIDADE VOLUMETRICA DE 60L*, FABRICADA EM TUBO DE ACO CARBONO, CESTOS EM CHAPA DE ACO E PINTURA NO PROCESSO ELETROSTATICO - PARA ACADEMIA AO AR LIVRE / ACADEMIA DA TERCEIRA IDADE - ATI</v>
          </cell>
          <cell r="C2865" t="str">
            <v xml:space="preserve">UN    </v>
          </cell>
          <cell r="D2865">
            <v>687.89</v>
          </cell>
        </row>
        <row r="2866">
          <cell r="A2866">
            <v>20193</v>
          </cell>
          <cell r="B2866" t="str">
            <v>LOCACAO DE ANDAIME METALICO TIPO FACHADEIRO, LARGURA DE 1,20 M, ALTURA POR PECA DE 2,0 M, INCLUINDO SAPATAS E ITENS NECESSARIOS A INSTALACAO</v>
          </cell>
          <cell r="C2866" t="str">
            <v>M2XMES</v>
          </cell>
          <cell r="D2866">
            <v>5.24</v>
          </cell>
        </row>
        <row r="2867">
          <cell r="A2867">
            <v>10527</v>
          </cell>
          <cell r="B2867" t="str">
            <v>LOCACAO DE ANDAIME METALICO TUBULAR DE ENCAIXE, TIPO DE TORRE, COM LARGURA DE 1 ATE 1,5 M E ALTURA DE *1,00* M</v>
          </cell>
          <cell r="C2867" t="str">
            <v xml:space="preserve">MXMES </v>
          </cell>
          <cell r="D2867">
            <v>15.75</v>
          </cell>
        </row>
        <row r="2868">
          <cell r="A2868">
            <v>41805</v>
          </cell>
          <cell r="B2868" t="str">
            <v>LOCACAO DE ANDAIME SUSPENSO OU BALANCIM MANUAL, CAPACIDADE DE CARGA TOTAL DE APROXIMADAMENTE 250 KG/M2, PLATAFORMA DE 1,50 M X 0,80 M (C X L), CABO DE 45 M</v>
          </cell>
          <cell r="C2868" t="str">
            <v xml:space="preserve">MES   </v>
          </cell>
          <cell r="D2868">
            <v>630</v>
          </cell>
        </row>
        <row r="2869">
          <cell r="A2869">
            <v>40271</v>
          </cell>
          <cell r="B2869" t="str">
            <v>LOCACAO DE APRUMADOR METALICO DE PILAR, COM ALTURA E ANGULO REGULAVEIS, EXTENSAO DE *1,50* A *2,80* M</v>
          </cell>
          <cell r="C2869" t="str">
            <v xml:space="preserve">MES   </v>
          </cell>
          <cell r="D2869">
            <v>10.23</v>
          </cell>
        </row>
        <row r="2870">
          <cell r="A2870">
            <v>40287</v>
          </cell>
          <cell r="B2870" t="str">
            <v>LOCACAO DE BARRA DE ANCORAGEM DE 0,80 A 1,20 M DE EXTENSAO, COM ROSCA DE 5/8", INCLUINDO PORCA E FLANGE</v>
          </cell>
          <cell r="C2870" t="str">
            <v xml:space="preserve">MES   </v>
          </cell>
          <cell r="D2870">
            <v>3.93</v>
          </cell>
        </row>
        <row r="2871">
          <cell r="A2871">
            <v>40295</v>
          </cell>
          <cell r="B2871" t="str">
            <v>LOCACAO DE BOMBA MANUAL PARA TESTE HIDROSTATICO ATE 30 BAR</v>
          </cell>
          <cell r="C2871" t="str">
            <v xml:space="preserve">H     </v>
          </cell>
          <cell r="D2871">
            <v>2.4500000000000002</v>
          </cell>
        </row>
        <row r="2872">
          <cell r="A2872">
            <v>745</v>
          </cell>
          <cell r="B2872" t="str">
            <v>LOCACAO DE BOMBA MANUAL PARA TESTE HIDROSTATICO ATE 60 BAR</v>
          </cell>
          <cell r="C2872" t="str">
            <v xml:space="preserve">H     </v>
          </cell>
          <cell r="D2872">
            <v>2.59</v>
          </cell>
        </row>
        <row r="2873">
          <cell r="A2873">
            <v>4084</v>
          </cell>
          <cell r="B2873" t="str">
            <v>LOCACAO DE BOMBA SUBMERSIVEL PARA DRENAGEM E ESGOTAMENTO, MOTOR ELETRICO TRIFASICO, POTENCIA DE 1 CV, DIAMETRO DE RECALQUE DE 2". FAIXA DE OPERACAO: Q=25 M3/H (+ OU - 1 M3/H) E AMT=2 M; Q=12 M3/H (+ OU - 2 M3/H) E AMT = 12 M (+ OU - 2 M)</v>
          </cell>
          <cell r="C2873" t="str">
            <v xml:space="preserve">H     </v>
          </cell>
          <cell r="D2873">
            <v>2.0699999999999998</v>
          </cell>
        </row>
        <row r="2874">
          <cell r="A2874">
            <v>743</v>
          </cell>
          <cell r="B2874" t="str">
            <v>LOCACAO DE BOMBA SUBMERSIVEL PARA DRENAGEM E ESGOTAMENTO, MOTOR ELETRICO TRIFASICO, POTENCIA DE 2 CV, DIAMETRO DE RECALQUE DE 2". FAIXA DE OPERACAO: Q=35 M3/H (+ OU - 3 M3/H) E AMT=2 M; Q=13 M3/H (+ OU - 3 M3/H) E AMT = 17 M (+ OU - 3 M)</v>
          </cell>
          <cell r="C2874" t="str">
            <v xml:space="preserve">H     </v>
          </cell>
          <cell r="D2874">
            <v>2.0699999999999998</v>
          </cell>
        </row>
        <row r="2875">
          <cell r="A2875">
            <v>40293</v>
          </cell>
          <cell r="B2875" t="str">
            <v>LOCACAO DE BOMBA SUBMERSIVEL PARA DRENAGEM E ESGOTAMENTO, MOTOR ELETRICO TRIFASICO, POTENCIA DE 2 CV, DIAMETRO DE RECALQUE DE 3". FAIXA DE OPERACAO: Q=70 M3/H (+ OU - 2 M3/H) E AMT=2 M; Q=9,5 M3/H (+ OU - 3,5 M3/H) E AMT = 10 M (+ OU - 2 M)</v>
          </cell>
          <cell r="C2875" t="str">
            <v xml:space="preserve">H     </v>
          </cell>
          <cell r="D2875">
            <v>2.48</v>
          </cell>
        </row>
        <row r="2876">
          <cell r="A2876">
            <v>40294</v>
          </cell>
          <cell r="B2876" t="str">
            <v>LOCACAO DE BOMBA SUBMERSIVEL PARA DRENAGEM E ESGOTAMENTO, MOTOR ELETRICO TRIFASICO, POTENCIA DE 3 CV, DIAMETRO DE RECALQUE DE 2". FAIXA DE OPERACAO: Q=84 M3/H (+ OU - 2,5 M3/H) E AMT=2 M; Q=9,1 M3/H (+ OU - 2 M3/H) E AMT = 12 M (+ OU - 2 M)</v>
          </cell>
          <cell r="C2876" t="str">
            <v xml:space="preserve">H     </v>
          </cell>
          <cell r="D2876">
            <v>2.0699999999999998</v>
          </cell>
        </row>
        <row r="2877">
          <cell r="A2877">
            <v>4085</v>
          </cell>
          <cell r="B2877" t="str">
            <v>LOCACAO DE BOMBA SUBMERSIVEL PARA DRENAGEM E ESGOTAMENTO, MOTOR ELETRICO TRIFASICO, POTENCIA DE 4 CV, DIAMETRO DE RECALQUE DE 3". FAIXA DE OPERACAO: Q=60 M3/H (+ OU - 1 M3/H) E AMT=2 M; Q=11 M3/H (+ OU - 1 M3/H) E AMT = 23 M (+ OU - 1 M)</v>
          </cell>
          <cell r="C2877" t="str">
            <v xml:space="preserve">H     </v>
          </cell>
          <cell r="D2877">
            <v>2.89</v>
          </cell>
        </row>
        <row r="2878">
          <cell r="A2878">
            <v>10775</v>
          </cell>
          <cell r="B2878" t="str">
            <v>LOCACAO DE CONTAINER 2,30  X  6,00 M, ALT. 2,50 M, COM 1 SANITARIO, PARA ESCRITORIO, COMPLETO, SEM DIVISORIAS INTERNAS</v>
          </cell>
          <cell r="C2878" t="str">
            <v xml:space="preserve">MES   </v>
          </cell>
          <cell r="D2878">
            <v>522</v>
          </cell>
        </row>
        <row r="2879">
          <cell r="A2879">
            <v>10776</v>
          </cell>
          <cell r="B2879" t="str">
            <v>LOCACAO DE CONTAINER 2,30  X  6,00 M, ALT. 2,50 M, PARA ESCRITORIO, SEM DIVISORIAS INTERNAS E SEM SANITARIO</v>
          </cell>
          <cell r="C2879" t="str">
            <v xml:space="preserve">MES   </v>
          </cell>
          <cell r="D2879">
            <v>407.81</v>
          </cell>
        </row>
        <row r="2880">
          <cell r="A2880">
            <v>10779</v>
          </cell>
          <cell r="B2880" t="str">
            <v>LOCACAO DE CONTAINER 2,30 X 4,30 M, ALT. 2,50 M, P/ SANITARIO, C/ 5 BACIAS, 1 LAVATORIO E 4 MICTORIOS</v>
          </cell>
          <cell r="C2880" t="str">
            <v xml:space="preserve">MES   </v>
          </cell>
          <cell r="D2880">
            <v>652.5</v>
          </cell>
        </row>
        <row r="2881">
          <cell r="A2881">
            <v>10777</v>
          </cell>
          <cell r="B2881" t="str">
            <v>LOCACAO DE CONTAINER 2,30 X 4,30 M, ALT. 2,50 M, PARA SANITARIO, COM 3 BACIAS, 4 CHUVEIROS, 1 LAVATORIO E 1 MICTORIO</v>
          </cell>
          <cell r="C2881" t="str">
            <v xml:space="preserve">MES   </v>
          </cell>
          <cell r="D2881">
            <v>592.67999999999995</v>
          </cell>
        </row>
        <row r="2882">
          <cell r="A2882">
            <v>10778</v>
          </cell>
          <cell r="B2882" t="str">
            <v>LOCACAO DE CONTAINER 2,30 X 6,00 M, ALT. 2,50 M,  PARA SANITARIO,  COM 4 BACIAS, 8 CHUVEIROS,1 LAVATORIO E 1 MICTORIO</v>
          </cell>
          <cell r="C2882" t="str">
            <v xml:space="preserve">MES   </v>
          </cell>
          <cell r="D2882">
            <v>652.5</v>
          </cell>
        </row>
        <row r="2883">
          <cell r="A2883">
            <v>40339</v>
          </cell>
          <cell r="B2883" t="str">
            <v>LOCACAO DE CRUZETA PARA ESCORA METALICA</v>
          </cell>
          <cell r="C2883" t="str">
            <v xml:space="preserve">MES   </v>
          </cell>
          <cell r="D2883">
            <v>3.93</v>
          </cell>
        </row>
        <row r="2884">
          <cell r="A2884">
            <v>3355</v>
          </cell>
          <cell r="B2884" t="str">
            <v>LOCACAO DE ELEVADOR DE CARGA A CABO, CABINE SEMI FECHADA *2,0* X *1,5* X *2,0* M, CAPACIDADE DE CARGA 1000 KG, TORRE  *2,38* X *2,21* X 15 M, GUINCHO DE EMBREAGEM, FREIO DE SEGURANCA, LIMITADOR DE VELOCIDADE E CANCELA</v>
          </cell>
          <cell r="C2884" t="str">
            <v xml:space="preserve">H     </v>
          </cell>
          <cell r="D2884">
            <v>22.5</v>
          </cell>
        </row>
        <row r="2885">
          <cell r="A2885">
            <v>39814</v>
          </cell>
          <cell r="B2885" t="str">
            <v>LOCACAO DE ELEVADOR DE CREMALHEIRA CABINE SIMPLES FECHADA 1,5 X 2,5 X 2,35 M (UMA POR TORRE), CAPACIDADE DE CARGA *1200* KG (15 PESSOAS), TORRE DE 24 M (16 MODULOS), 16 PARADAS, FREIO DE SEGURANCA, LIMITADOR DE CARGA</v>
          </cell>
          <cell r="C2885" t="str">
            <v xml:space="preserve">H     </v>
          </cell>
          <cell r="D2885">
            <v>42.18</v>
          </cell>
        </row>
        <row r="2886">
          <cell r="A2886">
            <v>10749</v>
          </cell>
          <cell r="B2886" t="str">
            <v>LOCACAO DE ESCORA METALICA TELESCOPICA, COM ALTURA REGULAVEL DE *1,80* A *3,20* M, COM CAPACIDADE DE CARGA DE NO MINIMO 1000 KGF (10 KN), INCLUSO TRIPE E FORCADO</v>
          </cell>
          <cell r="C2886" t="str">
            <v xml:space="preserve">MES   </v>
          </cell>
          <cell r="D2886">
            <v>7.21</v>
          </cell>
        </row>
        <row r="2887">
          <cell r="A2887">
            <v>40290</v>
          </cell>
          <cell r="B2887" t="str">
            <v>LOCACAO DE FORMA PLASTICA PARA LAJE NERVURADA, DIMENSOES *60* X *60* X *16* CM</v>
          </cell>
          <cell r="C2887" t="str">
            <v xml:space="preserve">MES   </v>
          </cell>
          <cell r="D2887">
            <v>10.39</v>
          </cell>
        </row>
        <row r="2888">
          <cell r="A2888">
            <v>7252</v>
          </cell>
          <cell r="B2888" t="str">
            <v>LOCACAO DE NIVEL OPTICO, COM PRECISAO DE 0,7 MM, AUMENTO DE 32X</v>
          </cell>
          <cell r="C2888" t="str">
            <v xml:space="preserve">H     </v>
          </cell>
          <cell r="D2888">
            <v>2.27</v>
          </cell>
        </row>
        <row r="2889">
          <cell r="A2889">
            <v>4778</v>
          </cell>
          <cell r="B2889" t="str">
            <v>LOCACAO DE PERFURATRIZ PNEUMATICA DE PESO MEDIO, * 18 * KG, PARA ROCHA</v>
          </cell>
          <cell r="C2889" t="str">
            <v xml:space="preserve">H     </v>
          </cell>
          <cell r="D2889">
            <v>2.7</v>
          </cell>
        </row>
        <row r="2890">
          <cell r="A2890">
            <v>4780</v>
          </cell>
          <cell r="B2890" t="str">
            <v>LOCACAO DE PERFURATRIZ PNEUMATICA DE PESO MEDIO, * 24 * KG, PARA ROCHA</v>
          </cell>
          <cell r="C2890" t="str">
            <v xml:space="preserve">H     </v>
          </cell>
          <cell r="D2890">
            <v>2.92</v>
          </cell>
        </row>
        <row r="2891">
          <cell r="A2891">
            <v>10809</v>
          </cell>
          <cell r="B2891" t="str">
            <v>LOCACAO DE TALHA ELETRICA 3 T, VELOCIDADE  2,1 M / MIN, POTENCIA 1,3 KW</v>
          </cell>
          <cell r="C2891" t="str">
            <v xml:space="preserve">H     </v>
          </cell>
          <cell r="D2891">
            <v>1.05</v>
          </cell>
        </row>
        <row r="2892">
          <cell r="A2892">
            <v>10811</v>
          </cell>
          <cell r="B2892" t="str">
            <v>LOCACAO DE TALHA MANUAL DE CORRENTE, CAPACIDADE DE 2 T COM ELEVACAO DE 3 M</v>
          </cell>
          <cell r="C2892" t="str">
            <v xml:space="preserve">H     </v>
          </cell>
          <cell r="D2892">
            <v>0.9</v>
          </cell>
        </row>
        <row r="2893">
          <cell r="A2893">
            <v>7247</v>
          </cell>
          <cell r="B2893" t="str">
            <v>LOCACAO DE TEODOLITO ELETRONICO, PRECISAO ANGULAR DE 5 A 7 SEGUNDOS, INCLUINDO TRIPE</v>
          </cell>
          <cell r="C2893" t="str">
            <v xml:space="preserve">H     </v>
          </cell>
          <cell r="D2893">
            <v>2.27</v>
          </cell>
        </row>
        <row r="2894">
          <cell r="A2894">
            <v>40291</v>
          </cell>
          <cell r="B2894" t="str">
            <v>LOCACAO DE TORRE METALICA COMPLETA PARA UMA CARGA DE 8 TF (80 KN)  E PE DIREITO DE 6 M, INCLUINDO MODULOS , DIAGONAIS, SAPATAS E FORCADOS</v>
          </cell>
          <cell r="C2894" t="str">
            <v xml:space="preserve">MES   </v>
          </cell>
          <cell r="D2894">
            <v>549.42999999999995</v>
          </cell>
        </row>
        <row r="2895">
          <cell r="A2895">
            <v>40275</v>
          </cell>
          <cell r="B2895" t="str">
            <v>LOCACAO DE VIGA SANDUICHE METALICA VAZADA PARA TRAVAMENTO DE PILARES, ALTURA DE *8* CM, LARGURA DE *6* CM E EXTENSAO DE 2 M</v>
          </cell>
          <cell r="C2895" t="str">
            <v xml:space="preserve">MES   </v>
          </cell>
          <cell r="D2895">
            <v>15.75</v>
          </cell>
        </row>
        <row r="2896">
          <cell r="A2896">
            <v>3777</v>
          </cell>
          <cell r="B2896" t="str">
            <v>LONA PLASTICA PRETA, E= 150 MICRA</v>
          </cell>
          <cell r="C2896" t="str">
            <v xml:space="preserve">M2    </v>
          </cell>
          <cell r="D2896">
            <v>0.92</v>
          </cell>
        </row>
        <row r="2897">
          <cell r="A2897">
            <v>3798</v>
          </cell>
          <cell r="B2897" t="str">
            <v>LUMINARIA ABERTA P/ ILUMINACAO PUBLICA, TIPO X-57 PETERCO OU EQUIV</v>
          </cell>
          <cell r="C2897" t="str">
            <v xml:space="preserve">UN    </v>
          </cell>
          <cell r="D2897">
            <v>43.79</v>
          </cell>
        </row>
        <row r="2898">
          <cell r="A2898">
            <v>38769</v>
          </cell>
          <cell r="B2898" t="str">
            <v>LUMINARIA ARANDELA TIPO MEIA-LUA COM VIDRO FOSCO *30 X 15* CM, PARA 1 LAMPADA, BASE E27, POTENCIA MAXIMA 40/60 W (NAO INCLUI LAMPADA)</v>
          </cell>
          <cell r="C2898" t="str">
            <v xml:space="preserve">UN    </v>
          </cell>
          <cell r="D2898">
            <v>34.200000000000003</v>
          </cell>
        </row>
        <row r="2899">
          <cell r="A2899">
            <v>39510</v>
          </cell>
          <cell r="B2899" t="str">
            <v>LUMINARIA DE EMBUTIR EM CHAPA DE ACO PARA 2 LAMPADAS FLUORESCENTES DE 14 W COM REFLETOR E ALETAS EM ALUMINIO, COMPLETA (INCLUI REATOR E LAMPADAS)</v>
          </cell>
          <cell r="C2899" t="str">
            <v xml:space="preserve">UN    </v>
          </cell>
          <cell r="D2899">
            <v>138.41</v>
          </cell>
        </row>
        <row r="2900">
          <cell r="A2900">
            <v>38776</v>
          </cell>
          <cell r="B2900" t="str">
            <v>LUMINARIA DE EMBUTIR EM CHAPA DE ACO PARA 4 LAMPADAS FLUORESCENTES DE 14 W *60 X 60 CM* ALETADA (NAO INCLUI REATOR E LAMPADAS)</v>
          </cell>
          <cell r="C2900" t="str">
            <v xml:space="preserve">UN    </v>
          </cell>
          <cell r="D2900">
            <v>146.88999999999999</v>
          </cell>
        </row>
        <row r="2901">
          <cell r="A2901">
            <v>38774</v>
          </cell>
          <cell r="B2901" t="str">
            <v>LUMINARIA DE EMERGENCIA 30 LEDS, POTENCIA 2 W, BATERIA DE LITIO, AUTONOMIA DE 6 HORAS</v>
          </cell>
          <cell r="C2901" t="str">
            <v xml:space="preserve">UN    </v>
          </cell>
          <cell r="D2901">
            <v>17.559999999999999</v>
          </cell>
        </row>
        <row r="2902">
          <cell r="A2902">
            <v>42247</v>
          </cell>
          <cell r="B2902" t="str">
            <v>LUMINARIA DE LED PARA ILUMINACAO PUBLICA, DE 138 W ATE 180 W, INVOLUCRO EM ALUMINIO OU ACO INOX</v>
          </cell>
          <cell r="C2902" t="str">
            <v xml:space="preserve">UN    </v>
          </cell>
          <cell r="D2902">
            <v>599.38</v>
          </cell>
        </row>
        <row r="2903">
          <cell r="A2903">
            <v>42248</v>
          </cell>
          <cell r="B2903" t="str">
            <v>LUMINARIA DE LED PARA ILUMINACAO PUBLICA, DE 181 W ATE 239 W, INVOLUCRO EM ALUMINIO OU ACO INOX</v>
          </cell>
          <cell r="C2903" t="str">
            <v xml:space="preserve">UN    </v>
          </cell>
          <cell r="D2903">
            <v>696.23</v>
          </cell>
        </row>
        <row r="2904">
          <cell r="A2904">
            <v>42249</v>
          </cell>
          <cell r="B2904" t="str">
            <v>LUMINARIA DE LED PARA ILUMINACAO PUBLICA, DE 240 W ATE 350 W, INVOLUCRO EM ALUMINIO OU ACO INOX</v>
          </cell>
          <cell r="C2904" t="str">
            <v xml:space="preserve">UN    </v>
          </cell>
          <cell r="D2904">
            <v>1153.4000000000001</v>
          </cell>
        </row>
        <row r="2905">
          <cell r="A2905">
            <v>42244</v>
          </cell>
          <cell r="B2905" t="str">
            <v>LUMINARIA DE LED PARA ILUMINACAO PUBLICA, DE 33 W ATE 50 W, INVOLUCRO EM ALUMINIO OU ACO INOX</v>
          </cell>
          <cell r="C2905" t="str">
            <v xml:space="preserve">UN    </v>
          </cell>
          <cell r="D2905">
            <v>180.13</v>
          </cell>
        </row>
        <row r="2906">
          <cell r="A2906">
            <v>42245</v>
          </cell>
          <cell r="B2906" t="str">
            <v>LUMINARIA DE LED PARA ILUMINACAO PUBLICA, DE 51 W ATE 67 W, INVOLUCRO EM ALUMINIO OU ACO INOX</v>
          </cell>
          <cell r="C2906" t="str">
            <v xml:space="preserve">UN    </v>
          </cell>
          <cell r="D2906">
            <v>332.39</v>
          </cell>
        </row>
        <row r="2907">
          <cell r="A2907">
            <v>42246</v>
          </cell>
          <cell r="B2907" t="str">
            <v>LUMINARIA DE LED PARA ILUMINACAO PUBLICA, DE 68 W ATE 97 W, INVOLUCRO EM ALUMINIO OU ACO INOX</v>
          </cell>
          <cell r="C2907" t="str">
            <v xml:space="preserve">UN    </v>
          </cell>
          <cell r="D2907">
            <v>367.94</v>
          </cell>
        </row>
        <row r="2908">
          <cell r="A2908">
            <v>42243</v>
          </cell>
          <cell r="B2908" t="str">
            <v>LUMINARIA DE LED PARA ILUMINACAO PUBLICA, DE 98 W ATE 137 W, INVOLUCRO EM ALUMINIO OU ACO INOX</v>
          </cell>
          <cell r="C2908" t="str">
            <v xml:space="preserve">UN    </v>
          </cell>
          <cell r="D2908">
            <v>443.67</v>
          </cell>
        </row>
        <row r="2909">
          <cell r="A2909">
            <v>38889</v>
          </cell>
          <cell r="B2909" t="str">
            <v>LUMINARIA DE SOBREPOR EM CHAPA DE ACO COM ALETAS PLASTICAS, PARA 1 LAMPADA, BASE E27, POTENCIA MAXIMA 40/60 W (NAO INCLUI LAMPADA)</v>
          </cell>
          <cell r="C2909" t="str">
            <v xml:space="preserve">UN    </v>
          </cell>
          <cell r="D2909">
            <v>26.21</v>
          </cell>
        </row>
        <row r="2910">
          <cell r="A2910">
            <v>38784</v>
          </cell>
          <cell r="B2910" t="str">
            <v>LUMINARIA DE SOBREPOR EM CHAPA DE ACO COM ALETAS PLASTICAS, PARA 2 LAMPADAS, BASE E27, POTENCIA MAXIMA 40/60 W (NAO INCLUI LAMPADAS)</v>
          </cell>
          <cell r="C2910" t="str">
            <v xml:space="preserve">UN    </v>
          </cell>
          <cell r="D2910">
            <v>35.07</v>
          </cell>
        </row>
        <row r="2911">
          <cell r="A2911">
            <v>3788</v>
          </cell>
          <cell r="B2911" t="str">
            <v>LUMINARIA DE SOBREPOR EM CHAPA DE ACO PARA 1 LAMPADA FLUORESCENTE DE *18* W, ALETADA, COMPLETA (LAMPADA E REATOR INCLUSOS)</v>
          </cell>
          <cell r="C2911" t="str">
            <v xml:space="preserve">UN    </v>
          </cell>
          <cell r="D2911">
            <v>36.54</v>
          </cell>
        </row>
        <row r="2912">
          <cell r="A2912">
            <v>12230</v>
          </cell>
          <cell r="B2912" t="str">
            <v>LUMINARIA DE SOBREPOR EM CHAPA DE ACO PARA 1 LAMPADA FLUORESCENTE DE *18* W, PERFIL COMERCIAL (NAO INCLUI REATOR E LAMPADA)</v>
          </cell>
          <cell r="C2912" t="str">
            <v xml:space="preserve">UN    </v>
          </cell>
          <cell r="D2912">
            <v>9.4</v>
          </cell>
        </row>
        <row r="2913">
          <cell r="A2913">
            <v>3780</v>
          </cell>
          <cell r="B2913" t="str">
            <v>LUMINARIA DE SOBREPOR EM CHAPA DE ACO PARA 1 LAMPADA FLUORESCENTE DE *36* W, ALETADA, COMPLETA (LAMPADA E REATOR INCLUSOS)</v>
          </cell>
          <cell r="C2913" t="str">
            <v xml:space="preserve">UN    </v>
          </cell>
          <cell r="D2913">
            <v>53.92</v>
          </cell>
        </row>
        <row r="2914">
          <cell r="A2914">
            <v>12231</v>
          </cell>
          <cell r="B2914" t="str">
            <v>LUMINARIA DE SOBREPOR EM CHAPA DE ACO PARA 1 LAMPADA FLUORESCENTE DE *36* W, PERFIL COMERCIAL (NAO INCLUI REATOR E LAMPADA)</v>
          </cell>
          <cell r="C2914" t="str">
            <v xml:space="preserve">UN    </v>
          </cell>
          <cell r="D2914">
            <v>15.63</v>
          </cell>
        </row>
        <row r="2915">
          <cell r="A2915">
            <v>3811</v>
          </cell>
          <cell r="B2915" t="str">
            <v>LUMINARIA DE SOBREPOR EM CHAPA DE ACO PARA 2 LAMPADAS FLUORESCENTES DE *18* W, ALETADA, COMPLETA (LAMPADAS E REATOR INCLUSOS)</v>
          </cell>
          <cell r="C2915" t="str">
            <v xml:space="preserve">UN    </v>
          </cell>
          <cell r="D2915">
            <v>50.64</v>
          </cell>
        </row>
        <row r="2916">
          <cell r="A2916">
            <v>12232</v>
          </cell>
          <cell r="B2916" t="str">
            <v>LUMINARIA DE SOBREPOR EM CHAPA DE ACO PARA 2 LAMPADAS FLUORESCENTES DE *18* W, PERFIL COMERCIAL (NAO INCLUI REATOR E LAMPADAS)</v>
          </cell>
          <cell r="C2916" t="str">
            <v xml:space="preserve">UN    </v>
          </cell>
          <cell r="D2916">
            <v>16.37</v>
          </cell>
        </row>
        <row r="2917">
          <cell r="A2917">
            <v>3799</v>
          </cell>
          <cell r="B2917" t="str">
            <v>LUMINARIA DE SOBREPOR EM CHAPA DE ACO PARA 2 LAMPADAS FLUORESCENTES DE *36* W, ALETADA, COMPLETA (LAMPADAS E REATOR INCLUSOS)</v>
          </cell>
          <cell r="C2917" t="str">
            <v xml:space="preserve">UN    </v>
          </cell>
          <cell r="D2917">
            <v>71.63</v>
          </cell>
        </row>
        <row r="2918">
          <cell r="A2918">
            <v>12239</v>
          </cell>
          <cell r="B2918" t="str">
            <v>LUMINARIA DE SOBREPOR EM CHAPA DE ACO PARA 2 LAMPADAS FLUORESCENTES DE *36* W, PERFIL COMERCIAL (NAO INCLUI REATOR E LAMPADAS)</v>
          </cell>
          <cell r="C2918" t="str">
            <v xml:space="preserve">UN    </v>
          </cell>
          <cell r="D2918">
            <v>21.44</v>
          </cell>
        </row>
        <row r="2919">
          <cell r="A2919">
            <v>38773</v>
          </cell>
          <cell r="B2919" t="str">
            <v>LUMINARIA DE TETO PLAFON/PLAFONIER EM PLASTICO COM BASE E27, POTENCIA MAXIMA 60 W (NAO INCLUI LAMPADA)</v>
          </cell>
          <cell r="C2919" t="str">
            <v xml:space="preserve">UN    </v>
          </cell>
          <cell r="D2919">
            <v>3.44</v>
          </cell>
        </row>
        <row r="2920">
          <cell r="A2920">
            <v>12271</v>
          </cell>
          <cell r="B2920" t="str">
            <v>LUMINARIA DUPLA P/SINALIZACAO, TIPO WETZEL AS-2/110 OU EQUIV</v>
          </cell>
          <cell r="C2920" t="str">
            <v xml:space="preserve">UN    </v>
          </cell>
          <cell r="D2920">
            <v>191.78</v>
          </cell>
        </row>
        <row r="2921">
          <cell r="A2921">
            <v>38785</v>
          </cell>
          <cell r="B2921" t="str">
            <v>LUMINARIA HERMETICA IP-65 PARA 2 DUAS LAMPADAS DE 14/16/18/20 W (NAO INCLUI REATOR E LAMPADAS)</v>
          </cell>
          <cell r="C2921" t="str">
            <v xml:space="preserve">UN    </v>
          </cell>
          <cell r="D2921">
            <v>90.8</v>
          </cell>
        </row>
        <row r="2922">
          <cell r="A2922">
            <v>38786</v>
          </cell>
          <cell r="B2922" t="str">
            <v>LUMINARIA HERMETICA IP-65 PARA 2 DUAS LAMPADAS DE 28/32/36/40 W (NAO INCLUI REATOR E LAMPADAS)</v>
          </cell>
          <cell r="C2922" t="str">
            <v xml:space="preserve">UN    </v>
          </cell>
          <cell r="D2922">
            <v>111.84</v>
          </cell>
        </row>
        <row r="2923">
          <cell r="A2923">
            <v>39385</v>
          </cell>
          <cell r="B2923" t="str">
            <v>LUMINARIA LED PLAFON REDONDO DE SOBREPOR BIVOLT 12/13 W,  D = *17* CM</v>
          </cell>
          <cell r="C2923" t="str">
            <v xml:space="preserve">UN    </v>
          </cell>
          <cell r="D2923">
            <v>16.059999999999999</v>
          </cell>
        </row>
        <row r="2924">
          <cell r="A2924">
            <v>39389</v>
          </cell>
          <cell r="B2924" t="str">
            <v>LUMINARIA LED REFLETOR RETANGULAR BIVOLT, LUZ BRANCA, 10 W</v>
          </cell>
          <cell r="C2924" t="str">
            <v xml:space="preserve">UN    </v>
          </cell>
          <cell r="D2924">
            <v>17.420000000000002</v>
          </cell>
        </row>
        <row r="2925">
          <cell r="A2925">
            <v>39390</v>
          </cell>
          <cell r="B2925" t="str">
            <v>LUMINARIA LED REFLETOR RETANGULAR BIVOLT, LUZ BRANCA, 30 W</v>
          </cell>
          <cell r="C2925" t="str">
            <v xml:space="preserve">UN    </v>
          </cell>
          <cell r="D2925">
            <v>36.53</v>
          </cell>
        </row>
        <row r="2926">
          <cell r="A2926">
            <v>39391</v>
          </cell>
          <cell r="B2926" t="str">
            <v>LUMINARIA LED REFLETOR RETANGULAR BIVOLT, LUZ BRANCA, 50 W</v>
          </cell>
          <cell r="C2926" t="str">
            <v xml:space="preserve">UN    </v>
          </cell>
          <cell r="D2926">
            <v>41.01</v>
          </cell>
        </row>
        <row r="2927">
          <cell r="A2927">
            <v>3803</v>
          </cell>
          <cell r="B2927" t="str">
            <v>LUMINARIA PLAFON REDONDO COM VIDRO FOSCO DIAMETRO *25* CM, PARA 1 LAMPADA, BASE E27, POTENCIA MAXIMA 40/60 W (NAO INCLUI LAMPADA)</v>
          </cell>
          <cell r="C2927" t="str">
            <v xml:space="preserve">UN    </v>
          </cell>
          <cell r="D2927">
            <v>32.43</v>
          </cell>
        </row>
        <row r="2928">
          <cell r="A2928">
            <v>38770</v>
          </cell>
          <cell r="B2928" t="str">
            <v>LUMINARIA PLAFON REDONDO COM VIDRO FOSCO DIAMETRO *30* CM, PARA 2 LAMPADAS, BASE E27, POTENCIA MAXIMA 40/60 W (NAO INCLUI LAMPADAS)</v>
          </cell>
          <cell r="C2928" t="str">
            <v xml:space="preserve">UN    </v>
          </cell>
          <cell r="D2928">
            <v>37.549999999999997</v>
          </cell>
        </row>
        <row r="2929">
          <cell r="A2929">
            <v>12267</v>
          </cell>
          <cell r="B2929" t="str">
            <v>LUMINARIA PROVA DE TEMPO PETERCO Y.31/1</v>
          </cell>
          <cell r="C2929" t="str">
            <v xml:space="preserve">UN    </v>
          </cell>
          <cell r="D2929">
            <v>110.04</v>
          </cell>
        </row>
        <row r="2930">
          <cell r="A2930">
            <v>43265</v>
          </cell>
          <cell r="B2930"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2930" t="str">
            <v xml:space="preserve">UN    </v>
          </cell>
          <cell r="D2930">
            <v>50.22</v>
          </cell>
        </row>
        <row r="2931">
          <cell r="A2931">
            <v>12266</v>
          </cell>
          <cell r="B2931" t="str">
            <v>LUMINARIA SPOT DE SOBREPOR EM ALUMINIO COM ALETA PLASTICA PARA 1 LAMPADA, BASE E27, POTENCIA MAXIMA 40/60 W (NAO INCLUI LAMPADA)</v>
          </cell>
          <cell r="C2931" t="str">
            <v xml:space="preserve">UN    </v>
          </cell>
          <cell r="D2931">
            <v>56.32</v>
          </cell>
        </row>
        <row r="2932">
          <cell r="A2932">
            <v>39378</v>
          </cell>
          <cell r="B2932" t="str">
            <v>LUMINARIA SPOT DE SOBREPOR EM ALUMINIO COM ALETA PLASTICA PARA 2 LAMPADAS, BASE E27, POTENCIA MAXIMA 40/60 W (NAO INCLUI LAMPADA)</v>
          </cell>
          <cell r="C2932" t="str">
            <v xml:space="preserve">UN    </v>
          </cell>
          <cell r="D2932">
            <v>39.93</v>
          </cell>
        </row>
        <row r="2933">
          <cell r="A2933">
            <v>43543</v>
          </cell>
          <cell r="B2933" t="str">
            <v>LUMINARIA TIPO TARTARUGA A PROVA DE TEMPO, GASES, VAPOR E PO, EM ALUMINIO, COM GRADE, BASE E27, POTENCIA MAXIMA 100 W - REF Y 25/1 (NAO INCLUI LAMPADA)</v>
          </cell>
          <cell r="C2933" t="str">
            <v xml:space="preserve">UN    </v>
          </cell>
          <cell r="D2933">
            <v>83.19</v>
          </cell>
        </row>
        <row r="2934">
          <cell r="A2934">
            <v>38775</v>
          </cell>
          <cell r="B2934" t="str">
            <v>LUMINARIA TIPO TARTARUGA PARA AREA EXTERNA EM ALUMINIO, COM GRADE, PARA 1 LAMPADA, BASE E27, POTENCIA MAXIMA 40/60 W (NAO INCLUI LAMPADA)</v>
          </cell>
          <cell r="C2934" t="str">
            <v xml:space="preserve">UN    </v>
          </cell>
          <cell r="D2934">
            <v>42.33</v>
          </cell>
        </row>
        <row r="2935">
          <cell r="A2935">
            <v>21119</v>
          </cell>
          <cell r="B2935" t="str">
            <v>LUVA CPVC, SOLDAVEL, 15 MM, PARA AGUA QUENTE PREDIAL</v>
          </cell>
          <cell r="C2935" t="str">
            <v xml:space="preserve">UN    </v>
          </cell>
          <cell r="D2935">
            <v>1.9</v>
          </cell>
        </row>
        <row r="2936">
          <cell r="A2936">
            <v>37974</v>
          </cell>
          <cell r="B2936" t="str">
            <v>LUVA CPVC, SOLDAVEL, 22 MM, PARA AGUA QUENTE PREDIAL</v>
          </cell>
          <cell r="C2936" t="str">
            <v xml:space="preserve">UN    </v>
          </cell>
          <cell r="D2936">
            <v>2.82</v>
          </cell>
        </row>
        <row r="2937">
          <cell r="A2937">
            <v>37975</v>
          </cell>
          <cell r="B2937" t="str">
            <v>LUVA CPVC, SOLDAVEL, 28 MM, PARA AGUA QUENTE PREDIAL</v>
          </cell>
          <cell r="C2937" t="str">
            <v xml:space="preserve">UN    </v>
          </cell>
          <cell r="D2937">
            <v>5.73</v>
          </cell>
        </row>
        <row r="2938">
          <cell r="A2938">
            <v>37976</v>
          </cell>
          <cell r="B2938" t="str">
            <v>LUVA CPVC, SOLDAVEL, 35 MM, PARA AGUA QUENTE PREDIAL</v>
          </cell>
          <cell r="C2938" t="str">
            <v xml:space="preserve">UN    </v>
          </cell>
          <cell r="D2938">
            <v>11.76</v>
          </cell>
        </row>
        <row r="2939">
          <cell r="A2939">
            <v>37977</v>
          </cell>
          <cell r="B2939" t="str">
            <v>LUVA CPVC, SOLDAVEL, 42 MM, PARA AGUA QUENTE PREDIAL</v>
          </cell>
          <cell r="C2939" t="str">
            <v xml:space="preserve">UN    </v>
          </cell>
          <cell r="D2939">
            <v>16.170000000000002</v>
          </cell>
        </row>
        <row r="2940">
          <cell r="A2940">
            <v>37978</v>
          </cell>
          <cell r="B2940" t="str">
            <v>LUVA CPVC, SOLDAVEL, 54 MM, PARA AGUA QUENTE PREDIAL</v>
          </cell>
          <cell r="C2940" t="str">
            <v xml:space="preserve">UN    </v>
          </cell>
          <cell r="D2940">
            <v>32.770000000000003</v>
          </cell>
        </row>
        <row r="2941">
          <cell r="A2941">
            <v>37979</v>
          </cell>
          <cell r="B2941" t="str">
            <v>LUVA CPVC, SOLDAVEL, 73 MM, PARA AGUA QUENTE PREDIAL</v>
          </cell>
          <cell r="C2941" t="str">
            <v xml:space="preserve">UN    </v>
          </cell>
          <cell r="D2941">
            <v>140.80000000000001</v>
          </cell>
        </row>
        <row r="2942">
          <cell r="A2942">
            <v>37980</v>
          </cell>
          <cell r="B2942" t="str">
            <v>LUVA CPVC, SOLDAVEL, 89 MM, PARA AGUA QUENTE PREDIAL</v>
          </cell>
          <cell r="C2942" t="str">
            <v xml:space="preserve">UN    </v>
          </cell>
          <cell r="D2942">
            <v>158.24</v>
          </cell>
        </row>
        <row r="2943">
          <cell r="A2943">
            <v>36147</v>
          </cell>
          <cell r="B2943" t="str">
            <v>LUVA DE BORRACHA ISOLANTE PARA ALTA TENSAO, RESISTENTE A OZONIO, TENSAO DE ENSAIO 2,5 KV (PAR)</v>
          </cell>
          <cell r="C2943" t="str">
            <v xml:space="preserve">PAR   </v>
          </cell>
          <cell r="D2943">
            <v>311.81</v>
          </cell>
        </row>
        <row r="2944">
          <cell r="A2944">
            <v>12731</v>
          </cell>
          <cell r="B2944" t="str">
            <v>LUVA DE COBRE (REF 600) SEM ANEL DE SOLDA, BOLSA X BOLSA, 104 MM</v>
          </cell>
          <cell r="C2944" t="str">
            <v xml:space="preserve">UN    </v>
          </cell>
          <cell r="D2944">
            <v>248.28</v>
          </cell>
        </row>
        <row r="2945">
          <cell r="A2945">
            <v>12723</v>
          </cell>
          <cell r="B2945" t="str">
            <v>LUVA DE COBRE (REF 600) SEM ANEL DE SOLDA, BOLSA X BOLSA, 15 MM</v>
          </cell>
          <cell r="C2945" t="str">
            <v xml:space="preserve">UN    </v>
          </cell>
          <cell r="D2945">
            <v>1.92</v>
          </cell>
        </row>
        <row r="2946">
          <cell r="A2946">
            <v>12724</v>
          </cell>
          <cell r="B2946" t="str">
            <v>LUVA DE COBRE (REF 600) SEM ANEL DE SOLDA, BOLSA X BOLSA, 22 MM</v>
          </cell>
          <cell r="C2946" t="str">
            <v xml:space="preserve">UN    </v>
          </cell>
          <cell r="D2946">
            <v>3.7</v>
          </cell>
        </row>
        <row r="2947">
          <cell r="A2947">
            <v>12725</v>
          </cell>
          <cell r="B2947" t="str">
            <v>LUVA DE COBRE (REF 600) SEM ANEL DE SOLDA, BOLSA X BOLSA, 28 MM</v>
          </cell>
          <cell r="C2947" t="str">
            <v xml:space="preserve">UN    </v>
          </cell>
          <cell r="D2947">
            <v>7.42</v>
          </cell>
        </row>
        <row r="2948">
          <cell r="A2948">
            <v>12726</v>
          </cell>
          <cell r="B2948" t="str">
            <v>LUVA DE COBRE (REF 600) SEM ANEL DE SOLDA, BOLSA X BOLSA, 35 MM</v>
          </cell>
          <cell r="C2948" t="str">
            <v xml:space="preserve">UN    </v>
          </cell>
          <cell r="D2948">
            <v>16.38</v>
          </cell>
        </row>
        <row r="2949">
          <cell r="A2949">
            <v>12727</v>
          </cell>
          <cell r="B2949" t="str">
            <v>LUVA DE COBRE (REF 600) SEM ANEL DE SOLDA, BOLSA X BOLSA, 42 MM</v>
          </cell>
          <cell r="C2949" t="str">
            <v xml:space="preserve">UN    </v>
          </cell>
          <cell r="D2949">
            <v>20.77</v>
          </cell>
        </row>
        <row r="2950">
          <cell r="A2950">
            <v>12728</v>
          </cell>
          <cell r="B2950" t="str">
            <v>LUVA DE COBRE (REF 600) SEM ANEL DE SOLDA, BOLSA X BOLSA, 54 MM</v>
          </cell>
          <cell r="C2950" t="str">
            <v xml:space="preserve">UN    </v>
          </cell>
          <cell r="D2950">
            <v>33.93</v>
          </cell>
        </row>
        <row r="2951">
          <cell r="A2951">
            <v>12729</v>
          </cell>
          <cell r="B2951" t="str">
            <v>LUVA DE COBRE (REF 600) SEM ANEL DE SOLDA, BOLSA X BOLSA, 66 MM</v>
          </cell>
          <cell r="C2951" t="str">
            <v xml:space="preserve">UN    </v>
          </cell>
          <cell r="D2951">
            <v>111.21</v>
          </cell>
        </row>
        <row r="2952">
          <cell r="A2952">
            <v>12730</v>
          </cell>
          <cell r="B2952" t="str">
            <v>LUVA DE COBRE (REF 600) SEM ANEL DE SOLDA, BOLSA X BOLSA, 79 MM</v>
          </cell>
          <cell r="C2952" t="str">
            <v xml:space="preserve">UN    </v>
          </cell>
          <cell r="D2952">
            <v>170.27</v>
          </cell>
        </row>
        <row r="2953">
          <cell r="A2953">
            <v>3840</v>
          </cell>
          <cell r="B2953" t="str">
            <v>LUVA DE CORRER DEFOFO, PVC, JE, DN 100 MM</v>
          </cell>
          <cell r="C2953" t="str">
            <v xml:space="preserve">UN    </v>
          </cell>
          <cell r="D2953">
            <v>38.6</v>
          </cell>
        </row>
        <row r="2954">
          <cell r="A2954">
            <v>3838</v>
          </cell>
          <cell r="B2954" t="str">
            <v>LUVA DE CORRER DEFOFO, PVC, JE, DN 150 MM</v>
          </cell>
          <cell r="C2954" t="str">
            <v xml:space="preserve">UN    </v>
          </cell>
          <cell r="D2954">
            <v>85.19</v>
          </cell>
        </row>
        <row r="2955">
          <cell r="A2955">
            <v>3844</v>
          </cell>
          <cell r="B2955" t="str">
            <v>LUVA DE CORRER DEFOFO, PVC, JE, DN 200 MM</v>
          </cell>
          <cell r="C2955" t="str">
            <v xml:space="preserve">UN    </v>
          </cell>
          <cell r="D2955">
            <v>151.96</v>
          </cell>
        </row>
        <row r="2956">
          <cell r="A2956">
            <v>3839</v>
          </cell>
          <cell r="B2956" t="str">
            <v>LUVA DE CORRER DEFOFO, PVC, JE, DN 250 MM</v>
          </cell>
          <cell r="C2956" t="str">
            <v xml:space="preserve">UN    </v>
          </cell>
          <cell r="D2956">
            <v>276.77999999999997</v>
          </cell>
        </row>
        <row r="2957">
          <cell r="A2957">
            <v>3843</v>
          </cell>
          <cell r="B2957" t="str">
            <v>LUVA DE CORRER DEFOFO, PVC, JE, DN 300 MM</v>
          </cell>
          <cell r="C2957" t="str">
            <v xml:space="preserve">UN    </v>
          </cell>
          <cell r="D2957">
            <v>379.89</v>
          </cell>
        </row>
        <row r="2958">
          <cell r="A2958">
            <v>3900</v>
          </cell>
          <cell r="B2958" t="str">
            <v>LUVA DE CORRER PARA TUBO ROSCAVEL, PVC, 1 1/2", PARA AGUA FRIA PREDIAL</v>
          </cell>
          <cell r="C2958" t="str">
            <v xml:space="preserve">UN    </v>
          </cell>
          <cell r="D2958">
            <v>31.76</v>
          </cell>
        </row>
        <row r="2959">
          <cell r="A2959">
            <v>3846</v>
          </cell>
          <cell r="B2959" t="str">
            <v>LUVA DE CORRER PARA TUBO ROSCAVEL, PVC, 1/2", PARA AGUA FRIA PREDIAL</v>
          </cell>
          <cell r="C2959" t="str">
            <v xml:space="preserve">UN    </v>
          </cell>
          <cell r="D2959">
            <v>10.01</v>
          </cell>
        </row>
        <row r="2960">
          <cell r="A2960">
            <v>3886</v>
          </cell>
          <cell r="B2960" t="str">
            <v>LUVA DE CORRER PARA TUBO ROSCAVEL, PVC, 3/4", PARA AGUA FRIA PREDIAL</v>
          </cell>
          <cell r="C2960" t="str">
            <v xml:space="preserve">UN    </v>
          </cell>
          <cell r="D2960">
            <v>10.54</v>
          </cell>
        </row>
        <row r="2961">
          <cell r="A2961">
            <v>3854</v>
          </cell>
          <cell r="B2961" t="str">
            <v>LUVA DE CORRER PARA TUBO SOLDAVEL, PVC, 20 MM, PARA AGUA FRIA PREDIAL</v>
          </cell>
          <cell r="C2961" t="str">
            <v xml:space="preserve">UN    </v>
          </cell>
          <cell r="D2961">
            <v>5.86</v>
          </cell>
        </row>
        <row r="2962">
          <cell r="A2962">
            <v>3873</v>
          </cell>
          <cell r="B2962" t="str">
            <v>LUVA DE CORRER PARA TUBO SOLDAVEL, PVC, 25 MM, PARA AGUA FRIA PREDIAL</v>
          </cell>
          <cell r="C2962" t="str">
            <v xml:space="preserve">UN    </v>
          </cell>
          <cell r="D2962">
            <v>7.75</v>
          </cell>
        </row>
        <row r="2963">
          <cell r="A2963">
            <v>38021</v>
          </cell>
          <cell r="B2963" t="str">
            <v>LUVA DE CORRER PARA TUBO SOLDAVEL, PVC, 32 MM, PARA AGUA FRIA PREDIAL</v>
          </cell>
          <cell r="C2963" t="str">
            <v xml:space="preserve">UN    </v>
          </cell>
          <cell r="D2963">
            <v>18.54</v>
          </cell>
        </row>
        <row r="2964">
          <cell r="A2964">
            <v>3847</v>
          </cell>
          <cell r="B2964" t="str">
            <v>LUVA DE CORRER PARA TUBO SOLDAVEL, PVC, 50 MM, PARA AGUA FRIA PREDIAL</v>
          </cell>
          <cell r="C2964" t="str">
            <v xml:space="preserve">UN    </v>
          </cell>
          <cell r="D2964">
            <v>21.05</v>
          </cell>
        </row>
        <row r="2965">
          <cell r="A2965">
            <v>38022</v>
          </cell>
          <cell r="B2965" t="str">
            <v>LUVA DE CORRER PARA TUBO SOLDAVEL, PVC, 60 MM, PARA AGUA FRIA PREDIAL</v>
          </cell>
          <cell r="C2965" t="str">
            <v xml:space="preserve">UN    </v>
          </cell>
          <cell r="D2965">
            <v>32.880000000000003</v>
          </cell>
        </row>
        <row r="2966">
          <cell r="A2966">
            <v>3833</v>
          </cell>
          <cell r="B2966" t="str">
            <v>LUVA DE CORRER PVC, JE, DN 100 MM, PARA REDE COLETORA DE ESGOTO (NBR 10569)</v>
          </cell>
          <cell r="C2966" t="str">
            <v xml:space="preserve">UN    </v>
          </cell>
          <cell r="D2966">
            <v>11.31</v>
          </cell>
        </row>
        <row r="2967">
          <cell r="A2967">
            <v>3835</v>
          </cell>
          <cell r="B2967" t="str">
            <v>LUVA DE CORRER PVC, JE, DN 150 MM, PARA REDE COLETORA DE ESGOTO (NBR 10569)</v>
          </cell>
          <cell r="C2967" t="str">
            <v xml:space="preserve">UN    </v>
          </cell>
          <cell r="D2967">
            <v>36.83</v>
          </cell>
        </row>
        <row r="2968">
          <cell r="A2968">
            <v>3836</v>
          </cell>
          <cell r="B2968" t="str">
            <v>LUVA DE CORRER PVC, JE, DN 200 MM, PARA REDE COLETORA DE ESGOTO (NBR 10569)</v>
          </cell>
          <cell r="C2968" t="str">
            <v xml:space="preserve">UN    </v>
          </cell>
          <cell r="D2968">
            <v>79.260000000000005</v>
          </cell>
        </row>
        <row r="2969">
          <cell r="A2969">
            <v>3830</v>
          </cell>
          <cell r="B2969" t="str">
            <v>LUVA DE CORRER PVC, JE, DN 250 MM, PARA REDE COLETORA DE ESGOTO (NBR 10569)</v>
          </cell>
          <cell r="C2969" t="str">
            <v xml:space="preserve">UN    </v>
          </cell>
          <cell r="D2969">
            <v>129.6</v>
          </cell>
        </row>
        <row r="2970">
          <cell r="A2970">
            <v>3831</v>
          </cell>
          <cell r="B2970" t="str">
            <v>LUVA DE CORRER PVC, JE, DN 300 MM, PARA REDE COLETORA DE ESGOTO (NBR 10569)</v>
          </cell>
          <cell r="C2970" t="str">
            <v xml:space="preserve">UN    </v>
          </cell>
          <cell r="D2970">
            <v>216.64</v>
          </cell>
        </row>
        <row r="2971">
          <cell r="A2971">
            <v>37981</v>
          </cell>
          <cell r="B2971" t="str">
            <v>LUVA DE CORRER, CPVC, SOLDAVEL, 15 MM, PARA AGUA QUENTE PREDIAL</v>
          </cell>
          <cell r="C2971" t="str">
            <v xml:space="preserve">UN    </v>
          </cell>
          <cell r="D2971">
            <v>6.45</v>
          </cell>
        </row>
        <row r="2972">
          <cell r="A2972">
            <v>37982</v>
          </cell>
          <cell r="B2972" t="str">
            <v>LUVA DE CORRER, CPVC, SOLDAVEL, 22 MM, PARA AGUA QUENTE PREDIAL</v>
          </cell>
          <cell r="C2972" t="str">
            <v xml:space="preserve">UN    </v>
          </cell>
          <cell r="D2972">
            <v>9.8000000000000007</v>
          </cell>
        </row>
        <row r="2973">
          <cell r="A2973">
            <v>37983</v>
          </cell>
          <cell r="B2973" t="str">
            <v>LUVA DE CORRER, CPVC, SOLDAVEL, 28 MM, PARA AGUA QUENTE PREDIAL</v>
          </cell>
          <cell r="C2973" t="str">
            <v xml:space="preserve">UN    </v>
          </cell>
          <cell r="D2973">
            <v>13.72</v>
          </cell>
        </row>
        <row r="2974">
          <cell r="A2974">
            <v>37984</v>
          </cell>
          <cell r="B2974" t="str">
            <v>LUVA DE CORRER, CPVC, SOLDAVEL, 35 MM, PARA AGUA QUENTE PREDIAL</v>
          </cell>
          <cell r="C2974" t="str">
            <v xml:space="preserve">UN    </v>
          </cell>
          <cell r="D2974">
            <v>23.69</v>
          </cell>
        </row>
        <row r="2975">
          <cell r="A2975">
            <v>37985</v>
          </cell>
          <cell r="B2975" t="str">
            <v>LUVA DE CORRER, CPVC, SOLDAVEL, 42 MM, PARA AGUA QUENTE PREDIAL</v>
          </cell>
          <cell r="C2975" t="str">
            <v xml:space="preserve">UN    </v>
          </cell>
          <cell r="D2975">
            <v>33.18</v>
          </cell>
        </row>
        <row r="2976">
          <cell r="A2976">
            <v>3826</v>
          </cell>
          <cell r="B2976" t="str">
            <v>LUVA DE CORRER, PVC PBA, JE, DN 100 / DE 110 MM, PARA REDE AGUA (NBR 10351)</v>
          </cell>
          <cell r="C2976" t="str">
            <v xml:space="preserve">UN    </v>
          </cell>
          <cell r="D2976">
            <v>38.299999999999997</v>
          </cell>
        </row>
        <row r="2977">
          <cell r="A2977">
            <v>3825</v>
          </cell>
          <cell r="B2977" t="str">
            <v>LUVA DE CORRER, PVC PBA, JE, DN 50 / DE 60 MM, PARA REDE AGUA (NBR 10351)</v>
          </cell>
          <cell r="C2977" t="str">
            <v xml:space="preserve">UN    </v>
          </cell>
          <cell r="D2977">
            <v>11.01</v>
          </cell>
        </row>
        <row r="2978">
          <cell r="A2978">
            <v>3827</v>
          </cell>
          <cell r="B2978" t="str">
            <v>LUVA DE CORRER, PVC PBA, JE, DN 75 / DE 85 MM, PARA REDE AGUA (NBR 10351)</v>
          </cell>
          <cell r="C2978" t="str">
            <v xml:space="preserve">UN    </v>
          </cell>
          <cell r="D2978">
            <v>24.06</v>
          </cell>
        </row>
        <row r="2979">
          <cell r="A2979">
            <v>20165</v>
          </cell>
          <cell r="B2979" t="str">
            <v>LUVA DE CORRER, PVC SERIE REFORCADA - R, 100 MM, PARA ESGOTO PREDIAL</v>
          </cell>
          <cell r="C2979" t="str">
            <v xml:space="preserve">UN    </v>
          </cell>
          <cell r="D2979">
            <v>18.5</v>
          </cell>
        </row>
        <row r="2980">
          <cell r="A2980">
            <v>20166</v>
          </cell>
          <cell r="B2980" t="str">
            <v>LUVA DE CORRER, PVC SERIE REFORCADA - R, 150 MM, PARA ESGOTO PREDIAL</v>
          </cell>
          <cell r="C2980" t="str">
            <v xml:space="preserve">UN    </v>
          </cell>
          <cell r="D2980">
            <v>59.77</v>
          </cell>
        </row>
        <row r="2981">
          <cell r="A2981">
            <v>20164</v>
          </cell>
          <cell r="B2981" t="str">
            <v>LUVA DE CORRER, PVC SERIE REFORCADA - R, 75 MM, PARA ESGOTO PREDIAL</v>
          </cell>
          <cell r="C2981" t="str">
            <v xml:space="preserve">UN    </v>
          </cell>
          <cell r="D2981">
            <v>9.77</v>
          </cell>
        </row>
        <row r="2982">
          <cell r="A2982">
            <v>3893</v>
          </cell>
          <cell r="B2982" t="str">
            <v>LUVA DE CORRER, PVC, DN 100 MM, PARA ESGOTO PREDIAL</v>
          </cell>
          <cell r="C2982" t="str">
            <v xml:space="preserve">UN    </v>
          </cell>
          <cell r="D2982">
            <v>12.12</v>
          </cell>
        </row>
        <row r="2983">
          <cell r="A2983">
            <v>3848</v>
          </cell>
          <cell r="B2983" t="str">
            <v>LUVA DE CORRER, PVC, DN 50 MM, PARA ESGOTO PREDIAL</v>
          </cell>
          <cell r="C2983" t="str">
            <v xml:space="preserve">UN    </v>
          </cell>
          <cell r="D2983">
            <v>7.36</v>
          </cell>
        </row>
        <row r="2984">
          <cell r="A2984">
            <v>3895</v>
          </cell>
          <cell r="B2984" t="str">
            <v>LUVA DE CORRER, PVC, DN 75 MM, PARA ESGOTO PREDIAL</v>
          </cell>
          <cell r="C2984" t="str">
            <v xml:space="preserve">UN    </v>
          </cell>
          <cell r="D2984">
            <v>8.01</v>
          </cell>
        </row>
        <row r="2985">
          <cell r="A2985">
            <v>12404</v>
          </cell>
          <cell r="B2985" t="str">
            <v>LUVA DE FERRO GALVANIZADO, COM ROSCA BSP MACHO/FEMEA, DE 3/4"</v>
          </cell>
          <cell r="C2985" t="str">
            <v xml:space="preserve">UN    </v>
          </cell>
          <cell r="D2985">
            <v>6.23</v>
          </cell>
        </row>
        <row r="2986">
          <cell r="A2986">
            <v>3939</v>
          </cell>
          <cell r="B2986" t="str">
            <v>LUVA DE FERRO GALVANIZADO, COM ROSCA BSP, DE 1 1/2"</v>
          </cell>
          <cell r="C2986" t="str">
            <v xml:space="preserve">UN    </v>
          </cell>
          <cell r="D2986">
            <v>12.83</v>
          </cell>
        </row>
        <row r="2987">
          <cell r="A2987">
            <v>3911</v>
          </cell>
          <cell r="B2987" t="str">
            <v>LUVA DE FERRO GALVANIZADO, COM ROSCA BSP, DE 1 1/4"</v>
          </cell>
          <cell r="C2987" t="str">
            <v xml:space="preserve">UN    </v>
          </cell>
          <cell r="D2987">
            <v>10.48</v>
          </cell>
        </row>
        <row r="2988">
          <cell r="A2988">
            <v>3908</v>
          </cell>
          <cell r="B2988" t="str">
            <v>LUVA DE FERRO GALVANIZADO, COM ROSCA BSP, DE 1/2"</v>
          </cell>
          <cell r="C2988" t="str">
            <v xml:space="preserve">UN    </v>
          </cell>
          <cell r="D2988">
            <v>3.39</v>
          </cell>
        </row>
        <row r="2989">
          <cell r="A2989">
            <v>3910</v>
          </cell>
          <cell r="B2989" t="str">
            <v>LUVA DE FERRO GALVANIZADO, COM ROSCA BSP, DE 1"</v>
          </cell>
          <cell r="C2989" t="str">
            <v xml:space="preserve">UN    </v>
          </cell>
          <cell r="D2989">
            <v>7.5</v>
          </cell>
        </row>
        <row r="2990">
          <cell r="A2990">
            <v>3913</v>
          </cell>
          <cell r="B2990" t="str">
            <v>LUVA DE FERRO GALVANIZADO, COM ROSCA BSP, DE 2 1/2"</v>
          </cell>
          <cell r="C2990" t="str">
            <v xml:space="preserve">UN    </v>
          </cell>
          <cell r="D2990">
            <v>35.86</v>
          </cell>
        </row>
        <row r="2991">
          <cell r="A2991">
            <v>3912</v>
          </cell>
          <cell r="B2991" t="str">
            <v>LUVA DE FERRO GALVANIZADO, COM ROSCA BSP, DE 2"</v>
          </cell>
          <cell r="C2991" t="str">
            <v xml:space="preserve">UN    </v>
          </cell>
          <cell r="D2991">
            <v>19.66</v>
          </cell>
        </row>
        <row r="2992">
          <cell r="A2992">
            <v>3909</v>
          </cell>
          <cell r="B2992" t="str">
            <v>LUVA DE FERRO GALVANIZADO, COM ROSCA BSP, DE 3/4"</v>
          </cell>
          <cell r="C2992" t="str">
            <v xml:space="preserve">UN    </v>
          </cell>
          <cell r="D2992">
            <v>4.6100000000000003</v>
          </cell>
        </row>
        <row r="2993">
          <cell r="A2993">
            <v>3914</v>
          </cell>
          <cell r="B2993" t="str">
            <v>LUVA DE FERRO GALVANIZADO, COM ROSCA BSP, DE 3"</v>
          </cell>
          <cell r="C2993" t="str">
            <v xml:space="preserve">UN    </v>
          </cell>
          <cell r="D2993">
            <v>54.1</v>
          </cell>
        </row>
        <row r="2994">
          <cell r="A2994">
            <v>3915</v>
          </cell>
          <cell r="B2994" t="str">
            <v>LUVA DE FERRO GALVANIZADO, COM ROSCA BSP, DE 4"</v>
          </cell>
          <cell r="C2994" t="str">
            <v xml:space="preserve">UN    </v>
          </cell>
          <cell r="D2994">
            <v>85.31</v>
          </cell>
        </row>
        <row r="2995">
          <cell r="A2995">
            <v>3916</v>
          </cell>
          <cell r="B2995" t="str">
            <v>LUVA DE FERRO GALVANIZADO, COM ROSCA BSP, DE 5"</v>
          </cell>
          <cell r="C2995" t="str">
            <v xml:space="preserve">UN    </v>
          </cell>
          <cell r="D2995">
            <v>155.41999999999999</v>
          </cell>
        </row>
        <row r="2996">
          <cell r="A2996">
            <v>3917</v>
          </cell>
          <cell r="B2996" t="str">
            <v>LUVA DE FERRO GALVANIZADO, COM ROSCA BSP, DE 6"</v>
          </cell>
          <cell r="C2996" t="str">
            <v xml:space="preserve">UN    </v>
          </cell>
          <cell r="D2996">
            <v>256.35000000000002</v>
          </cell>
        </row>
        <row r="2997">
          <cell r="A2997">
            <v>1904</v>
          </cell>
          <cell r="B2997" t="str">
            <v>LUVA DE PRESSAO, EM PVC, DE 20 MM, PARA ELETRODUTO FLEXIVEL</v>
          </cell>
          <cell r="C2997" t="str">
            <v xml:space="preserve">UN    </v>
          </cell>
          <cell r="D2997">
            <v>0.65</v>
          </cell>
        </row>
        <row r="2998">
          <cell r="A2998">
            <v>1899</v>
          </cell>
          <cell r="B2998" t="str">
            <v>LUVA DE PRESSAO, EM PVC, DE 25 MM, PARA ELETRODUTO FLEXIVEL</v>
          </cell>
          <cell r="C2998" t="str">
            <v xml:space="preserve">UN    </v>
          </cell>
          <cell r="D2998">
            <v>0.74</v>
          </cell>
        </row>
        <row r="2999">
          <cell r="A2999">
            <v>1900</v>
          </cell>
          <cell r="B2999" t="str">
            <v>LUVA DE PRESSAO, EM PVC, DE 32 MM, PARA ELETRODUTO FLEXIVEL</v>
          </cell>
          <cell r="C2999" t="str">
            <v xml:space="preserve">UN    </v>
          </cell>
          <cell r="D2999">
            <v>1.19</v>
          </cell>
        </row>
        <row r="3000">
          <cell r="A3000">
            <v>12407</v>
          </cell>
          <cell r="B3000" t="str">
            <v>LUVA DE REDUCAO DE FERRO GALVANIZADO, COM ROSCA BSP MACHO/FEMEA, DE 1 1/2" X 1"</v>
          </cell>
          <cell r="C3000" t="str">
            <v xml:space="preserve">UN    </v>
          </cell>
          <cell r="D3000">
            <v>19.399999999999999</v>
          </cell>
        </row>
        <row r="3001">
          <cell r="A3001">
            <v>12408</v>
          </cell>
          <cell r="B3001" t="str">
            <v>LUVA DE REDUCAO DE FERRO GALVANIZADO, COM ROSCA BSP MACHO/FEMEA, DE 1" X 1/2"</v>
          </cell>
          <cell r="C3001" t="str">
            <v xml:space="preserve">UN    </v>
          </cell>
          <cell r="D3001">
            <v>10.95</v>
          </cell>
        </row>
        <row r="3002">
          <cell r="A3002">
            <v>12409</v>
          </cell>
          <cell r="B3002" t="str">
            <v>LUVA DE REDUCAO DE FERRO GALVANIZADO, COM ROSCA BSP MACHO/FEMEA, DE 1" X 3/4"</v>
          </cell>
          <cell r="C3002" t="str">
            <v xml:space="preserve">UN    </v>
          </cell>
          <cell r="D3002">
            <v>10.95</v>
          </cell>
        </row>
        <row r="3003">
          <cell r="A3003">
            <v>12410</v>
          </cell>
          <cell r="B3003" t="str">
            <v>LUVA DE REDUCAO DE FERRO GALVANIZADO, COM ROSCA BSP MACHO/FEMEA, DE 3/4" X 1/2"</v>
          </cell>
          <cell r="C3003" t="str">
            <v xml:space="preserve">UN    </v>
          </cell>
          <cell r="D3003">
            <v>7.54</v>
          </cell>
        </row>
        <row r="3004">
          <cell r="A3004">
            <v>3936</v>
          </cell>
          <cell r="B3004" t="str">
            <v>LUVA DE REDUCAO DE FERRO GALVANIZADO, COM ROSCA BSP, DE 1 1/2" X 1 1/4"</v>
          </cell>
          <cell r="C3004" t="str">
            <v xml:space="preserve">UN    </v>
          </cell>
          <cell r="D3004">
            <v>13.63</v>
          </cell>
        </row>
        <row r="3005">
          <cell r="A3005">
            <v>3922</v>
          </cell>
          <cell r="B3005" t="str">
            <v>LUVA DE REDUCAO DE FERRO GALVANIZADO, COM ROSCA BSP, DE 1 1/2" X 1/2"</v>
          </cell>
          <cell r="C3005" t="str">
            <v xml:space="preserve">UN    </v>
          </cell>
          <cell r="D3005">
            <v>12.54</v>
          </cell>
        </row>
        <row r="3006">
          <cell r="A3006">
            <v>3924</v>
          </cell>
          <cell r="B3006" t="str">
            <v>LUVA DE REDUCAO DE FERRO GALVANIZADO, COM ROSCA BSP, DE 1 1/2" X 1"</v>
          </cell>
          <cell r="C3006" t="str">
            <v xml:space="preserve">UN    </v>
          </cell>
          <cell r="D3006">
            <v>13.63</v>
          </cell>
        </row>
        <row r="3007">
          <cell r="A3007">
            <v>3923</v>
          </cell>
          <cell r="B3007" t="str">
            <v>LUVA DE REDUCAO DE FERRO GALVANIZADO, COM ROSCA BSP, DE 1 1/2" X 3/4"</v>
          </cell>
          <cell r="C3007" t="str">
            <v xml:space="preserve">UN    </v>
          </cell>
          <cell r="D3007">
            <v>13.63</v>
          </cell>
        </row>
        <row r="3008">
          <cell r="A3008">
            <v>3937</v>
          </cell>
          <cell r="B3008" t="str">
            <v>LUVA DE REDUCAO DE FERRO GALVANIZADO, COM ROSCA BSP, DE 1 1/4" X 1/2"</v>
          </cell>
          <cell r="C3008" t="str">
            <v xml:space="preserve">UN    </v>
          </cell>
          <cell r="D3008">
            <v>11.25</v>
          </cell>
        </row>
        <row r="3009">
          <cell r="A3009">
            <v>3921</v>
          </cell>
          <cell r="B3009" t="str">
            <v>LUVA DE REDUCAO DE FERRO GALVANIZADO, COM ROSCA BSP, DE 1 1/4" X 1"</v>
          </cell>
          <cell r="C3009" t="str">
            <v xml:space="preserve">UN    </v>
          </cell>
          <cell r="D3009">
            <v>11.25</v>
          </cell>
        </row>
        <row r="3010">
          <cell r="A3010">
            <v>3920</v>
          </cell>
          <cell r="B3010" t="str">
            <v>LUVA DE REDUCAO DE FERRO GALVANIZADO, COM ROSCA BSP, DE 1 1/4" X 3/4"</v>
          </cell>
          <cell r="C3010" t="str">
            <v xml:space="preserve">UN    </v>
          </cell>
          <cell r="D3010">
            <v>11.25</v>
          </cell>
        </row>
        <row r="3011">
          <cell r="A3011">
            <v>3938</v>
          </cell>
          <cell r="B3011" t="str">
            <v>LUVA DE REDUCAO DE FERRO GALVANIZADO, COM ROSCA BSP, DE 1" X 1/2"</v>
          </cell>
          <cell r="C3011" t="str">
            <v xml:space="preserve">UN    </v>
          </cell>
          <cell r="D3011">
            <v>7.41</v>
          </cell>
        </row>
        <row r="3012">
          <cell r="A3012">
            <v>3919</v>
          </cell>
          <cell r="B3012" t="str">
            <v>LUVA DE REDUCAO DE FERRO GALVANIZADO, COM ROSCA BSP, DE 1" X 3/4"</v>
          </cell>
          <cell r="C3012" t="str">
            <v xml:space="preserve">UN    </v>
          </cell>
          <cell r="D3012">
            <v>7.56</v>
          </cell>
        </row>
        <row r="3013">
          <cell r="A3013">
            <v>3927</v>
          </cell>
          <cell r="B3013" t="str">
            <v>LUVA DE REDUCAO DE FERRO GALVANIZADO, COM ROSCA BSP, DE 2 1/2" X 1 1/2"</v>
          </cell>
          <cell r="C3013" t="str">
            <v xml:space="preserve">UN    </v>
          </cell>
          <cell r="D3013">
            <v>38.29</v>
          </cell>
        </row>
        <row r="3014">
          <cell r="A3014">
            <v>3928</v>
          </cell>
          <cell r="B3014" t="str">
            <v>LUVA DE REDUCAO DE FERRO GALVANIZADO, COM ROSCA BSP, DE 2 1/2" X 2"</v>
          </cell>
          <cell r="C3014" t="str">
            <v xml:space="preserve">UN    </v>
          </cell>
          <cell r="D3014">
            <v>38.29</v>
          </cell>
        </row>
        <row r="3015">
          <cell r="A3015">
            <v>3926</v>
          </cell>
          <cell r="B3015" t="str">
            <v>LUVA DE REDUCAO DE FERRO GALVANIZADO, COM ROSCA BSP, DE 2" X 1 1/2"</v>
          </cell>
          <cell r="C3015" t="str">
            <v xml:space="preserve">UN    </v>
          </cell>
          <cell r="D3015">
            <v>21.83</v>
          </cell>
        </row>
        <row r="3016">
          <cell r="A3016">
            <v>3935</v>
          </cell>
          <cell r="B3016" t="str">
            <v>LUVA DE REDUCAO DE FERRO GALVANIZADO, COM ROSCA BSP, DE 2" X 1 1/4"</v>
          </cell>
          <cell r="C3016" t="str">
            <v xml:space="preserve">UN    </v>
          </cell>
          <cell r="D3016">
            <v>21.83</v>
          </cell>
        </row>
        <row r="3017">
          <cell r="A3017">
            <v>3925</v>
          </cell>
          <cell r="B3017" t="str">
            <v>LUVA DE REDUCAO DE FERRO GALVANIZADO, COM ROSCA BSP, DE 2" X 1"</v>
          </cell>
          <cell r="C3017" t="str">
            <v xml:space="preserve">UN    </v>
          </cell>
          <cell r="D3017">
            <v>21.83</v>
          </cell>
        </row>
        <row r="3018">
          <cell r="A3018">
            <v>12406</v>
          </cell>
          <cell r="B3018" t="str">
            <v>LUVA DE REDUCAO DE FERRO GALVANIZADO, COM ROSCA BSP, DE 3/4" X 1/2"</v>
          </cell>
          <cell r="C3018" t="str">
            <v xml:space="preserve">UN    </v>
          </cell>
          <cell r="D3018">
            <v>5.36</v>
          </cell>
        </row>
        <row r="3019">
          <cell r="A3019">
            <v>3929</v>
          </cell>
          <cell r="B3019" t="str">
            <v>LUVA DE REDUCAO DE FERRO GALVANIZADO, COM ROSCA BSP, DE 3" X 1 1/2"</v>
          </cell>
          <cell r="C3019" t="str">
            <v xml:space="preserve">UN    </v>
          </cell>
          <cell r="D3019">
            <v>58.34</v>
          </cell>
        </row>
        <row r="3020">
          <cell r="A3020">
            <v>3931</v>
          </cell>
          <cell r="B3020" t="str">
            <v>LUVA DE REDUCAO DE FERRO GALVANIZADO, COM ROSCA BSP, DE 3" X 2 1/2"</v>
          </cell>
          <cell r="C3020" t="str">
            <v xml:space="preserve">UN    </v>
          </cell>
          <cell r="D3020">
            <v>58.34</v>
          </cell>
        </row>
        <row r="3021">
          <cell r="A3021">
            <v>3930</v>
          </cell>
          <cell r="B3021" t="str">
            <v>LUVA DE REDUCAO DE FERRO GALVANIZADO, COM ROSCA BSP, DE 3" X 2"</v>
          </cell>
          <cell r="C3021" t="str">
            <v xml:space="preserve">UN    </v>
          </cell>
          <cell r="D3021">
            <v>58.34</v>
          </cell>
        </row>
        <row r="3022">
          <cell r="A3022">
            <v>3932</v>
          </cell>
          <cell r="B3022" t="str">
            <v>LUVA DE REDUCAO DE FERRO GALVANIZADO, COM ROSCA BSP, DE 4" X 2 1/2"</v>
          </cell>
          <cell r="C3022" t="str">
            <v xml:space="preserve">UN    </v>
          </cell>
          <cell r="D3022">
            <v>100.74</v>
          </cell>
        </row>
        <row r="3023">
          <cell r="A3023">
            <v>3933</v>
          </cell>
          <cell r="B3023" t="str">
            <v>LUVA DE REDUCAO DE FERRO GALVANIZADO, COM ROSCA BSP, DE 4" X 2"</v>
          </cell>
          <cell r="C3023" t="str">
            <v xml:space="preserve">UN    </v>
          </cell>
          <cell r="D3023">
            <v>100.74</v>
          </cell>
        </row>
        <row r="3024">
          <cell r="A3024">
            <v>3934</v>
          </cell>
          <cell r="B3024" t="str">
            <v>LUVA DE REDUCAO DE FERRO GALVANIZADO, COM ROSCA BSP, DE 4" X 3"</v>
          </cell>
          <cell r="C3024" t="str">
            <v xml:space="preserve">UN    </v>
          </cell>
          <cell r="D3024">
            <v>100.74</v>
          </cell>
        </row>
        <row r="3025">
          <cell r="A3025">
            <v>40355</v>
          </cell>
          <cell r="B3025" t="str">
            <v>LUVA DE REDUCAO EM ACO CARBONO, COM ENCAIXE PARA SOLDA DN SW, PRESSAO 3.000 LBS,  3/4 " X 1/2"</v>
          </cell>
          <cell r="C3025" t="str">
            <v xml:space="preserve">UN    </v>
          </cell>
          <cell r="D3025">
            <v>7.11</v>
          </cell>
        </row>
        <row r="3026">
          <cell r="A3026">
            <v>40364</v>
          </cell>
          <cell r="B3026" t="str">
            <v>LUVA DE REDUCAO EM ACO CARBONO, COM ENCAIXE PARA SOLDA DN SW, PRESSAO 3.000 LBS, DN 1 1/2" X 1 1/4"</v>
          </cell>
          <cell r="C3026" t="str">
            <v xml:space="preserve">UN    </v>
          </cell>
          <cell r="D3026">
            <v>33.32</v>
          </cell>
        </row>
        <row r="3027">
          <cell r="A3027">
            <v>40361</v>
          </cell>
          <cell r="B3027" t="str">
            <v>LUVA DE REDUCAO EM ACO CARBONO, COM ENCAIXE PARA SOLDA DN SW, PRESSAO 3.000 LBS, DN 1 1/4"  X 1"</v>
          </cell>
          <cell r="C3027" t="str">
            <v xml:space="preserve">UN    </v>
          </cell>
          <cell r="D3027">
            <v>26.05</v>
          </cell>
        </row>
        <row r="3028">
          <cell r="A3028">
            <v>40358</v>
          </cell>
          <cell r="B3028" t="str">
            <v>LUVA DE REDUCAO EM ACO CARBONO, COM ENCAIXE PARA SOLDA DN SW, PRESSAO 3.000 LBS, DN 1" X 3/4"</v>
          </cell>
          <cell r="C3028" t="str">
            <v xml:space="preserve">UN    </v>
          </cell>
          <cell r="D3028">
            <v>9.93</v>
          </cell>
        </row>
        <row r="3029">
          <cell r="A3029">
            <v>40370</v>
          </cell>
          <cell r="B3029" t="str">
            <v>LUVA DE REDUCAO EM ACO CARBONO, COM ENCAIXE PARA SOLDA DN SW, PRESSAO 3.000 LBS, DN 2 1/2" X 2"</v>
          </cell>
          <cell r="C3029" t="str">
            <v xml:space="preserve">UN    </v>
          </cell>
          <cell r="D3029">
            <v>105.72</v>
          </cell>
        </row>
        <row r="3030">
          <cell r="A3030">
            <v>40367</v>
          </cell>
          <cell r="B3030" t="str">
            <v>LUVA DE REDUCAO EM ACO CARBONO, COM ENCAIXE PARA SOLDA DN SW, PRESSAO 3.000 LBS, DN 2" X 1 1/2"</v>
          </cell>
          <cell r="C3030" t="str">
            <v xml:space="preserve">UN    </v>
          </cell>
          <cell r="D3030">
            <v>52.54</v>
          </cell>
        </row>
        <row r="3031">
          <cell r="A3031">
            <v>40373</v>
          </cell>
          <cell r="B3031" t="str">
            <v>LUVA DE REDUCAO EM ACO CARBONO, COM ENCAIXE PARA SOLDA DN SW, PRESSAO 3.000 LBS, DN 3" X 2 1/2"</v>
          </cell>
          <cell r="C3031" t="str">
            <v xml:space="preserve">UN    </v>
          </cell>
          <cell r="D3031">
            <v>142.96</v>
          </cell>
        </row>
        <row r="3032">
          <cell r="A3032">
            <v>38947</v>
          </cell>
          <cell r="B3032" t="str">
            <v>LUVA DE REDUCAO PARA TUBO PEX, METALICA, PARA CONEXAO COM ANEL DESLIZANTE, DN 20 X 16 MM</v>
          </cell>
          <cell r="C3032" t="str">
            <v xml:space="preserve">UN    </v>
          </cell>
          <cell r="D3032">
            <v>5.99</v>
          </cell>
        </row>
        <row r="3033">
          <cell r="A3033">
            <v>38948</v>
          </cell>
          <cell r="B3033" t="str">
            <v>LUVA DE REDUCAO PARA TUBO PEX, METALICA, PARA CONEXAO COM ANEL DESLIZANTE, DN 25 X 16 MM</v>
          </cell>
          <cell r="C3033" t="str">
            <v xml:space="preserve">UN    </v>
          </cell>
          <cell r="D3033">
            <v>9.56</v>
          </cell>
        </row>
        <row r="3034">
          <cell r="A3034">
            <v>38949</v>
          </cell>
          <cell r="B3034" t="str">
            <v>LUVA DE REDUCAO PARA TUBO PEX, METALICA, PARA CONEXAO COM ANEL DESLIZANTE, DN 25 X 20 MM</v>
          </cell>
          <cell r="C3034" t="str">
            <v xml:space="preserve">UN    </v>
          </cell>
          <cell r="D3034">
            <v>10.6</v>
          </cell>
        </row>
        <row r="3035">
          <cell r="A3035">
            <v>38951</v>
          </cell>
          <cell r="B3035" t="str">
            <v>LUVA DE REDUCAO PARA TUBO PEX, METALICA, PARA CONEXAO COM ANEL DESLIZANTE, DN 32 X 25 MM</v>
          </cell>
          <cell r="C3035" t="str">
            <v xml:space="preserve">UN    </v>
          </cell>
          <cell r="D3035">
            <v>16.77</v>
          </cell>
        </row>
        <row r="3036">
          <cell r="A3036">
            <v>39312</v>
          </cell>
          <cell r="B3036" t="str">
            <v>LUVA DE REDUCAO PARA TUBO PEX, PLASTICA, PARA CONEXAO COM CRIMPAGEM, DN 20 X 16 MM</v>
          </cell>
          <cell r="C3036" t="str">
            <v xml:space="preserve">UN    </v>
          </cell>
          <cell r="D3036">
            <v>13.01</v>
          </cell>
        </row>
        <row r="3037">
          <cell r="A3037">
            <v>39313</v>
          </cell>
          <cell r="B3037" t="str">
            <v>LUVA DE REDUCAO PARA TUBO PEX, PLASTICA, PARA CONEXAO COM CRIMPAGEM, DN 25 X 16 MM</v>
          </cell>
          <cell r="C3037" t="str">
            <v xml:space="preserve">UN    </v>
          </cell>
          <cell r="D3037">
            <v>16.98</v>
          </cell>
        </row>
        <row r="3038">
          <cell r="A3038">
            <v>38950</v>
          </cell>
          <cell r="B3038" t="str">
            <v>LUVA DE REDUCAO PARA TUBO PEX, PLASTICA, PARA CONEXAO COM CRIMPAGEM, DN 32 X 20 MM</v>
          </cell>
          <cell r="C3038" t="str">
            <v xml:space="preserve">UN    </v>
          </cell>
          <cell r="D3038">
            <v>25.55</v>
          </cell>
        </row>
        <row r="3039">
          <cell r="A3039">
            <v>39314</v>
          </cell>
          <cell r="B3039" t="str">
            <v>LUVA DE REDUCAO PARA TUBO PEX, PLASTICA, PARA CONEXAO COM CRIMPAGEM, DN 32 X 25 MM</v>
          </cell>
          <cell r="C3039" t="str">
            <v xml:space="preserve">UN    </v>
          </cell>
          <cell r="D3039">
            <v>26.96</v>
          </cell>
        </row>
        <row r="3040">
          <cell r="A3040">
            <v>3907</v>
          </cell>
          <cell r="B3040" t="str">
            <v>LUVA DE REDUCAO ROSCAVEL, PVC, 1" X 3/4", PARA AGUA FRIA PREDIAL</v>
          </cell>
          <cell r="C3040" t="str">
            <v xml:space="preserve">UN    </v>
          </cell>
          <cell r="D3040">
            <v>3.29</v>
          </cell>
        </row>
        <row r="3041">
          <cell r="A3041">
            <v>3889</v>
          </cell>
          <cell r="B3041" t="str">
            <v>LUVA DE REDUCAO ROSCAVEL, PVC, 3/4" X 1/2", PARA AGUA FRIA PREDIAL</v>
          </cell>
          <cell r="C3041" t="str">
            <v xml:space="preserve">UN    </v>
          </cell>
          <cell r="D3041">
            <v>2.5099999999999998</v>
          </cell>
        </row>
        <row r="3042">
          <cell r="A3042">
            <v>3868</v>
          </cell>
          <cell r="B3042" t="str">
            <v>LUVA DE REDUCAO SOLDAVEL, PVC, 25 MM X 20 MM, PARA AGUA FRIA PREDIAL</v>
          </cell>
          <cell r="C3042" t="str">
            <v xml:space="preserve">UN    </v>
          </cell>
          <cell r="D3042">
            <v>0.97</v>
          </cell>
        </row>
        <row r="3043">
          <cell r="A3043">
            <v>3869</v>
          </cell>
          <cell r="B3043" t="str">
            <v>LUVA DE REDUCAO SOLDAVEL, PVC, 32 MM X 25 MM, PARA AGUA FRIA PREDIAL</v>
          </cell>
          <cell r="C3043" t="str">
            <v xml:space="preserve">UN    </v>
          </cell>
          <cell r="D3043">
            <v>2.79</v>
          </cell>
        </row>
        <row r="3044">
          <cell r="A3044">
            <v>3872</v>
          </cell>
          <cell r="B3044" t="str">
            <v>LUVA DE REDUCAO SOLDAVEL, PVC, 40 MM X 32 MM, PARA AGUA FRIA PREDIAL</v>
          </cell>
          <cell r="C3044" t="str">
            <v xml:space="preserve">UN    </v>
          </cell>
          <cell r="D3044">
            <v>3.39</v>
          </cell>
        </row>
        <row r="3045">
          <cell r="A3045">
            <v>3850</v>
          </cell>
          <cell r="B3045" t="str">
            <v>LUVA DE REDUCAO SOLDAVEL, PVC, 60 MM X 50 MM, PARA AGUA FRIA PREDIAL</v>
          </cell>
          <cell r="C3045" t="str">
            <v xml:space="preserve">UN    </v>
          </cell>
          <cell r="D3045">
            <v>8.74</v>
          </cell>
        </row>
        <row r="3046">
          <cell r="A3046">
            <v>38023</v>
          </cell>
          <cell r="B3046" t="str">
            <v>LUVA DE REDUCAO, PVC, SOLDAVEL, 50 X 25 MM, PARA AGUA FRIA PREDIAL</v>
          </cell>
          <cell r="C3046" t="str">
            <v xml:space="preserve">UN    </v>
          </cell>
          <cell r="D3046">
            <v>3.69</v>
          </cell>
        </row>
        <row r="3047">
          <cell r="A3047">
            <v>37986</v>
          </cell>
          <cell r="B3047" t="str">
            <v>LUVA DE TRANSICAO DE CPVC X PVC, SOLDAVEL, 22 X 25 MM, PARA AGUA QUENTE</v>
          </cell>
          <cell r="C3047" t="str">
            <v xml:space="preserve">UN    </v>
          </cell>
          <cell r="D3047">
            <v>2.21</v>
          </cell>
        </row>
        <row r="3048">
          <cell r="A3048">
            <v>37987</v>
          </cell>
          <cell r="B3048" t="str">
            <v>LUVA DE TRANSICAO, CPVC, SOLDAVEL, 42 MM X 1 1/2", PARA AGUA QUENTE</v>
          </cell>
          <cell r="C3048" t="str">
            <v xml:space="preserve">UN    </v>
          </cell>
          <cell r="D3048">
            <v>165.59</v>
          </cell>
        </row>
        <row r="3049">
          <cell r="A3049">
            <v>37988</v>
          </cell>
          <cell r="B3049" t="str">
            <v>LUVA DE TRANSICAO, CPVC, SOLDAVEL, 54 MM X 2", PARA AGUA QUENTE PREDIAL</v>
          </cell>
          <cell r="C3049" t="str">
            <v xml:space="preserve">UN    </v>
          </cell>
          <cell r="D3049">
            <v>270.08999999999997</v>
          </cell>
        </row>
        <row r="3050">
          <cell r="A3050">
            <v>21120</v>
          </cell>
          <cell r="B3050" t="str">
            <v>LUVA DE TRANSICAO, CPVC, 15 MM X 1/2", PARA AGUA QUENTE PREDIAL</v>
          </cell>
          <cell r="C3050" t="str">
            <v xml:space="preserve">UN    </v>
          </cell>
          <cell r="D3050">
            <v>13.46</v>
          </cell>
        </row>
        <row r="3051">
          <cell r="A3051">
            <v>39318</v>
          </cell>
          <cell r="B3051" t="str">
            <v>LUVA DE TRANSICAO, CPVC, 22 MM X 1/2", PARA AGUA QUENTE</v>
          </cell>
          <cell r="C3051" t="str">
            <v xml:space="preserve">UN    </v>
          </cell>
          <cell r="D3051">
            <v>11.1</v>
          </cell>
        </row>
        <row r="3052">
          <cell r="A3052">
            <v>20162</v>
          </cell>
          <cell r="B3052" t="str">
            <v>LUVA DUPLA, PVC LEVE, DN 150 MM</v>
          </cell>
          <cell r="C3052" t="str">
            <v xml:space="preserve">UN    </v>
          </cell>
          <cell r="D3052">
            <v>12.85</v>
          </cell>
        </row>
        <row r="3053">
          <cell r="A3053">
            <v>40366</v>
          </cell>
          <cell r="B3053" t="str">
            <v>LUVA EM ACO CARBONO, SOLDAVEL, PRESSAO 3.000 LBS, DN 1 1/2"</v>
          </cell>
          <cell r="C3053" t="str">
            <v xml:space="preserve">UN    </v>
          </cell>
          <cell r="D3053">
            <v>25.99</v>
          </cell>
        </row>
        <row r="3054">
          <cell r="A3054">
            <v>40363</v>
          </cell>
          <cell r="B3054" t="str">
            <v>LUVA EM ACO CARBONO, SOLDAVEL, PRESSAO 3.000 LBS, DN 1 1/4"</v>
          </cell>
          <cell r="C3054" t="str">
            <v xml:space="preserve">UN    </v>
          </cell>
          <cell r="D3054">
            <v>20.329999999999998</v>
          </cell>
        </row>
        <row r="3055">
          <cell r="A3055">
            <v>40354</v>
          </cell>
          <cell r="B3055" t="str">
            <v>LUVA EM ACO CARBONO, SOLDAVEL, PRESSAO 3.000 LBS, DN 1/2"</v>
          </cell>
          <cell r="C3055" t="str">
            <v xml:space="preserve">UN    </v>
          </cell>
          <cell r="D3055">
            <v>8.85</v>
          </cell>
        </row>
        <row r="3056">
          <cell r="A3056">
            <v>40360</v>
          </cell>
          <cell r="B3056" t="str">
            <v>LUVA EM ACO CARBONO, SOLDAVEL, PRESSAO 3.000 LBS, DN 1"</v>
          </cell>
          <cell r="C3056" t="str">
            <v xml:space="preserve">UN    </v>
          </cell>
          <cell r="D3056">
            <v>13.32</v>
          </cell>
        </row>
        <row r="3057">
          <cell r="A3057">
            <v>40372</v>
          </cell>
          <cell r="B3057" t="str">
            <v>LUVA EM ACO CARBONO, SOLDAVEL, PRESSAO 3.000 LBS, DN 2 1/2"</v>
          </cell>
          <cell r="C3057" t="str">
            <v xml:space="preserve">UN    </v>
          </cell>
          <cell r="D3057">
            <v>82.29</v>
          </cell>
        </row>
        <row r="3058">
          <cell r="A3058">
            <v>40369</v>
          </cell>
          <cell r="B3058" t="str">
            <v>LUVA EM ACO CARBONO, SOLDAVEL, PRESSAO 3.000 LBS, DN 2"</v>
          </cell>
          <cell r="C3058" t="str">
            <v xml:space="preserve">UN    </v>
          </cell>
          <cell r="D3058">
            <v>40.96</v>
          </cell>
        </row>
        <row r="3059">
          <cell r="A3059">
            <v>40357</v>
          </cell>
          <cell r="B3059" t="str">
            <v>LUVA EM ACO CARBONO, SOLDAVEL, PRESSAO 3.000 LBS, DN 3/4"</v>
          </cell>
          <cell r="C3059" t="str">
            <v xml:space="preserve">UN    </v>
          </cell>
          <cell r="D3059">
            <v>9.93</v>
          </cell>
        </row>
        <row r="3060">
          <cell r="A3060">
            <v>40375</v>
          </cell>
          <cell r="B3060" t="str">
            <v>LUVA EM ACO CARBONO, SOLDAVEL, PRESSAO 3.000 LBS, DN 3"</v>
          </cell>
          <cell r="C3060" t="str">
            <v xml:space="preserve">UN    </v>
          </cell>
          <cell r="D3060">
            <v>111.41</v>
          </cell>
        </row>
        <row r="3061">
          <cell r="A3061">
            <v>1893</v>
          </cell>
          <cell r="B3061" t="str">
            <v>LUVA EM PVC RIGIDO ROSCAVEL, DE 1 1/2", PARA ELETRODUTO</v>
          </cell>
          <cell r="C3061" t="str">
            <v xml:space="preserve">UN    </v>
          </cell>
          <cell r="D3061">
            <v>2.46</v>
          </cell>
        </row>
        <row r="3062">
          <cell r="A3062">
            <v>1902</v>
          </cell>
          <cell r="B3062" t="str">
            <v>LUVA EM PVC RIGIDO ROSCAVEL, DE 1 1/4", PARA ELETRODUTO</v>
          </cell>
          <cell r="C3062" t="str">
            <v xml:space="preserve">UN    </v>
          </cell>
          <cell r="D3062">
            <v>1.79</v>
          </cell>
        </row>
        <row r="3063">
          <cell r="A3063">
            <v>1901</v>
          </cell>
          <cell r="B3063" t="str">
            <v>LUVA EM PVC RIGIDO ROSCAVEL, DE 1/2", PARA ELETRODUTO</v>
          </cell>
          <cell r="C3063" t="str">
            <v xml:space="preserve">UN    </v>
          </cell>
          <cell r="D3063">
            <v>0.56000000000000005</v>
          </cell>
        </row>
        <row r="3064">
          <cell r="A3064">
            <v>1892</v>
          </cell>
          <cell r="B3064" t="str">
            <v>LUVA EM PVC RIGIDO ROSCAVEL, DE 1", PARA ELETRODUTO</v>
          </cell>
          <cell r="C3064" t="str">
            <v xml:space="preserve">UN    </v>
          </cell>
          <cell r="D3064">
            <v>1.1499999999999999</v>
          </cell>
        </row>
        <row r="3065">
          <cell r="A3065">
            <v>1907</v>
          </cell>
          <cell r="B3065" t="str">
            <v>LUVA EM PVC RIGIDO ROSCAVEL, DE 2 1/2", PARA ELETRODUTO</v>
          </cell>
          <cell r="C3065" t="str">
            <v xml:space="preserve">UN    </v>
          </cell>
          <cell r="D3065">
            <v>7.92</v>
          </cell>
        </row>
        <row r="3066">
          <cell r="A3066">
            <v>1894</v>
          </cell>
          <cell r="B3066" t="str">
            <v>LUVA EM PVC RIGIDO ROSCAVEL, DE 2", PARA ELETRODUTO</v>
          </cell>
          <cell r="C3066" t="str">
            <v xml:space="preserve">UN    </v>
          </cell>
          <cell r="D3066">
            <v>3.56</v>
          </cell>
        </row>
        <row r="3067">
          <cell r="A3067">
            <v>1891</v>
          </cell>
          <cell r="B3067" t="str">
            <v>LUVA EM PVC RIGIDO ROSCAVEL, DE 3/4", PARA ELETRODUTO</v>
          </cell>
          <cell r="C3067" t="str">
            <v xml:space="preserve">UN    </v>
          </cell>
          <cell r="D3067">
            <v>0.82</v>
          </cell>
        </row>
        <row r="3068">
          <cell r="A3068">
            <v>1896</v>
          </cell>
          <cell r="B3068" t="str">
            <v>LUVA EM PVC RIGIDO ROSCAVEL, DE 3", PARA ELETRODUTO</v>
          </cell>
          <cell r="C3068" t="str">
            <v xml:space="preserve">UN    </v>
          </cell>
          <cell r="D3068">
            <v>10.63</v>
          </cell>
        </row>
        <row r="3069">
          <cell r="A3069">
            <v>1895</v>
          </cell>
          <cell r="B3069" t="str">
            <v>LUVA EM PVC RIGIDO ROSCAVEL, DE 4", PARA ELETRODUTO</v>
          </cell>
          <cell r="C3069" t="str">
            <v xml:space="preserve">UN    </v>
          </cell>
          <cell r="D3069">
            <v>18.690000000000001</v>
          </cell>
        </row>
        <row r="3070">
          <cell r="A3070">
            <v>2641</v>
          </cell>
          <cell r="B3070" t="str">
            <v>LUVA PARA ELETRODUTO, EM ACO GALVANIZADO ELETROLITICO, DIAMETRO DE 100 MM (4")</v>
          </cell>
          <cell r="C3070" t="str">
            <v xml:space="preserve">UN    </v>
          </cell>
          <cell r="D3070">
            <v>24.86</v>
          </cell>
        </row>
        <row r="3071">
          <cell r="A3071">
            <v>2636</v>
          </cell>
          <cell r="B3071" t="str">
            <v>LUVA PARA ELETRODUTO, EM ACO GALVANIZADO ELETROLITICO, DIAMETRO DE 15 MM (1/2")</v>
          </cell>
          <cell r="C3071" t="str">
            <v xml:space="preserve">UN    </v>
          </cell>
          <cell r="D3071">
            <v>1.6</v>
          </cell>
        </row>
        <row r="3072">
          <cell r="A3072">
            <v>2637</v>
          </cell>
          <cell r="B3072" t="str">
            <v>LUVA PARA ELETRODUTO, EM ACO GALVANIZADO ELETROLITICO, DIAMETRO DE 20 MM (3/4")</v>
          </cell>
          <cell r="C3072" t="str">
            <v xml:space="preserve">UN    </v>
          </cell>
          <cell r="D3072">
            <v>1.7</v>
          </cell>
        </row>
        <row r="3073">
          <cell r="A3073">
            <v>2638</v>
          </cell>
          <cell r="B3073" t="str">
            <v>LUVA PARA ELETRODUTO, EM ACO GALVANIZADO ELETROLITICO, DIAMETRO DE 25 MM (1")</v>
          </cell>
          <cell r="C3073" t="str">
            <v xml:space="preserve">UN    </v>
          </cell>
          <cell r="D3073">
            <v>1.98</v>
          </cell>
        </row>
        <row r="3074">
          <cell r="A3074">
            <v>2639</v>
          </cell>
          <cell r="B3074" t="str">
            <v>LUVA PARA ELETRODUTO, EM ACO GALVANIZADO ELETROLITICO, DIAMETRO DE 32 MM (1 1/4")</v>
          </cell>
          <cell r="C3074" t="str">
            <v xml:space="preserve">UN    </v>
          </cell>
          <cell r="D3074">
            <v>3.51</v>
          </cell>
        </row>
        <row r="3075">
          <cell r="A3075">
            <v>2644</v>
          </cell>
          <cell r="B3075" t="str">
            <v>LUVA PARA ELETRODUTO, EM ACO GALVANIZADO ELETROLITICO, DIAMETRO DE 40 MM (1 1/2")</v>
          </cell>
          <cell r="C3075" t="str">
            <v xml:space="preserve">UN    </v>
          </cell>
          <cell r="D3075">
            <v>5.08</v>
          </cell>
        </row>
        <row r="3076">
          <cell r="A3076">
            <v>2643</v>
          </cell>
          <cell r="B3076" t="str">
            <v>LUVA PARA ELETRODUTO, EM ACO GALVANIZADO ELETROLITICO, DIAMETRO DE 50 MM (2")</v>
          </cell>
          <cell r="C3076" t="str">
            <v xml:space="preserve">UN    </v>
          </cell>
          <cell r="D3076">
            <v>7.09</v>
          </cell>
        </row>
        <row r="3077">
          <cell r="A3077">
            <v>2640</v>
          </cell>
          <cell r="B3077" t="str">
            <v>LUVA PARA ELETRODUTO, EM ACO GALVANIZADO ELETROLITICO, DIAMETRO DE 65 MM (2 1/2")</v>
          </cell>
          <cell r="C3077" t="str">
            <v xml:space="preserve">UN    </v>
          </cell>
          <cell r="D3077">
            <v>10.34</v>
          </cell>
        </row>
        <row r="3078">
          <cell r="A3078">
            <v>2642</v>
          </cell>
          <cell r="B3078" t="str">
            <v>LUVA PARA ELETRODUTO, EM ACO GALVANIZADO ELETROLITICO, DIAMETRO DE 80 MM (3")</v>
          </cell>
          <cell r="C3078" t="str">
            <v xml:space="preserve">UN    </v>
          </cell>
          <cell r="D3078">
            <v>15.75</v>
          </cell>
        </row>
        <row r="3079">
          <cell r="A3079">
            <v>38943</v>
          </cell>
          <cell r="B3079" t="str">
            <v>LUVA PARA TUBO PEX, METALICO, PARA CONEXAO COM ANEL DESLIZANTE, DN 16 MM</v>
          </cell>
          <cell r="C3079" t="str">
            <v xml:space="preserve">UN    </v>
          </cell>
          <cell r="D3079">
            <v>4.42</v>
          </cell>
        </row>
        <row r="3080">
          <cell r="A3080">
            <v>38944</v>
          </cell>
          <cell r="B3080" t="str">
            <v>LUVA PARA TUBO PEX, METALICO, PARA CONEXAO COM ANEL DESLIZANTE, DN 20 MM</v>
          </cell>
          <cell r="C3080" t="str">
            <v xml:space="preserve">UN    </v>
          </cell>
          <cell r="D3080">
            <v>6.83</v>
          </cell>
        </row>
        <row r="3081">
          <cell r="A3081">
            <v>38945</v>
          </cell>
          <cell r="B3081" t="str">
            <v>LUVA PARA TUBO PEX, METALICO, PARA CONEXAO COM ANEL DESLIZANTE, DN 25 MM</v>
          </cell>
          <cell r="C3081" t="str">
            <v xml:space="preserve">UN    </v>
          </cell>
          <cell r="D3081">
            <v>13.86</v>
          </cell>
        </row>
        <row r="3082">
          <cell r="A3082">
            <v>38946</v>
          </cell>
          <cell r="B3082" t="str">
            <v>LUVA PARA TUBO PEX, METALICO, PARA CONEXAO COM ANEL DESLIZANTE, DN 32 MM</v>
          </cell>
          <cell r="C3082" t="str">
            <v xml:space="preserve">UN    </v>
          </cell>
          <cell r="D3082">
            <v>20.67</v>
          </cell>
        </row>
        <row r="3083">
          <cell r="A3083">
            <v>39308</v>
          </cell>
          <cell r="B3083" t="str">
            <v>LUVA PARA TUBO PEX, PLASTICA, PARA CONEXAO COM CRIMPAGEM, DN 16 MM</v>
          </cell>
          <cell r="C3083" t="str">
            <v xml:space="preserve">UN    </v>
          </cell>
          <cell r="D3083">
            <v>9.01</v>
          </cell>
        </row>
        <row r="3084">
          <cell r="A3084">
            <v>39309</v>
          </cell>
          <cell r="B3084" t="str">
            <v>LUVA PARA TUBO PEX, PLASTICA, PARA CONEXAO COM CRIMPAGEM, DN 20 MM</v>
          </cell>
          <cell r="C3084" t="str">
            <v xml:space="preserve">UN    </v>
          </cell>
          <cell r="D3084">
            <v>13.04</v>
          </cell>
        </row>
        <row r="3085">
          <cell r="A3085">
            <v>39310</v>
          </cell>
          <cell r="B3085" t="str">
            <v>LUVA PARA TUBO PEX, PLASTICA, PARA CONEXAO COM CRIMPAGEM, DN 25 MM</v>
          </cell>
          <cell r="C3085" t="str">
            <v xml:space="preserve">UN    </v>
          </cell>
          <cell r="D3085">
            <v>19.75</v>
          </cell>
        </row>
        <row r="3086">
          <cell r="A3086">
            <v>39311</v>
          </cell>
          <cell r="B3086" t="str">
            <v>LUVA PARA TUBO PEX, PLASTICA, PARA CONEXAO COM CRIMPAGEM, DN 32 MM</v>
          </cell>
          <cell r="C3086" t="str">
            <v xml:space="preserve">UN    </v>
          </cell>
          <cell r="D3086">
            <v>29.69</v>
          </cell>
        </row>
        <row r="3087">
          <cell r="A3087">
            <v>39855</v>
          </cell>
          <cell r="B3087" t="str">
            <v>LUVA PASSANTE DE COBRE (REF 601) SEM ANEL DE SOLDA, BOLSA 15 MM</v>
          </cell>
          <cell r="C3087" t="str">
            <v xml:space="preserve">UN    </v>
          </cell>
          <cell r="D3087">
            <v>1.94</v>
          </cell>
        </row>
        <row r="3088">
          <cell r="A3088">
            <v>39856</v>
          </cell>
          <cell r="B3088" t="str">
            <v>LUVA PASSANTE DE COBRE (REF 601) SEM ANEL DE SOLDA, BOLSA 22 MM</v>
          </cell>
          <cell r="C3088" t="str">
            <v xml:space="preserve">UN    </v>
          </cell>
          <cell r="D3088">
            <v>4.58</v>
          </cell>
        </row>
        <row r="3089">
          <cell r="A3089">
            <v>39857</v>
          </cell>
          <cell r="B3089" t="str">
            <v>LUVA PASSANTE DE COBRE (REF 601) SEM ANEL DE SOLDA, BOLSA 28 MM</v>
          </cell>
          <cell r="C3089" t="str">
            <v xml:space="preserve">UN    </v>
          </cell>
          <cell r="D3089">
            <v>7.42</v>
          </cell>
        </row>
        <row r="3090">
          <cell r="A3090">
            <v>39858</v>
          </cell>
          <cell r="B3090" t="str">
            <v>LUVA PASSANTE DE COBRE (REF 601) SEM ANEL DE SOLDA, BOLSA 35 MM</v>
          </cell>
          <cell r="C3090" t="str">
            <v xml:space="preserve">UN    </v>
          </cell>
          <cell r="D3090">
            <v>16.46</v>
          </cell>
        </row>
        <row r="3091">
          <cell r="A3091">
            <v>39859</v>
          </cell>
          <cell r="B3091" t="str">
            <v>LUVA PASSANTE DE COBRE (REF 601) SEM ANEL DE SOLDA, BOLSA 42 MM</v>
          </cell>
          <cell r="C3091" t="str">
            <v xml:space="preserve">UN    </v>
          </cell>
          <cell r="D3091">
            <v>25.38</v>
          </cell>
        </row>
        <row r="3092">
          <cell r="A3092">
            <v>39860</v>
          </cell>
          <cell r="B3092" t="str">
            <v>LUVA PASSANTE DE COBRE (REF 601) SEM ANEL DE SOLDA, BOLSA 54 MM</v>
          </cell>
          <cell r="C3092" t="str">
            <v xml:space="preserve">UN    </v>
          </cell>
          <cell r="D3092">
            <v>38.950000000000003</v>
          </cell>
        </row>
        <row r="3093">
          <cell r="A3093">
            <v>39861</v>
          </cell>
          <cell r="B3093" t="str">
            <v>LUVA PASSANTE DE COBRE (REF 601) SEM ANEL DE SOLDA, BOLSA 66 MM</v>
          </cell>
          <cell r="C3093" t="str">
            <v xml:space="preserve">UN    </v>
          </cell>
          <cell r="D3093">
            <v>111.21</v>
          </cell>
        </row>
        <row r="3094">
          <cell r="A3094">
            <v>38447</v>
          </cell>
          <cell r="B3094" t="str">
            <v>LUVA PPR, SOLDAVEL, DN 110 MM, PARA AGUA QUENTE PREDIAL</v>
          </cell>
          <cell r="C3094" t="str">
            <v xml:space="preserve">UN    </v>
          </cell>
          <cell r="D3094">
            <v>78.58</v>
          </cell>
        </row>
        <row r="3095">
          <cell r="A3095">
            <v>36320</v>
          </cell>
          <cell r="B3095" t="str">
            <v>LUVA PPR, SOLDAVEL, DN 20 MM, PARA AGUA QUENTE PREDIAL</v>
          </cell>
          <cell r="C3095" t="str">
            <v xml:space="preserve">UN    </v>
          </cell>
          <cell r="D3095">
            <v>1.1399999999999999</v>
          </cell>
        </row>
        <row r="3096">
          <cell r="A3096">
            <v>36324</v>
          </cell>
          <cell r="B3096" t="str">
            <v>LUVA PPR, SOLDAVEL, DN 25 MM, PARA AGUA QUENTE PREDIAL</v>
          </cell>
          <cell r="C3096" t="str">
            <v xml:space="preserve">UN    </v>
          </cell>
          <cell r="D3096">
            <v>1.72</v>
          </cell>
        </row>
        <row r="3097">
          <cell r="A3097">
            <v>38441</v>
          </cell>
          <cell r="B3097" t="str">
            <v>LUVA PPR, SOLDAVEL, DN 32 MM, PARA AGUA QUENTE PREDIAL</v>
          </cell>
          <cell r="C3097" t="str">
            <v xml:space="preserve">UN    </v>
          </cell>
          <cell r="D3097">
            <v>2.2599999999999998</v>
          </cell>
        </row>
        <row r="3098">
          <cell r="A3098">
            <v>38442</v>
          </cell>
          <cell r="B3098" t="str">
            <v>LUVA PPR, SOLDAVEL, DN 40 MM, PARA AGUA QUENTE PREDIAL</v>
          </cell>
          <cell r="C3098" t="str">
            <v xml:space="preserve">UN    </v>
          </cell>
          <cell r="D3098">
            <v>5.76</v>
          </cell>
        </row>
        <row r="3099">
          <cell r="A3099">
            <v>38443</v>
          </cell>
          <cell r="B3099" t="str">
            <v>LUVA PPR, SOLDAVEL, DN 50 MM, PARA AGUA QUENTE PREDIAL</v>
          </cell>
          <cell r="C3099" t="str">
            <v xml:space="preserve">UN    </v>
          </cell>
          <cell r="D3099">
            <v>8.6999999999999993</v>
          </cell>
        </row>
        <row r="3100">
          <cell r="A3100">
            <v>38444</v>
          </cell>
          <cell r="B3100" t="str">
            <v>LUVA PPR, SOLDAVEL, DN 63 MM, PARA AGUA QUENTE PREDIAL</v>
          </cell>
          <cell r="C3100" t="str">
            <v xml:space="preserve">UN    </v>
          </cell>
          <cell r="D3100">
            <v>12.95</v>
          </cell>
        </row>
        <row r="3101">
          <cell r="A3101">
            <v>38445</v>
          </cell>
          <cell r="B3101" t="str">
            <v>LUVA PPR, SOLDAVEL, DN 75 MM, PARA AGUA QUENTE PREDIAL</v>
          </cell>
          <cell r="C3101" t="str">
            <v xml:space="preserve">UN    </v>
          </cell>
          <cell r="D3101">
            <v>30.43</v>
          </cell>
        </row>
        <row r="3102">
          <cell r="A3102">
            <v>38446</v>
          </cell>
          <cell r="B3102" t="str">
            <v>LUVA PPR, SOLDAVEL, DN 90 MM, PARA AGUA QUENTE PREDIAL</v>
          </cell>
          <cell r="C3102" t="str">
            <v xml:space="preserve">UN    </v>
          </cell>
          <cell r="D3102">
            <v>49.11</v>
          </cell>
        </row>
        <row r="3103">
          <cell r="A3103">
            <v>3867</v>
          </cell>
          <cell r="B3103" t="str">
            <v>LUVA PVC SOLDAVEL, 110 MM, PARA AGUA FRIA PREDIAL</v>
          </cell>
          <cell r="C3103" t="str">
            <v xml:space="preserve">UN    </v>
          </cell>
          <cell r="D3103">
            <v>58.74</v>
          </cell>
        </row>
        <row r="3104">
          <cell r="A3104">
            <v>3861</v>
          </cell>
          <cell r="B3104" t="str">
            <v>LUVA PVC SOLDAVEL, 20 MM, PARA AGUA FRIA PREDIAL</v>
          </cell>
          <cell r="C3104" t="str">
            <v xml:space="preserve">UN    </v>
          </cell>
          <cell r="D3104">
            <v>0.49</v>
          </cell>
        </row>
        <row r="3105">
          <cell r="A3105">
            <v>3904</v>
          </cell>
          <cell r="B3105" t="str">
            <v>LUVA PVC SOLDAVEL, 25 MM, PARA AGUA FRIA PREDIAL</v>
          </cell>
          <cell r="C3105" t="str">
            <v xml:space="preserve">UN    </v>
          </cell>
          <cell r="D3105">
            <v>0.59</v>
          </cell>
        </row>
        <row r="3106">
          <cell r="A3106">
            <v>3903</v>
          </cell>
          <cell r="B3106" t="str">
            <v>LUVA PVC SOLDAVEL, 32 MM, PARA AGUA FRIA PREDIAL</v>
          </cell>
          <cell r="C3106" t="str">
            <v xml:space="preserve">UN    </v>
          </cell>
          <cell r="D3106">
            <v>1.46</v>
          </cell>
        </row>
        <row r="3107">
          <cell r="A3107">
            <v>3862</v>
          </cell>
          <cell r="B3107" t="str">
            <v>LUVA PVC SOLDAVEL, 40 MM, PARA AGUA FRIA PREDIAL</v>
          </cell>
          <cell r="C3107" t="str">
            <v xml:space="preserve">UN    </v>
          </cell>
          <cell r="D3107">
            <v>2.97</v>
          </cell>
        </row>
        <row r="3108">
          <cell r="A3108">
            <v>3863</v>
          </cell>
          <cell r="B3108" t="str">
            <v>LUVA PVC SOLDAVEL, 50 MM, PARA AGUA FRIA PREDIAL</v>
          </cell>
          <cell r="C3108" t="str">
            <v xml:space="preserve">UN    </v>
          </cell>
          <cell r="D3108">
            <v>3.49</v>
          </cell>
        </row>
        <row r="3109">
          <cell r="A3109">
            <v>3864</v>
          </cell>
          <cell r="B3109" t="str">
            <v>LUVA PVC SOLDAVEL, 60 MM, PARA AGUA FRIA PREDIAL</v>
          </cell>
          <cell r="C3109" t="str">
            <v xml:space="preserve">UN    </v>
          </cell>
          <cell r="D3109">
            <v>9.09</v>
          </cell>
        </row>
        <row r="3110">
          <cell r="A3110">
            <v>3865</v>
          </cell>
          <cell r="B3110" t="str">
            <v>LUVA PVC SOLDAVEL, 75 MM, PARA AGUA FRIA PREDIAL</v>
          </cell>
          <cell r="C3110" t="str">
            <v xml:space="preserve">UN    </v>
          </cell>
          <cell r="D3110">
            <v>15.82</v>
          </cell>
        </row>
        <row r="3111">
          <cell r="A3111">
            <v>3866</v>
          </cell>
          <cell r="B3111" t="str">
            <v>LUVA PVC SOLDAVEL, 85 MM, PARA AGUA FRIA PREDIAL</v>
          </cell>
          <cell r="C3111" t="str">
            <v xml:space="preserve">UN    </v>
          </cell>
          <cell r="D3111">
            <v>36.21</v>
          </cell>
        </row>
        <row r="3112">
          <cell r="A3112">
            <v>3902</v>
          </cell>
          <cell r="B3112" t="str">
            <v>LUVA PVC, ROSCAVEL,  2 1/2",  AGUA FRIA PREDIAL</v>
          </cell>
          <cell r="C3112" t="str">
            <v xml:space="preserve">UN    </v>
          </cell>
          <cell r="D3112">
            <v>17.61</v>
          </cell>
        </row>
        <row r="3113">
          <cell r="A3113">
            <v>3878</v>
          </cell>
          <cell r="B3113" t="str">
            <v>LUVA PVC, ROSCAVEL, 1 1/2",  AGUA FRIA PREDIAL</v>
          </cell>
          <cell r="C3113" t="str">
            <v xml:space="preserve">UN    </v>
          </cell>
          <cell r="D3113">
            <v>5.56</v>
          </cell>
        </row>
        <row r="3114">
          <cell r="A3114">
            <v>3877</v>
          </cell>
          <cell r="B3114" t="str">
            <v>LUVA PVC, ROSCAVEL, 1 1/4", AGUA FRIA PREDIAL</v>
          </cell>
          <cell r="C3114" t="str">
            <v xml:space="preserve">UN    </v>
          </cell>
          <cell r="D3114">
            <v>5.08</v>
          </cell>
        </row>
        <row r="3115">
          <cell r="A3115">
            <v>3879</v>
          </cell>
          <cell r="B3115" t="str">
            <v>LUVA PVC, ROSCAVEL, 2",  AGUA FRIA PREDIAL</v>
          </cell>
          <cell r="C3115" t="str">
            <v xml:space="preserve">UN    </v>
          </cell>
          <cell r="D3115">
            <v>11.22</v>
          </cell>
        </row>
        <row r="3116">
          <cell r="A3116">
            <v>3880</v>
          </cell>
          <cell r="B3116" t="str">
            <v>LUVA PVC, ROSCAVEL, 3", AGUA FRIA PREDIAL</v>
          </cell>
          <cell r="C3116" t="str">
            <v xml:space="preserve">UN    </v>
          </cell>
          <cell r="D3116">
            <v>25.32</v>
          </cell>
        </row>
        <row r="3117">
          <cell r="A3117">
            <v>12892</v>
          </cell>
          <cell r="B3117" t="str">
            <v>LUVA RASPA DE COURO, CANO CURTO (PUNHO *7* CM)</v>
          </cell>
          <cell r="C3117" t="str">
            <v xml:space="preserve">PAR   </v>
          </cell>
          <cell r="D3117">
            <v>10.84</v>
          </cell>
        </row>
        <row r="3118">
          <cell r="A3118">
            <v>3883</v>
          </cell>
          <cell r="B3118" t="str">
            <v>LUVA ROSCAVEL, PVC, 1/2", AGUA FRIA PREDIAL</v>
          </cell>
          <cell r="C3118" t="str">
            <v xml:space="preserve">UN    </v>
          </cell>
          <cell r="D3118">
            <v>1.17</v>
          </cell>
        </row>
        <row r="3119">
          <cell r="A3119">
            <v>3876</v>
          </cell>
          <cell r="B3119" t="str">
            <v>LUVA ROSCAVEL, PVC, 1", AGUA FRIA PREDIAL</v>
          </cell>
          <cell r="C3119" t="str">
            <v xml:space="preserve">UN    </v>
          </cell>
          <cell r="D3119">
            <v>2.93</v>
          </cell>
        </row>
        <row r="3120">
          <cell r="A3120">
            <v>3884</v>
          </cell>
          <cell r="B3120" t="str">
            <v>LUVA ROSCAVEL, PVC, 3/4", AGUA FRIA PREDIAL</v>
          </cell>
          <cell r="C3120" t="str">
            <v xml:space="preserve">UN    </v>
          </cell>
          <cell r="D3120">
            <v>1.75</v>
          </cell>
        </row>
        <row r="3121">
          <cell r="A3121">
            <v>3837</v>
          </cell>
          <cell r="B3121" t="str">
            <v>LUVA SIMPLES, PVC PBA, JE, DN 100 / DE 110 MM, PARA REDE AGUA (NBR 10351)</v>
          </cell>
          <cell r="C3121" t="str">
            <v xml:space="preserve">UN    </v>
          </cell>
          <cell r="D3121">
            <v>33.25</v>
          </cell>
        </row>
        <row r="3122">
          <cell r="A3122">
            <v>3845</v>
          </cell>
          <cell r="B3122" t="str">
            <v>LUVA SIMPLES, PVC PBA, JE, DN 50 / DE 60 MM, PARA REDE AGUA (NBR 10351)</v>
          </cell>
          <cell r="C3122" t="str">
            <v xml:space="preserve">UN    </v>
          </cell>
          <cell r="D3122">
            <v>12.14</v>
          </cell>
        </row>
        <row r="3123">
          <cell r="A3123">
            <v>11045</v>
          </cell>
          <cell r="B3123" t="str">
            <v>LUVA SIMPLES, PVC PBA, JE, DN 75 / DE 85 MM, PARA REDE AGUA (NBR 10351)</v>
          </cell>
          <cell r="C3123" t="str">
            <v xml:space="preserve">UN    </v>
          </cell>
          <cell r="D3123">
            <v>23.43</v>
          </cell>
        </row>
        <row r="3124">
          <cell r="A3124">
            <v>20170</v>
          </cell>
          <cell r="B3124" t="str">
            <v>LUVA SIMPLES, PVC SERIE REFORCADA - R, 100 MM, PARA ESGOTO PREDIAL</v>
          </cell>
          <cell r="C3124" t="str">
            <v xml:space="preserve">UN    </v>
          </cell>
          <cell r="D3124">
            <v>10.41</v>
          </cell>
        </row>
        <row r="3125">
          <cell r="A3125">
            <v>20171</v>
          </cell>
          <cell r="B3125" t="str">
            <v>LUVA SIMPLES, PVC SERIE REFORCADA - R, 150 MM, PARA ESGOTO PREDIAL</v>
          </cell>
          <cell r="C3125" t="str">
            <v xml:space="preserve">UN    </v>
          </cell>
          <cell r="D3125">
            <v>30.93</v>
          </cell>
        </row>
        <row r="3126">
          <cell r="A3126">
            <v>20167</v>
          </cell>
          <cell r="B3126" t="str">
            <v>LUVA SIMPLES, PVC SERIE REFORCADA - R, 40 MM, PARA ESGOTO PREDIAL</v>
          </cell>
          <cell r="C3126" t="str">
            <v xml:space="preserve">UN    </v>
          </cell>
          <cell r="D3126">
            <v>3.86</v>
          </cell>
        </row>
        <row r="3127">
          <cell r="A3127">
            <v>20168</v>
          </cell>
          <cell r="B3127" t="str">
            <v>LUVA SIMPLES, PVC SERIE REFORCADA - R, 50 MM, PARA ESGOTO PREDIAL</v>
          </cell>
          <cell r="C3127" t="str">
            <v xml:space="preserve">UN    </v>
          </cell>
          <cell r="D3127">
            <v>6.06</v>
          </cell>
        </row>
        <row r="3128">
          <cell r="A3128">
            <v>20169</v>
          </cell>
          <cell r="B3128" t="str">
            <v>LUVA SIMPLES, PVC SERIE REFORCADA - R, 75 MM, PARA ESGOTO PREDIAL</v>
          </cell>
          <cell r="C3128" t="str">
            <v xml:space="preserve">UN    </v>
          </cell>
          <cell r="D3128">
            <v>8.59</v>
          </cell>
        </row>
        <row r="3129">
          <cell r="A3129">
            <v>3899</v>
          </cell>
          <cell r="B3129" t="str">
            <v>LUVA SIMPLES, PVC, SOLDAVEL, DN 100 MM, SERIE NORMAL, PARA ESGOTO PREDIAL</v>
          </cell>
          <cell r="C3129" t="str">
            <v xml:space="preserve">UN    </v>
          </cell>
          <cell r="D3129">
            <v>4.54</v>
          </cell>
        </row>
        <row r="3130">
          <cell r="A3130">
            <v>38676</v>
          </cell>
          <cell r="B3130" t="str">
            <v>LUVA SIMPLES, PVC, SOLDAVEL, DN 150 MM, SERIE NORMAL, PARA ESGOTO PREDIAL</v>
          </cell>
          <cell r="C3130" t="str">
            <v xml:space="preserve">UN    </v>
          </cell>
          <cell r="D3130">
            <v>22</v>
          </cell>
        </row>
        <row r="3131">
          <cell r="A3131">
            <v>3897</v>
          </cell>
          <cell r="B3131" t="str">
            <v>LUVA SIMPLES, PVC, SOLDAVEL, DN 40 MM, SERIE NORMAL, PARA ESGOTO PREDIAL</v>
          </cell>
          <cell r="C3131" t="str">
            <v xml:space="preserve">UN    </v>
          </cell>
          <cell r="D3131">
            <v>0.95</v>
          </cell>
        </row>
        <row r="3132">
          <cell r="A3132">
            <v>3875</v>
          </cell>
          <cell r="B3132" t="str">
            <v>LUVA SIMPLES, PVC, SOLDAVEL, DN 50 MM, SERIE NORMAL, PARA ESGOTO PREDIAL</v>
          </cell>
          <cell r="C3132" t="str">
            <v xml:space="preserve">UN    </v>
          </cell>
          <cell r="D3132">
            <v>2.0699999999999998</v>
          </cell>
        </row>
        <row r="3133">
          <cell r="A3133">
            <v>3898</v>
          </cell>
          <cell r="B3133" t="str">
            <v>LUVA SIMPLES, PVC, SOLDAVEL, DN 75 MM, SERIE NORMAL, PARA ESGOTO PREDIAL</v>
          </cell>
          <cell r="C3133" t="str">
            <v xml:space="preserve">UN    </v>
          </cell>
          <cell r="D3133">
            <v>3.92</v>
          </cell>
        </row>
        <row r="3134">
          <cell r="A3134">
            <v>3855</v>
          </cell>
          <cell r="B3134" t="str">
            <v>LUVA SOLDAVEL COM BUCHA DE LATAO, PVC, 20 MM X 1/2"</v>
          </cell>
          <cell r="C3134" t="str">
            <v xml:space="preserve">UN    </v>
          </cell>
          <cell r="D3134">
            <v>3.89</v>
          </cell>
        </row>
        <row r="3135">
          <cell r="A3135">
            <v>3874</v>
          </cell>
          <cell r="B3135" t="str">
            <v>LUVA SOLDAVEL COM BUCHA DE LATAO, PVC, 25 MM X 1/2"</v>
          </cell>
          <cell r="C3135" t="str">
            <v xml:space="preserve">UN    </v>
          </cell>
          <cell r="D3135">
            <v>4.12</v>
          </cell>
        </row>
        <row r="3136">
          <cell r="A3136">
            <v>3870</v>
          </cell>
          <cell r="B3136" t="str">
            <v>LUVA SOLDAVEL COM BUCHA DE LATAO, PVC, 25 MM X 3/4"</v>
          </cell>
          <cell r="C3136" t="str">
            <v xml:space="preserve">UN    </v>
          </cell>
          <cell r="D3136">
            <v>5.12</v>
          </cell>
        </row>
        <row r="3137">
          <cell r="A3137">
            <v>38678</v>
          </cell>
          <cell r="B3137" t="str">
            <v>LUVA SOLDAVEL COM BUCHA DE LATAO, PVC, 32 MM X 1"</v>
          </cell>
          <cell r="C3137" t="str">
            <v xml:space="preserve">UN    </v>
          </cell>
          <cell r="D3137">
            <v>13.94</v>
          </cell>
        </row>
        <row r="3138">
          <cell r="A3138">
            <v>3859</v>
          </cell>
          <cell r="B3138" t="str">
            <v>LUVA SOLDAVEL COM ROSCA, PVC, 20 MM X 1/2", PARA AGUA FRIA PREDIAL</v>
          </cell>
          <cell r="C3138" t="str">
            <v xml:space="preserve">UN    </v>
          </cell>
          <cell r="D3138">
            <v>1.03</v>
          </cell>
        </row>
        <row r="3139">
          <cell r="A3139">
            <v>3856</v>
          </cell>
          <cell r="B3139" t="str">
            <v>LUVA SOLDAVEL COM ROSCA, PVC, 25 MM X 1/2", PARA AGUA FRIA PREDIAL</v>
          </cell>
          <cell r="C3139" t="str">
            <v xml:space="preserve">UN    </v>
          </cell>
          <cell r="D3139">
            <v>1.31</v>
          </cell>
        </row>
        <row r="3140">
          <cell r="A3140">
            <v>3906</v>
          </cell>
          <cell r="B3140" t="str">
            <v>LUVA SOLDAVEL COM ROSCA, PVC, 25 MM X 3/4", PARA AGUA FRIA PREDIAL</v>
          </cell>
          <cell r="C3140" t="str">
            <v xml:space="preserve">UN    </v>
          </cell>
          <cell r="D3140">
            <v>1.23</v>
          </cell>
        </row>
        <row r="3141">
          <cell r="A3141">
            <v>3860</v>
          </cell>
          <cell r="B3141" t="str">
            <v>LUVA SOLDAVEL COM ROSCA, PVC, 32 MM X 1", PARA AGUA FRIA PREDIAL</v>
          </cell>
          <cell r="C3141" t="str">
            <v xml:space="preserve">UN    </v>
          </cell>
          <cell r="D3141">
            <v>4.05</v>
          </cell>
        </row>
        <row r="3142">
          <cell r="A3142">
            <v>3905</v>
          </cell>
          <cell r="B3142" t="str">
            <v>LUVA SOLDAVEL COM ROSCA, PVC, 40 MM X 1 1/4", PARA AGUA FRIA PREDIAL</v>
          </cell>
          <cell r="C3142" t="str">
            <v xml:space="preserve">UN    </v>
          </cell>
          <cell r="D3142">
            <v>8.9700000000000006</v>
          </cell>
        </row>
        <row r="3143">
          <cell r="A3143">
            <v>3871</v>
          </cell>
          <cell r="B3143" t="str">
            <v>LUVA SOLDAVEL COM ROSCA, PVC, 50 MM X 1 1/2", PARA AGUA FRIA PREDIAL</v>
          </cell>
          <cell r="C3143" t="str">
            <v xml:space="preserve">UN    </v>
          </cell>
          <cell r="D3143">
            <v>18.62</v>
          </cell>
        </row>
        <row r="3144">
          <cell r="A3144">
            <v>37429</v>
          </cell>
          <cell r="B3144" t="str">
            <v>LUVA, PEAD PE 100,  DE 400 MM, PARA ELETROFUSAO</v>
          </cell>
          <cell r="C3144" t="str">
            <v xml:space="preserve">UN    </v>
          </cell>
          <cell r="D3144">
            <v>1968.71</v>
          </cell>
        </row>
        <row r="3145">
          <cell r="A3145">
            <v>37426</v>
          </cell>
          <cell r="B3145" t="str">
            <v>LUVA, PEAD PE 100,  DE 63 MM, PARA ELETROFUSAO</v>
          </cell>
          <cell r="C3145" t="str">
            <v xml:space="preserve">UN    </v>
          </cell>
          <cell r="D3145">
            <v>18.93</v>
          </cell>
        </row>
        <row r="3146">
          <cell r="A3146">
            <v>37427</v>
          </cell>
          <cell r="B3146" t="str">
            <v>LUVA, PEAD PE 100, DE 125 MM, PARA ELETROFUSAO</v>
          </cell>
          <cell r="C3146" t="str">
            <v xml:space="preserve">UN    </v>
          </cell>
          <cell r="D3146">
            <v>45.17</v>
          </cell>
        </row>
        <row r="3147">
          <cell r="A3147">
            <v>37424</v>
          </cell>
          <cell r="B3147" t="str">
            <v>LUVA, PEAD PE 100, DE 20 MM, PARA ELETROFUSAO</v>
          </cell>
          <cell r="C3147" t="str">
            <v xml:space="preserve">UN    </v>
          </cell>
          <cell r="D3147">
            <v>8.6999999999999993</v>
          </cell>
        </row>
        <row r="3148">
          <cell r="A3148">
            <v>37428</v>
          </cell>
          <cell r="B3148" t="str">
            <v>LUVA, PEAD PE 100, DE 200 MM, PARA ELETROFUSAO</v>
          </cell>
          <cell r="C3148" t="str">
            <v xml:space="preserve">UN    </v>
          </cell>
          <cell r="D3148">
            <v>155.68</v>
          </cell>
        </row>
        <row r="3149">
          <cell r="A3149">
            <v>37425</v>
          </cell>
          <cell r="B3149" t="str">
            <v>LUVA, PEAD PE 100, DE 32 MM, PARA ELETROFUSAO</v>
          </cell>
          <cell r="C3149" t="str">
            <v xml:space="preserve">UN    </v>
          </cell>
          <cell r="D3149">
            <v>9.3800000000000008</v>
          </cell>
        </row>
        <row r="3150">
          <cell r="A3150">
            <v>11519</v>
          </cell>
          <cell r="B3150" t="str">
            <v>MACANETA ALAVANCA, RETA OU CURVA, MACICA, CROMADA, COMPRIMENTO DE 10 A 16 CM, ACABAMENTO PADRAO MEDIO - SOMENTE MACANETAS</v>
          </cell>
          <cell r="C3150" t="str">
            <v xml:space="preserve">PAR   </v>
          </cell>
          <cell r="D3150">
            <v>28.21</v>
          </cell>
        </row>
        <row r="3151">
          <cell r="A3151">
            <v>11520</v>
          </cell>
          <cell r="B3151" t="str">
            <v>MACANETA ALAVANCA, RETA SIMPLES / OCA, CROMADA, COMPRIMENTO DE 10 A 16 CM, ACABAMENTO PADRAO POPULAR - SOMENTE MACANETAS</v>
          </cell>
          <cell r="C3151" t="str">
            <v xml:space="preserve">PAR   </v>
          </cell>
          <cell r="D3151">
            <v>11.19</v>
          </cell>
        </row>
        <row r="3152">
          <cell r="A3152">
            <v>11518</v>
          </cell>
          <cell r="B3152" t="str">
            <v>MACANETA TIPO BOLA, CROMADA,  DIAMETRO APROXIMADO DE *2 1/2*", (SOMENTE MACANETAS)</v>
          </cell>
          <cell r="C3152" t="str">
            <v xml:space="preserve">PAR   </v>
          </cell>
          <cell r="D3152">
            <v>32.56</v>
          </cell>
        </row>
        <row r="3153">
          <cell r="A3153">
            <v>38473</v>
          </cell>
          <cell r="B3153" t="str">
            <v>MACARICO DE SOLDA 201 PARA EXTENSAO GLP OU ACETILENO</v>
          </cell>
          <cell r="C3153" t="str">
            <v xml:space="preserve">UN    </v>
          </cell>
          <cell r="D3153">
            <v>123.91</v>
          </cell>
        </row>
        <row r="3154">
          <cell r="A3154">
            <v>4244</v>
          </cell>
          <cell r="B3154" t="str">
            <v>MACARIQUEIRO</v>
          </cell>
          <cell r="C3154" t="str">
            <v xml:space="preserve">H     </v>
          </cell>
          <cell r="D3154">
            <v>14.49</v>
          </cell>
        </row>
        <row r="3155">
          <cell r="A3155">
            <v>40977</v>
          </cell>
          <cell r="B3155" t="str">
            <v>MACARIQUEIRO (MENSALISTA)</v>
          </cell>
          <cell r="C3155" t="str">
            <v xml:space="preserve">MES   </v>
          </cell>
          <cell r="D3155">
            <v>2570.06</v>
          </cell>
        </row>
        <row r="3156">
          <cell r="A3156">
            <v>2742</v>
          </cell>
          <cell r="B3156" t="str">
            <v>MADEIRA ROLICA SEM TRATAMENTO, EUCALIPTO OU EQUIVALENTE DA REGIAO, H = 3 M, D = 12 A 15 CM (PARA ESCORAMENTO)</v>
          </cell>
          <cell r="C3156" t="str">
            <v xml:space="preserve">M     </v>
          </cell>
          <cell r="D3156">
            <v>2.1800000000000002</v>
          </cell>
        </row>
        <row r="3157">
          <cell r="A3157">
            <v>2748</v>
          </cell>
          <cell r="B3157" t="str">
            <v>MADEIRA ROLICA SEM TRATAMENTO, EUCALIPTO OU EQUIVALENTE DA REGIAO, H = 3 M, D = 16 A 19 CM (PARA ESCORAMENTO)</v>
          </cell>
          <cell r="C3157" t="str">
            <v xml:space="preserve">M     </v>
          </cell>
          <cell r="D3157">
            <v>6.39</v>
          </cell>
        </row>
        <row r="3158">
          <cell r="A3158">
            <v>2736</v>
          </cell>
          <cell r="B3158" t="str">
            <v>MADEIRA ROLICA SEM TRATAMENTO, EUCALIPTO OU EQUIVALENTE DA REGIAO, H = 3 M, D = 20 A 24 CM (PARA ESCORAMENTO)</v>
          </cell>
          <cell r="C3158" t="str">
            <v xml:space="preserve">M     </v>
          </cell>
          <cell r="D3158">
            <v>8.92</v>
          </cell>
        </row>
        <row r="3159">
          <cell r="A3159">
            <v>2745</v>
          </cell>
          <cell r="B3159" t="str">
            <v>MADEIRA ROLICA SEM TRATAMENTO, EUCALIPTO OU EQUIVALENTE DA REGIAO, H = 3 M, D = 8 A 11 CM (PARA ESCORAMENTO)</v>
          </cell>
          <cell r="C3159" t="str">
            <v xml:space="preserve">M     </v>
          </cell>
          <cell r="D3159">
            <v>1.8</v>
          </cell>
        </row>
        <row r="3160">
          <cell r="A3160">
            <v>2751</v>
          </cell>
          <cell r="B3160" t="str">
            <v>MADEIRA ROLICA SEM TRATAMENTO, EUCALIPTO OU EQUIVALENTE DA REGIAO, H = 6 M, D = 12 A 15 CM (PARA ESCORAMENTO)</v>
          </cell>
          <cell r="C3160" t="str">
            <v xml:space="preserve">M     </v>
          </cell>
          <cell r="D3160">
            <v>2.2999999999999998</v>
          </cell>
        </row>
        <row r="3161">
          <cell r="A3161">
            <v>14439</v>
          </cell>
          <cell r="B3161" t="str">
            <v>MADEIRA ROLICA SEM TRATAMENTO, EUCALIPTO OU EQUIVALENTE DA REGIAO, H = 6 M, D = 8 A 11 CM (PARA ESCORAMENTO)</v>
          </cell>
          <cell r="C3161" t="str">
            <v xml:space="preserve">M     </v>
          </cell>
          <cell r="D3161">
            <v>2.04</v>
          </cell>
        </row>
        <row r="3162">
          <cell r="A3162">
            <v>2731</v>
          </cell>
          <cell r="B3162" t="str">
            <v>MADEIRA ROLICA TRATADA, EUCALIPTO OU EQUIVALENTE DA REGIAO, H = 12 M, D = 20 A 24 CM (PARA POSTE)</v>
          </cell>
          <cell r="C3162" t="str">
            <v xml:space="preserve">M     </v>
          </cell>
          <cell r="D3162">
            <v>56.59</v>
          </cell>
        </row>
        <row r="3163">
          <cell r="A3163">
            <v>21138</v>
          </cell>
          <cell r="B3163" t="str">
            <v>MADEIRA ROLICA TRATADA, EUCALIPTO OU EQUIVALENTE DA REGIAO, H = 2,2 M, D = 8 A 11 CM (PARA CERCA)</v>
          </cell>
          <cell r="C3163" t="str">
            <v xml:space="preserve">M     </v>
          </cell>
          <cell r="D3163">
            <v>6.14</v>
          </cell>
        </row>
        <row r="3164">
          <cell r="A3164">
            <v>2747</v>
          </cell>
          <cell r="B3164" t="str">
            <v>MADEIRA ROLICA TRATADA, EUCALIPTO OU EQUIVALENTE DA REGIAO, H = 2,20 M, D = 16 A 19 CM (PARA CERCA)</v>
          </cell>
          <cell r="C3164" t="str">
            <v xml:space="preserve">M     </v>
          </cell>
          <cell r="D3164">
            <v>15.17</v>
          </cell>
        </row>
        <row r="3165">
          <cell r="A3165">
            <v>4115</v>
          </cell>
          <cell r="B3165" t="str">
            <v>MADEIRA ROLICA TRATADA, EUCALIPTO OU EQUIVALENTE DA REGIAO, H = 3 M, D = 12 A 15 CM</v>
          </cell>
          <cell r="C3165" t="str">
            <v xml:space="preserve">M     </v>
          </cell>
          <cell r="D3165">
            <v>11.88</v>
          </cell>
        </row>
        <row r="3166">
          <cell r="A3166">
            <v>2729</v>
          </cell>
          <cell r="B3166" t="str">
            <v>MADEIRA ROLICA TRATADA, EUCALIPTO OU EQUIVALENTE DA REGIAO, H = 3 M, D = 4 A 7 CM (PARA CAIBRO)</v>
          </cell>
          <cell r="C3166" t="str">
            <v xml:space="preserve">UN    </v>
          </cell>
          <cell r="D3166">
            <v>14.3</v>
          </cell>
        </row>
        <row r="3167">
          <cell r="A3167">
            <v>4119</v>
          </cell>
          <cell r="B3167" t="str">
            <v>MADEIRA ROLICA TRATADA, EUCALIPTO OU EQUIVALENTE DA REGIAO, H = 6 M, D = 16 A 19 CM</v>
          </cell>
          <cell r="C3167" t="str">
            <v xml:space="preserve">M     </v>
          </cell>
          <cell r="D3167">
            <v>23.9</v>
          </cell>
        </row>
        <row r="3168">
          <cell r="A3168">
            <v>2794</v>
          </cell>
          <cell r="B3168" t="str">
            <v>MADEIRA ROLICA TRATADA, EUCALIPTO OU EQUIVALENTE DA REGIAO, H = 6,5 M, D = 25 A 29 CM</v>
          </cell>
          <cell r="C3168" t="str">
            <v xml:space="preserve">M     </v>
          </cell>
          <cell r="D3168">
            <v>59.01</v>
          </cell>
        </row>
        <row r="3169">
          <cell r="A3169">
            <v>2788</v>
          </cell>
          <cell r="B3169" t="str">
            <v>MADEIRA ROLICA TRATADA, EUCALIPTO OU EQUIVALENTE DA REGIAO, H = 6,5 M, D = 30 A 34 CM</v>
          </cell>
          <cell r="C3169" t="str">
            <v xml:space="preserve">M     </v>
          </cell>
          <cell r="D3169">
            <v>119.31</v>
          </cell>
        </row>
        <row r="3170">
          <cell r="A3170">
            <v>4006</v>
          </cell>
          <cell r="B3170" t="str">
            <v>MADEIRA SERRADA NAO APARELHADA DE PINUS, MISTA OU EQUIVALENTE DA REGIAO</v>
          </cell>
          <cell r="C3170" t="str">
            <v xml:space="preserve">M3    </v>
          </cell>
          <cell r="D3170">
            <v>1697.35</v>
          </cell>
        </row>
        <row r="3171">
          <cell r="A3171">
            <v>36151</v>
          </cell>
          <cell r="B3171" t="str">
            <v>MANGOTE DE SEGURANCA EM RASPA DE COURO</v>
          </cell>
          <cell r="C3171" t="str">
            <v xml:space="preserve">UN    </v>
          </cell>
          <cell r="D3171">
            <v>24.1</v>
          </cell>
        </row>
        <row r="3172">
          <cell r="A3172">
            <v>37457</v>
          </cell>
          <cell r="B3172" t="str">
            <v>MANGUEIRA CRISTAL PARA NIVEL, LISA, PVC TRANSPARENTE, 3/8" X1,5 MM</v>
          </cell>
          <cell r="C3172" t="str">
            <v xml:space="preserve">M     </v>
          </cell>
          <cell r="D3172">
            <v>1.98</v>
          </cell>
        </row>
        <row r="3173">
          <cell r="A3173">
            <v>37456</v>
          </cell>
          <cell r="B3173" t="str">
            <v>MANGUEIRA CRISTAL PARA NIVEL, LISA, PVC TRANSPARENTE, 5/16" X1 MM</v>
          </cell>
          <cell r="C3173" t="str">
            <v xml:space="preserve">M     </v>
          </cell>
          <cell r="D3173">
            <v>1.04</v>
          </cell>
        </row>
        <row r="3174">
          <cell r="A3174">
            <v>37461</v>
          </cell>
          <cell r="B3174" t="str">
            <v>MANGUEIRA CRISTAL TRANCADA, PVC COM REFORCO, COM PRESSAO DE TRABALHO (PT) 250 LBS/POL2, DE 3/4" X *2,8* MM</v>
          </cell>
          <cell r="C3174" t="str">
            <v xml:space="preserve">M     </v>
          </cell>
          <cell r="D3174">
            <v>7.37</v>
          </cell>
        </row>
        <row r="3175">
          <cell r="A3175">
            <v>37460</v>
          </cell>
          <cell r="B3175" t="str">
            <v>MANGUEIRA CRISTAL TRANCADA, PVC COM REFORCO, PRESSAO DE TRABALHO (PT) 250 LBS/POL2, DE 1" X *3,4* MM</v>
          </cell>
          <cell r="C3175" t="str">
            <v xml:space="preserve">M     </v>
          </cell>
          <cell r="D3175">
            <v>10.06</v>
          </cell>
        </row>
        <row r="3176">
          <cell r="A3176">
            <v>37458</v>
          </cell>
          <cell r="B3176" t="str">
            <v>MANGUEIRA CRISTAL, LISA, PVC TRANSPARENTE, 1/2" X 2 MM</v>
          </cell>
          <cell r="C3176" t="str">
            <v xml:space="preserve">M     </v>
          </cell>
          <cell r="D3176">
            <v>2.95</v>
          </cell>
        </row>
        <row r="3177">
          <cell r="A3177">
            <v>37454</v>
          </cell>
          <cell r="B3177" t="str">
            <v>MANGUEIRA CRISTAL, LISA, PVC TRANSPARENTE, 1/4" X1 MM</v>
          </cell>
          <cell r="C3177" t="str">
            <v xml:space="preserve">M     </v>
          </cell>
          <cell r="D3177">
            <v>0.77</v>
          </cell>
        </row>
        <row r="3178">
          <cell r="A3178">
            <v>37455</v>
          </cell>
          <cell r="B3178" t="str">
            <v>MANGUEIRA CRISTAL, LISA, PVC TRANSPARENTE, 1/4" X1,5 MM</v>
          </cell>
          <cell r="C3178" t="str">
            <v xml:space="preserve">M     </v>
          </cell>
          <cell r="D3178">
            <v>1.3</v>
          </cell>
        </row>
        <row r="3179">
          <cell r="A3179">
            <v>37459</v>
          </cell>
          <cell r="B3179" t="str">
            <v>MANGUEIRA CRISTAL, LISA, PVC TRANSPARENTE, 3/4" X 2 MM</v>
          </cell>
          <cell r="C3179" t="str">
            <v xml:space="preserve">M     </v>
          </cell>
          <cell r="D3179">
            <v>4.1399999999999997</v>
          </cell>
        </row>
        <row r="3180">
          <cell r="A3180">
            <v>21029</v>
          </cell>
          <cell r="B3180" t="str">
            <v>MANGUEIRA DE INCENDIO, TIPO 1, DE 1 1/2", COMPRIMENTO = 15 M, TECIDO EM FIO DE POLIESTER E TUBO INTERNO EM BORRACHA SINTETICA, COM UNIOES ENGATE RAPIDO</v>
          </cell>
          <cell r="C3180" t="str">
            <v xml:space="preserve">UN    </v>
          </cell>
          <cell r="D3180">
            <v>293.83</v>
          </cell>
        </row>
        <row r="3181">
          <cell r="A3181">
            <v>21030</v>
          </cell>
          <cell r="B3181" t="str">
            <v>MANGUEIRA DE INCENDIO, TIPO 1, DE 1 1/2", COMPRIMENTO = 20 M, TECIDO EM FIO DE POLIESTER E TUBO INTERNO EM BORRACHA SINTETICA, COM UNIOES ENGATE RAPIDO</v>
          </cell>
          <cell r="C3181" t="str">
            <v xml:space="preserve">UN    </v>
          </cell>
          <cell r="D3181">
            <v>362.19</v>
          </cell>
        </row>
        <row r="3182">
          <cell r="A3182">
            <v>21031</v>
          </cell>
          <cell r="B3182" t="str">
            <v>MANGUEIRA DE INCENDIO, TIPO 1, DE 1 1/2", COMPRIMENTO = 25 M, TECIDO EM FIO DE POLIESTER E TUBO INTERNO EM BORRACHA SINTETICA, COM UNIOES ENGATE RAPIDO</v>
          </cell>
          <cell r="C3182" t="str">
            <v xml:space="preserve">UN    </v>
          </cell>
          <cell r="D3182">
            <v>450.92</v>
          </cell>
        </row>
        <row r="3183">
          <cell r="A3183">
            <v>21032</v>
          </cell>
          <cell r="B3183" t="str">
            <v>MANGUEIRA DE INCENDIO, TIPO 1, DE 1 1/2", COMPRIMENTO = 30 M, TECIDO EM FIO DE POLIESTER E TUBO INTERNO EM BORRACHA SINTETICA, COM UNIOES ENGATE RAPIDO</v>
          </cell>
          <cell r="C3183" t="str">
            <v xml:space="preserve">UN    </v>
          </cell>
          <cell r="D3183">
            <v>481.47</v>
          </cell>
        </row>
        <row r="3184">
          <cell r="A3184">
            <v>37527</v>
          </cell>
          <cell r="B3184" t="str">
            <v>MANGUEIRA DE INCENDIO, TIPO 2, DE 1 1/2", COMPRIMENTO = 15 M, TECIDO EM FIO DE POLIESTER E TUBO INTERNO EM BORRACHA SINTETICA, COM UNIOES ENGATE RAPIDO</v>
          </cell>
          <cell r="C3184" t="str">
            <v xml:space="preserve">UN    </v>
          </cell>
          <cell r="D3184">
            <v>434.92</v>
          </cell>
        </row>
        <row r="3185">
          <cell r="A3185">
            <v>37528</v>
          </cell>
          <cell r="B3185" t="str">
            <v>MANGUEIRA DE INCENDIO, TIPO 2, DE 1 1/2", COMPRIMENTO = 20 M, TECIDO EM FIO DE POLIESTER E TUBO INTERNO EM BORRACHA SINTETICA, COM UNIOES</v>
          </cell>
          <cell r="C3185" t="str">
            <v xml:space="preserve">UN    </v>
          </cell>
          <cell r="D3185">
            <v>518.55999999999995</v>
          </cell>
        </row>
        <row r="3186">
          <cell r="A3186">
            <v>37529</v>
          </cell>
          <cell r="B3186" t="str">
            <v>MANGUEIRA DE INCENDIO, TIPO 2, DE 1 1/2", COMPRIMENTO = 25 M, TECIDO EM FIO DE POLIESTER E TUBO INTERNO EM BORRACHA SINTETICA, COM UNIOES</v>
          </cell>
          <cell r="C3186" t="str">
            <v xml:space="preserve">UN    </v>
          </cell>
          <cell r="D3186">
            <v>523.65</v>
          </cell>
        </row>
        <row r="3187">
          <cell r="A3187">
            <v>37530</v>
          </cell>
          <cell r="B3187" t="str">
            <v>MANGUEIRA DE INCENDIO, TIPO 2, DE 1 1/2", COMPRIMENTO = 30 M, TECIDO EM FIO DE POLIESTER E TUBO INTERNO EM BORRACHA SINTETICA, COM UNIOES</v>
          </cell>
          <cell r="C3187" t="str">
            <v xml:space="preserve">UN    </v>
          </cell>
          <cell r="D3187">
            <v>683.66</v>
          </cell>
        </row>
        <row r="3188">
          <cell r="A3188">
            <v>21034</v>
          </cell>
          <cell r="B3188" t="str">
            <v>MANGUEIRA DE INCENDIO, TIPO 2, DE 2 1/2", COMPRIMENTO = 15 M, TECIDO EM FIO DE POLIESTER E TUBO INTERNO EM BORRACHA SINTETICA, COM UNIOES ENGATE RAPIDO</v>
          </cell>
          <cell r="C3188" t="str">
            <v xml:space="preserve">UN    </v>
          </cell>
          <cell r="D3188">
            <v>583.29</v>
          </cell>
        </row>
        <row r="3189">
          <cell r="A3189">
            <v>37531</v>
          </cell>
          <cell r="B3189" t="str">
            <v>MANGUEIRA DE INCENDIO, TIPO 2, DE 2 1/2", COMPRIMENTO = 20 M, TECIDO EM FIO DE POLIESTER E TUBO INTERNO EM BORRACHA SINTETICA, COM UNIOES</v>
          </cell>
          <cell r="C3189" t="str">
            <v xml:space="preserve">UN    </v>
          </cell>
          <cell r="D3189">
            <v>734.57</v>
          </cell>
        </row>
        <row r="3190">
          <cell r="A3190">
            <v>21036</v>
          </cell>
          <cell r="B3190" t="str">
            <v>MANGUEIRA DE INCENDIO, TIPO 2, DE 2 1/2", COMPRIMENTO = 25 M, TECIDO EM FIO DE POLIESTER E TUBO INTERNO EM BORRACHA SINTETICA, COM UNIOES ENGATE RAPIDO</v>
          </cell>
          <cell r="C3190" t="str">
            <v xml:space="preserve">UN    </v>
          </cell>
          <cell r="D3190">
            <v>893.12</v>
          </cell>
        </row>
        <row r="3191">
          <cell r="A3191">
            <v>21037</v>
          </cell>
          <cell r="B3191" t="str">
            <v>MANGUEIRA DE INCENDIO, TIPO 2, DE 2 1/2", COMPRIMENTO = 30 M, TECIDO EM FIO DE POLIESTER E TUBO INTERNO EM BORRACHA SINTETICA, COM UNIOES ENGATE RAPIDO</v>
          </cell>
          <cell r="C3191" t="str">
            <v xml:space="preserve">UN    </v>
          </cell>
          <cell r="D3191">
            <v>1018.22</v>
          </cell>
        </row>
        <row r="3192">
          <cell r="A3192">
            <v>20185</v>
          </cell>
          <cell r="B3192" t="str">
            <v>MANGUEIRA DE PVC FLEXIVEL,TIPO FLAT/ACHATADA, COR LARANJA, D = 1 1/2" (40 MM), PARA CONDUCAO DE AGUA, SERVICOS LEVES E MEDIOS</v>
          </cell>
          <cell r="C3192" t="str">
            <v xml:space="preserve">M     </v>
          </cell>
          <cell r="D3192">
            <v>11.98</v>
          </cell>
        </row>
        <row r="3193">
          <cell r="A3193">
            <v>20260</v>
          </cell>
          <cell r="B3193" t="str">
            <v>MANGUEIRA PARA GAS - GLP, PVC, TRANCADA, DIAMETRO DE 3/8", COMPRIMENTO DE 1M (NORMATIZADA)</v>
          </cell>
          <cell r="C3193" t="str">
            <v xml:space="preserve">UN    </v>
          </cell>
          <cell r="D3193">
            <v>9.6300000000000008</v>
          </cell>
        </row>
        <row r="3194">
          <cell r="A3194">
            <v>37523</v>
          </cell>
          <cell r="B3194" t="str">
            <v>MANIPULADOR TELESCOPICO, POTENCIA DE 101 HP, CAPACIDADE DE CARGA DE 3.500 KG, ALTURA MAXIMA DE ELEVACAO DE 12 M</v>
          </cell>
          <cell r="C3194" t="str">
            <v xml:space="preserve">UN    </v>
          </cell>
          <cell r="D3194">
            <v>418767.64</v>
          </cell>
        </row>
        <row r="3195">
          <cell r="A3195">
            <v>37515</v>
          </cell>
          <cell r="B3195" t="str">
            <v>MANIPULADOR TELESCOPICO, POTENCIA DE 85 HP, CAPACIDADE DE CARGA DE 3.500 KG, ALTURA MAXIMA DE ELEVACAO DE 12,3 M</v>
          </cell>
          <cell r="C3195" t="str">
            <v xml:space="preserve">UN    </v>
          </cell>
          <cell r="D3195">
            <v>372305.85</v>
          </cell>
        </row>
        <row r="3196">
          <cell r="A3196">
            <v>12899</v>
          </cell>
          <cell r="B3196" t="str">
            <v>MANOMETRO COM CAIXA EM ACO PINTADO, ESCALA *10* KGF/CM2 (*10* BAR), DIAMETRO NOMINAL DE *63* MM, CONEXAO DE 1/4"</v>
          </cell>
          <cell r="C3196" t="str">
            <v xml:space="preserve">UN    </v>
          </cell>
          <cell r="D3196">
            <v>83.64</v>
          </cell>
        </row>
        <row r="3197">
          <cell r="A3197">
            <v>12898</v>
          </cell>
          <cell r="B3197" t="str">
            <v>MANOMETRO COM CAIXA EM ACO PINTADO, ESCALA *10* KGF/CM2 (*10* BAR), DIAMETRO NOMINAL DE 100 MM, CONEXAO DE 1/2"</v>
          </cell>
          <cell r="C3197" t="str">
            <v xml:space="preserve">UN    </v>
          </cell>
          <cell r="D3197">
            <v>132.68</v>
          </cell>
        </row>
        <row r="3198">
          <cell r="A3198">
            <v>42528</v>
          </cell>
          <cell r="B3198" t="str">
            <v>MANTA ALUMINIZADA NAS DUAS FACES, PARA SUBCOBERTURA,  E = *2* MM</v>
          </cell>
          <cell r="C3198" t="str">
            <v xml:space="preserve">M2    </v>
          </cell>
          <cell r="D3198">
            <v>7.72</v>
          </cell>
        </row>
        <row r="3199">
          <cell r="A3199">
            <v>39696</v>
          </cell>
          <cell r="B3199" t="str">
            <v>MANTA ALUMINIZADA 1 FACE PARA SUBCOBERTURA, E = *1* MM</v>
          </cell>
          <cell r="C3199" t="str">
            <v xml:space="preserve">M2    </v>
          </cell>
          <cell r="D3199">
            <v>5.43</v>
          </cell>
        </row>
        <row r="3200">
          <cell r="A3200">
            <v>39700</v>
          </cell>
          <cell r="B3200" t="str">
            <v>MANTA ANTIRRUIDO DE POLIESTER (PET) PARA CONTRAPISO E = *8* MM</v>
          </cell>
          <cell r="C3200" t="str">
            <v xml:space="preserve">M2    </v>
          </cell>
          <cell r="D3200">
            <v>16.59</v>
          </cell>
        </row>
        <row r="3201">
          <cell r="A3201">
            <v>11621</v>
          </cell>
          <cell r="B3201" t="str">
            <v>MANTA ASFALTICA ELASTOMERICA EM POLIESTER ALUMINIZADA 3 MM, TIPO III, CLASSE B (NBR 9952)</v>
          </cell>
          <cell r="C3201" t="str">
            <v xml:space="preserve">M2    </v>
          </cell>
          <cell r="D3201">
            <v>33.020000000000003</v>
          </cell>
        </row>
        <row r="3202">
          <cell r="A3202">
            <v>4014</v>
          </cell>
          <cell r="B3202" t="str">
            <v>MANTA ASFALTICA ELASTOMERICA EM POLIESTER 3 MM, TIPO III, CLASSE B, ACABAMENTO PP (NBR 9952)</v>
          </cell>
          <cell r="C3202" t="str">
            <v xml:space="preserve">M2    </v>
          </cell>
          <cell r="D3202">
            <v>34.159999999999997</v>
          </cell>
        </row>
        <row r="3203">
          <cell r="A3203">
            <v>4015</v>
          </cell>
          <cell r="B3203" t="str">
            <v>MANTA ASFALTICA ELASTOMERICA EM POLIESTER 4 MM, TIPO III, CLASSE B, ACABAMENTO PP (NBR 9952)</v>
          </cell>
          <cell r="C3203" t="str">
            <v xml:space="preserve">M2    </v>
          </cell>
          <cell r="D3203">
            <v>41.95</v>
          </cell>
        </row>
        <row r="3204">
          <cell r="A3204">
            <v>4017</v>
          </cell>
          <cell r="B3204" t="str">
            <v>MANTA ASFALTICA ELASTOMERICA EM POLIESTER 5 MM, TIPO III, CLASSE B, ACABAMENTO PP (NBR 9952)</v>
          </cell>
          <cell r="C3204" t="str">
            <v xml:space="preserve">M2    </v>
          </cell>
          <cell r="D3204">
            <v>61.04</v>
          </cell>
        </row>
        <row r="3205">
          <cell r="A3205">
            <v>4016</v>
          </cell>
          <cell r="B3205" t="str">
            <v>MANTA ASFALTICA ELASTOMERICA TIPO GLASS 3 MM, TIPO II, CLASSE C, ACABAMENTO PP (NBR 9952)</v>
          </cell>
          <cell r="C3205" t="str">
            <v xml:space="preserve">M2    </v>
          </cell>
          <cell r="D3205">
            <v>24.11</v>
          </cell>
        </row>
        <row r="3206">
          <cell r="A3206">
            <v>39699</v>
          </cell>
          <cell r="B3206" t="str">
            <v>MANTA DE BORRACHA ANTIRRUIDO 5 MM</v>
          </cell>
          <cell r="C3206" t="str">
            <v xml:space="preserve">M2    </v>
          </cell>
          <cell r="D3206">
            <v>12.93</v>
          </cell>
        </row>
        <row r="3207">
          <cell r="A3207">
            <v>38544</v>
          </cell>
          <cell r="B3207" t="str">
            <v>MANTA DE POLIETILENO EXPANDIDO (PEBD) ANTICHAMAS, E = 8 MM</v>
          </cell>
          <cell r="C3207" t="str">
            <v xml:space="preserve">M2    </v>
          </cell>
          <cell r="D3207">
            <v>6.18</v>
          </cell>
        </row>
        <row r="3208">
          <cell r="A3208">
            <v>38545</v>
          </cell>
          <cell r="B3208" t="str">
            <v>MANTA DE POLIETILENO EXPANDIDO (PEBD), E = 5 MM</v>
          </cell>
          <cell r="C3208" t="str">
            <v xml:space="preserve">M2    </v>
          </cell>
          <cell r="D3208">
            <v>3.97</v>
          </cell>
        </row>
        <row r="3209">
          <cell r="A3209">
            <v>42527</v>
          </cell>
          <cell r="B3209" t="str">
            <v>MANTA DE POLIETILENO EXPANDIDO, COM 1 FACE METALIZADA PARA SUBCOBERTURA,  E = *5* MM</v>
          </cell>
          <cell r="C3209" t="str">
            <v xml:space="preserve">M2    </v>
          </cell>
          <cell r="D3209">
            <v>20.399999999999999</v>
          </cell>
        </row>
        <row r="3210">
          <cell r="A3210">
            <v>39323</v>
          </cell>
          <cell r="B3210" t="str">
            <v>MANTA GEOTEXTIL TECIDO DE LAMINETES DE POLIPROPILENO, RESISTENCIA A TRACAO = *25* KN/M</v>
          </cell>
          <cell r="C3210" t="str">
            <v xml:space="preserve">M2    </v>
          </cell>
          <cell r="D3210">
            <v>15.16</v>
          </cell>
        </row>
        <row r="3211">
          <cell r="A3211">
            <v>626</v>
          </cell>
          <cell r="B3211" t="str">
            <v>MANTA LIQUIDA DE BASE ASFALTICA MODIFICADA COM A ADICAO DE ELASTOMEROS DILUIDOS EM SOLVENTE ORGANICO, APLICACAO A FRIO (MEMBRANA IMPERMEABILIZANTE ASFASTICA)</v>
          </cell>
          <cell r="C3211" t="str">
            <v xml:space="preserve">KG    </v>
          </cell>
          <cell r="D3211">
            <v>11.11</v>
          </cell>
        </row>
        <row r="3212">
          <cell r="A3212">
            <v>25860</v>
          </cell>
          <cell r="B3212" t="str">
            <v>MANTA TERMOPLASTICA, PEAD, GEOMEMBRANA LISA, E = 0,50 MM ( NBR 15352)</v>
          </cell>
          <cell r="C3212" t="str">
            <v xml:space="preserve">M2    </v>
          </cell>
          <cell r="D3212">
            <v>9.93</v>
          </cell>
        </row>
        <row r="3213">
          <cell r="A3213">
            <v>25861</v>
          </cell>
          <cell r="B3213" t="str">
            <v>MANTA TERMOPLASTICA, PEAD, GEOMEMBRANA LISA, E = 0,75 MM ( NBR 15352)</v>
          </cell>
          <cell r="C3213" t="str">
            <v xml:space="preserve">M2    </v>
          </cell>
          <cell r="D3213">
            <v>14.99</v>
          </cell>
        </row>
        <row r="3214">
          <cell r="A3214">
            <v>25862</v>
          </cell>
          <cell r="B3214" t="str">
            <v>MANTA TERMOPLASTICA, PEAD, GEOMEMBRANA LISA, E = 0,80 MM ( NBR 15352)</v>
          </cell>
          <cell r="C3214" t="str">
            <v xml:space="preserve">M2    </v>
          </cell>
          <cell r="D3214">
            <v>15.91</v>
          </cell>
        </row>
        <row r="3215">
          <cell r="A3215">
            <v>25863</v>
          </cell>
          <cell r="B3215" t="str">
            <v>MANTA TERMOPLASTICA, PEAD, GEOMEMBRANA LISA, E = 1,00 MM ( NBR 15352)</v>
          </cell>
          <cell r="C3215" t="str">
            <v xml:space="preserve">M2    </v>
          </cell>
          <cell r="D3215">
            <v>19.89</v>
          </cell>
        </row>
        <row r="3216">
          <cell r="A3216">
            <v>25864</v>
          </cell>
          <cell r="B3216" t="str">
            <v>MANTA TERMOPLASTICA, PEAD, GEOMEMBRANA LISA, E = 1,50 MM ( NBR 15352)</v>
          </cell>
          <cell r="C3216" t="str">
            <v xml:space="preserve">M2    </v>
          </cell>
          <cell r="D3216">
            <v>29.83</v>
          </cell>
        </row>
        <row r="3217">
          <cell r="A3217">
            <v>25865</v>
          </cell>
          <cell r="B3217" t="str">
            <v>MANTA TERMOPLASTICA, PEAD, GEOMEMBRANA LISA, E = 2,00 MM ( NBR 15352)</v>
          </cell>
          <cell r="C3217" t="str">
            <v xml:space="preserve">M2    </v>
          </cell>
          <cell r="D3217">
            <v>39.96</v>
          </cell>
        </row>
        <row r="3218">
          <cell r="A3218">
            <v>25866</v>
          </cell>
          <cell r="B3218" t="str">
            <v>MANTA TERMOPLASTICA, PEAD, GEOMEMBRANA LISA, E = 2,50 MM ( NBR 15352)</v>
          </cell>
          <cell r="C3218" t="str">
            <v xml:space="preserve">M2    </v>
          </cell>
          <cell r="D3218">
            <v>49.62</v>
          </cell>
        </row>
        <row r="3219">
          <cell r="A3219">
            <v>25868</v>
          </cell>
          <cell r="B3219" t="str">
            <v>MANTA TERMOPLASTICA, PEAD, GEOMEMBRANA TEXTURIZADA EM AMBAS AS FACES, E = 0,50 MM (NBR 15352)</v>
          </cell>
          <cell r="C3219" t="str">
            <v xml:space="preserve">M2    </v>
          </cell>
          <cell r="D3219">
            <v>11.07</v>
          </cell>
        </row>
        <row r="3220">
          <cell r="A3220">
            <v>25869</v>
          </cell>
          <cell r="B3220" t="str">
            <v>MANTA TERMOPLASTICA, PEAD, GEOMEMBRANA TEXTURIZADA EM AMBAS AS FACES, E = 0,75 MM (NBR 15352)</v>
          </cell>
          <cell r="C3220" t="str">
            <v xml:space="preserve">M2    </v>
          </cell>
          <cell r="D3220">
            <v>15.63</v>
          </cell>
        </row>
        <row r="3221">
          <cell r="A3221">
            <v>25870</v>
          </cell>
          <cell r="B3221" t="str">
            <v>MANTA TERMOPLASTICA, PEAD, GEOMEMBRANA TEXTURIZADA EM AMBAS AS FACES, E = 0,80 MM (NBR 15352)</v>
          </cell>
          <cell r="C3221" t="str">
            <v xml:space="preserve">M2    </v>
          </cell>
          <cell r="D3221">
            <v>17.72</v>
          </cell>
        </row>
        <row r="3222">
          <cell r="A3222">
            <v>25871</v>
          </cell>
          <cell r="B3222" t="str">
            <v>MANTA TERMOPLASTICA, PEAD, GEOMEMBRANA TEXTURIZADA EM AMBAS AS FACES, E = 1,00 MM (NBR 15352)</v>
          </cell>
          <cell r="C3222" t="str">
            <v xml:space="preserve">M2    </v>
          </cell>
          <cell r="D3222">
            <v>21.76</v>
          </cell>
        </row>
        <row r="3223">
          <cell r="A3223">
            <v>25867</v>
          </cell>
          <cell r="B3223" t="str">
            <v>MANTA TERMOPLASTICA, PEAD, GEOMEMBRANA TEXTURIZADA EM AMBAS AS FACES, E = 1,50 MM (NBR 15352)</v>
          </cell>
          <cell r="C3223" t="str">
            <v xml:space="preserve">M2    </v>
          </cell>
          <cell r="D3223">
            <v>32.21</v>
          </cell>
        </row>
        <row r="3224">
          <cell r="A3224">
            <v>25872</v>
          </cell>
          <cell r="B3224" t="str">
            <v>MANTA TERMOPLASTICA, PEAD, GEOMEMBRANA TEXTURIZADA EM AMBAS AS FACES, E = 2,00 MM (NBR 15352)</v>
          </cell>
          <cell r="C3224" t="str">
            <v xml:space="preserve">M2    </v>
          </cell>
          <cell r="D3224">
            <v>43.53</v>
          </cell>
        </row>
        <row r="3225">
          <cell r="A3225">
            <v>25873</v>
          </cell>
          <cell r="B3225" t="str">
            <v>MANTA TERMOPLASTICA, PEAD, GEOMEMBRANA TEXTURIZADA EM AMBAS AS FACES, E = 2,50 MM (NBR 15352)</v>
          </cell>
          <cell r="C3225" t="str">
            <v xml:space="preserve">M2    </v>
          </cell>
          <cell r="D3225">
            <v>54.29</v>
          </cell>
        </row>
        <row r="3226">
          <cell r="A3226">
            <v>40637</v>
          </cell>
          <cell r="B3226" t="str">
            <v>MAQUINA DEMARCADORA DE FAIXA DE TRAFEGO A FRIO, AUTOPROPELIDA, MOTOR DIESEL 38 HP</v>
          </cell>
          <cell r="C3226" t="str">
            <v xml:space="preserve">UN    </v>
          </cell>
          <cell r="D3226">
            <v>505925.24</v>
          </cell>
        </row>
        <row r="3227">
          <cell r="A3227">
            <v>13836</v>
          </cell>
          <cell r="B3227" t="str">
            <v>MAQUINA EXTRUSORA DE CONCRETO PARA GUIAS E SARJETAS, COM MOTOR A DIESEL DE 14 CV</v>
          </cell>
          <cell r="C3227" t="str">
            <v xml:space="preserve">UN    </v>
          </cell>
          <cell r="D3227">
            <v>58736.45</v>
          </cell>
        </row>
        <row r="3228">
          <cell r="A3228">
            <v>14534</v>
          </cell>
          <cell r="B3228" t="str">
            <v>MAQUINA MANUAL TIPO PRENSA PARA PRODUCAO DE BLOCOS E PAVIMENTOS DE CONCRETO, COM MOTOR ELETRICO TRIFASICO PARA VIBRACAO, POTENCIA TOTAL INSTALADA DE 1,5 KW</v>
          </cell>
          <cell r="C3228" t="str">
            <v xml:space="preserve">UN    </v>
          </cell>
          <cell r="D3228">
            <v>24588.63</v>
          </cell>
        </row>
        <row r="3229">
          <cell r="A3229">
            <v>14619</v>
          </cell>
          <cell r="B3229" t="str">
            <v>MAQUINA PARA CORTE COM DISCO ABRASIVO DE DIAMETRO DE 18'' (450 MM), COM MOTOR ELETRICO TRIFASICO DE 10 CV</v>
          </cell>
          <cell r="C3229" t="str">
            <v xml:space="preserve">UN    </v>
          </cell>
          <cell r="D3229">
            <v>14615.23</v>
          </cell>
        </row>
        <row r="3230">
          <cell r="A3230">
            <v>14535</v>
          </cell>
          <cell r="B3230" t="str">
            <v>MAQUINA TIPO PRENSA HIDRAULICA, PARA FABRICACAO DE TUBOS DE CONCRETO PARA AGUAS PLUVIAIS, DN 200 A DN 600 MM X 1000 MM DE COMPRIMENTO, COM MOTOR PRINCIPAL DE 20 CV</v>
          </cell>
          <cell r="C3230" t="str">
            <v xml:space="preserve">UN    </v>
          </cell>
          <cell r="D3230">
            <v>244044.55</v>
          </cell>
        </row>
        <row r="3231">
          <cell r="A3231">
            <v>39813</v>
          </cell>
          <cell r="B3231" t="str">
            <v>MAQUINA TIPO VASO/TANQUE/JATO DE PRESSAO PORTATIL PARA JATEAMENTO, CONTROLE AUTOMATICO E REMOTO, CAMARA DE 1 SAIDA, 280 L, DIAM. *670* MM, BICO JATO CURTO VENTURI DE 5/16", MANGUEIRA DE 1" DE 10 M, COMPLETA (VALVULAS POP UP E DOSADORA, FUNDO CONICO ETC)</v>
          </cell>
          <cell r="C3231" t="str">
            <v xml:space="preserve">UN    </v>
          </cell>
          <cell r="D3231">
            <v>20467.599999999999</v>
          </cell>
        </row>
        <row r="3232">
          <cell r="A3232">
            <v>40403</v>
          </cell>
          <cell r="B3232" t="str">
            <v>MAQUINA TRANSFORMADORA MONOFASICA PARA SOLDA ELETRICA, TENSAO DE 220 V, FREQUENCIA DE 60 HZ, FAIXA DE CORRENTE ENTRE 80 A (+/- 10 A) E 250 A, POTENCIA ENTRE 14,00 KVA E 15,0 KVA, CICLO DE TRABALHO ENTRE 10% E 20% A 250 A</v>
          </cell>
          <cell r="C3232" t="str">
            <v xml:space="preserve">UN    </v>
          </cell>
          <cell r="D3232">
            <v>849.1</v>
          </cell>
        </row>
        <row r="3233">
          <cell r="A3233">
            <v>12868</v>
          </cell>
          <cell r="B3233" t="str">
            <v>MARCENEIRO</v>
          </cell>
          <cell r="C3233" t="str">
            <v xml:space="preserve">H     </v>
          </cell>
          <cell r="D3233">
            <v>15.13</v>
          </cell>
        </row>
        <row r="3234">
          <cell r="A3234">
            <v>40916</v>
          </cell>
          <cell r="B3234" t="str">
            <v>MARCENEIRO (MENSALISTA)</v>
          </cell>
          <cell r="C3234" t="str">
            <v xml:space="preserve">MES   </v>
          </cell>
          <cell r="D3234">
            <v>2684.66</v>
          </cell>
        </row>
        <row r="3235">
          <cell r="A3235">
            <v>4755</v>
          </cell>
          <cell r="B3235" t="str">
            <v>MARMORISTA / GRANITEIRO</v>
          </cell>
          <cell r="C3235" t="str">
            <v xml:space="preserve">H     </v>
          </cell>
          <cell r="D3235">
            <v>15.13</v>
          </cell>
        </row>
        <row r="3236">
          <cell r="A3236">
            <v>41067</v>
          </cell>
          <cell r="B3236" t="str">
            <v>MARMORISTA / GRANITEIRO (MENSALISTA)</v>
          </cell>
          <cell r="C3236" t="str">
            <v xml:space="preserve">MES   </v>
          </cell>
          <cell r="D3236">
            <v>2685.45</v>
          </cell>
        </row>
        <row r="3237">
          <cell r="A3237">
            <v>38463</v>
          </cell>
          <cell r="B3237" t="str">
            <v>MARTELO DE SOLDADOR/PICADOR DE SOLDA</v>
          </cell>
          <cell r="C3237" t="str">
            <v xml:space="preserve">UN    </v>
          </cell>
          <cell r="D3237">
            <v>30.1</v>
          </cell>
        </row>
        <row r="3238">
          <cell r="A3238">
            <v>40703</v>
          </cell>
          <cell r="B3238" t="str">
            <v>MARTELO DEMOLIDOR ELETRICO, COM POTENCIA DE 2.000 W, FREQUENCIA DE 1.000 IMPACTOS POR MINUTO, FORÇA DE IMPACTO ENTRE 60 E 65 J, PESO DE 30 KG</v>
          </cell>
          <cell r="C3238" t="str">
            <v xml:space="preserve">UN    </v>
          </cell>
          <cell r="D3238">
            <v>10770</v>
          </cell>
        </row>
        <row r="3239">
          <cell r="A3239">
            <v>14531</v>
          </cell>
          <cell r="B3239" t="str">
            <v>MARTELO DEMOLIDOR PNEUMATICO MANUAL, COM REDUCAO DE VIBRACAO, PESO DE 21 KG</v>
          </cell>
          <cell r="C3239" t="str">
            <v xml:space="preserve">UN    </v>
          </cell>
          <cell r="D3239">
            <v>20079.34</v>
          </cell>
        </row>
        <row r="3240">
          <cell r="A3240">
            <v>36533</v>
          </cell>
          <cell r="B3240" t="str">
            <v>MARTELO DEMOLIDOR PNEUMATICO MANUAL, COM REDUCAO DE VIBRACAO, PESO DE 31,5 KG</v>
          </cell>
          <cell r="C3240" t="str">
            <v xml:space="preserve">UN    </v>
          </cell>
          <cell r="D3240">
            <v>23106.18</v>
          </cell>
        </row>
        <row r="3241">
          <cell r="A3241">
            <v>11616</v>
          </cell>
          <cell r="B3241" t="str">
            <v>MARTELO DEMOLIDOR PNEUMATICO MANUAL, PADRAO, PESO DE 32 KG</v>
          </cell>
          <cell r="C3241" t="str">
            <v xml:space="preserve">UN    </v>
          </cell>
          <cell r="D3241">
            <v>21823.45</v>
          </cell>
        </row>
        <row r="3242">
          <cell r="A3242">
            <v>41898</v>
          </cell>
          <cell r="B3242" t="str">
            <v>MARTELO DEMOLIDOR PNEUMATICO MANUAL, PESO  DE 28 KG, COM SILENCIADOR</v>
          </cell>
          <cell r="C3242" t="str">
            <v xml:space="preserve">UN    </v>
          </cell>
          <cell r="D3242">
            <v>24554.35</v>
          </cell>
        </row>
        <row r="3243">
          <cell r="A3243">
            <v>13447</v>
          </cell>
          <cell r="B3243" t="str">
            <v>MARTELO PERFURADOR PNEUMATICO MANUAL, DE SUPERFICIE, COM AVANCO DE COLUNA, PESO DE 22 KG</v>
          </cell>
          <cell r="C3243" t="str">
            <v xml:space="preserve">UN    </v>
          </cell>
          <cell r="D3243">
            <v>45181.68</v>
          </cell>
        </row>
        <row r="3244">
          <cell r="A3244">
            <v>14529</v>
          </cell>
          <cell r="B3244" t="str">
            <v>MARTELO PERFURADOR PNEUMATICO MANUAL, HASTE 25 X 75 MM, 21 KG</v>
          </cell>
          <cell r="C3244" t="str">
            <v xml:space="preserve">UN    </v>
          </cell>
          <cell r="D3244">
            <v>25268.97</v>
          </cell>
        </row>
        <row r="3245">
          <cell r="A3245">
            <v>10747</v>
          </cell>
          <cell r="B3245" t="str">
            <v>MARTELO PERFURADOR PNEUMATICO MANUAL, PESO DE 25 KG, COM SILENCIADOR</v>
          </cell>
          <cell r="C3245" t="str">
            <v xml:space="preserve">UN    </v>
          </cell>
          <cell r="D3245">
            <v>24792.720000000001</v>
          </cell>
        </row>
        <row r="3246">
          <cell r="A3246">
            <v>36141</v>
          </cell>
          <cell r="B3246" t="str">
            <v>MASCARA DE SEGURANCA PARA SOLDA COM ESCUDO DE CELERON E CARNEIRA DE PLASTICO COM REGULAGEM</v>
          </cell>
          <cell r="C3246" t="str">
            <v xml:space="preserve">UN    </v>
          </cell>
          <cell r="D3246">
            <v>32.53</v>
          </cell>
        </row>
        <row r="3247">
          <cell r="A3247">
            <v>39434</v>
          </cell>
          <cell r="B3247" t="str">
            <v>MASSA DE REJUNTE EM PO PARA DRYWALL, A BASE DE GESSO, SECAGEM RAPIDA, PARA TRATAMENTO DE JUNTAS DE CHAPA DE GESSO (COM ADICAO DE AGUA)</v>
          </cell>
          <cell r="C3247" t="str">
            <v xml:space="preserve">KG    </v>
          </cell>
          <cell r="D3247">
            <v>3.97</v>
          </cell>
        </row>
        <row r="3248">
          <cell r="A3248">
            <v>39433</v>
          </cell>
          <cell r="B3248" t="str">
            <v>MASSA DE REJUNTE PRONTA PARA TRATAMENTO DE JUNTAS DE CHAPA DE GESSO PARA DRYWALL, SEM ADICAO DE AGUA</v>
          </cell>
          <cell r="C3248" t="str">
            <v xml:space="preserve">KG    </v>
          </cell>
          <cell r="D3248">
            <v>2.85</v>
          </cell>
        </row>
        <row r="3249">
          <cell r="A3249">
            <v>4049</v>
          </cell>
          <cell r="B3249" t="str">
            <v>MASSA EPOXI BICOMPONENTE (MASSA + CATALIZADOR)</v>
          </cell>
          <cell r="C3249" t="str">
            <v xml:space="preserve">L     </v>
          </cell>
          <cell r="D3249">
            <v>46.92</v>
          </cell>
        </row>
        <row r="3250">
          <cell r="A3250">
            <v>38120</v>
          </cell>
          <cell r="B3250" t="str">
            <v>MASSA EPOXI BICOMPONENTE PARA REPAROS</v>
          </cell>
          <cell r="C3250" t="str">
            <v xml:space="preserve">KG    </v>
          </cell>
          <cell r="D3250">
            <v>79.06</v>
          </cell>
        </row>
        <row r="3251">
          <cell r="A3251">
            <v>38877</v>
          </cell>
          <cell r="B3251" t="str">
            <v>MASSA PARA TEXTURA LISA DE BASE ACRILICA, USO INTERNO E EXTERNO</v>
          </cell>
          <cell r="C3251" t="str">
            <v xml:space="preserve">KG    </v>
          </cell>
          <cell r="D3251">
            <v>6.13</v>
          </cell>
        </row>
        <row r="3252">
          <cell r="A3252">
            <v>34546</v>
          </cell>
          <cell r="B3252" t="str">
            <v>MASSA PARA TEXTURA RUSTICA DE BASE ACRILICA, COR BRANCA, USO INTERNO E EXTERNO</v>
          </cell>
          <cell r="C3252" t="str">
            <v xml:space="preserve">KG    </v>
          </cell>
          <cell r="D3252">
            <v>6.18</v>
          </cell>
        </row>
        <row r="3253">
          <cell r="A3253">
            <v>10498</v>
          </cell>
          <cell r="B3253" t="str">
            <v>MASSA PARA VIDRO</v>
          </cell>
          <cell r="C3253" t="str">
            <v xml:space="preserve">KG    </v>
          </cell>
          <cell r="D3253">
            <v>7.06</v>
          </cell>
        </row>
        <row r="3254">
          <cell r="A3254">
            <v>4823</v>
          </cell>
          <cell r="B3254" t="str">
            <v>MASSA PLASTICA PARA MARMORE/GRANITO</v>
          </cell>
          <cell r="C3254" t="str">
            <v xml:space="preserve">KG    </v>
          </cell>
          <cell r="D3254">
            <v>37.020000000000003</v>
          </cell>
        </row>
        <row r="3255">
          <cell r="A3255">
            <v>12357</v>
          </cell>
          <cell r="B3255" t="str">
            <v>MASTRO SIMPLES GALVANIZADO DIAMETRO NOMINAL 1 1/2", COMPRIMENTO 3 M</v>
          </cell>
          <cell r="C3255" t="str">
            <v xml:space="preserve">UN    </v>
          </cell>
          <cell r="D3255">
            <v>152.06</v>
          </cell>
        </row>
        <row r="3256">
          <cell r="A3256">
            <v>12358</v>
          </cell>
          <cell r="B3256" t="str">
            <v>MASTRO SIMPLES GALVANIZADO DIAMETRO NOMINAL 2", COMPRIMENTO 3 M</v>
          </cell>
          <cell r="C3256" t="str">
            <v xml:space="preserve">UN    </v>
          </cell>
          <cell r="D3256">
            <v>171.04</v>
          </cell>
        </row>
        <row r="3257">
          <cell r="A3257">
            <v>11079</v>
          </cell>
          <cell r="B3257" t="str">
            <v>MATERIAL FILTRANTE (PEDREGULHO) 0,6 A 25,46 MM (POSTO PEDREIRA/FORNECEDOR, SEM FRETE)</v>
          </cell>
          <cell r="C3257" t="str">
            <v xml:space="preserve">M3    </v>
          </cell>
          <cell r="D3257">
            <v>998.08</v>
          </cell>
        </row>
        <row r="3258">
          <cell r="A3258">
            <v>11082</v>
          </cell>
          <cell r="B3258" t="str">
            <v>MATERIAL FILTRANTE (PEDREGULHO) 38 A 25,4 MM (POSTO PEDREIRA/FORNECEDOR, SEM FRETE)</v>
          </cell>
          <cell r="C3258" t="str">
            <v xml:space="preserve">M3    </v>
          </cell>
          <cell r="D3258">
            <v>1018.28</v>
          </cell>
        </row>
        <row r="3259">
          <cell r="A3259">
            <v>4058</v>
          </cell>
          <cell r="B3259" t="str">
            <v>MECANICO DE EQUIPAMENTOS PESADOS</v>
          </cell>
          <cell r="C3259" t="str">
            <v xml:space="preserve">H     </v>
          </cell>
          <cell r="D3259">
            <v>16.22</v>
          </cell>
        </row>
        <row r="3260">
          <cell r="A3260">
            <v>40974</v>
          </cell>
          <cell r="B3260" t="str">
            <v>MECANICO DE EQUIPAMENTOS PESADOS (MENSALISTA)</v>
          </cell>
          <cell r="C3260" t="str">
            <v xml:space="preserve">MES   </v>
          </cell>
          <cell r="D3260">
            <v>2878.1</v>
          </cell>
        </row>
        <row r="3261">
          <cell r="A3261">
            <v>34794</v>
          </cell>
          <cell r="B3261" t="str">
            <v>MECANICO DE REFRIGERACAO</v>
          </cell>
          <cell r="C3261" t="str">
            <v xml:space="preserve">H     </v>
          </cell>
          <cell r="D3261">
            <v>16.86</v>
          </cell>
        </row>
        <row r="3262">
          <cell r="A3262">
            <v>40925</v>
          </cell>
          <cell r="B3262" t="str">
            <v>MECANICO DE REFRIGERACAO (MENSALISTA)</v>
          </cell>
          <cell r="C3262" t="str">
            <v xml:space="preserve">MES   </v>
          </cell>
          <cell r="D3262">
            <v>2991.35</v>
          </cell>
        </row>
        <row r="3263">
          <cell r="A3263">
            <v>13741</v>
          </cell>
          <cell r="B3263" t="str">
            <v>MEDIDOR DE NIVEL ESTATICO E DINAMICO PARA POCO, COMPRIMENTO DE 200 M</v>
          </cell>
          <cell r="C3263" t="str">
            <v xml:space="preserve">UN    </v>
          </cell>
          <cell r="D3263">
            <v>1769.39</v>
          </cell>
        </row>
        <row r="3264">
          <cell r="A3264">
            <v>3288</v>
          </cell>
          <cell r="B3264" t="str">
            <v>MEIA CANA DE MADEIRA CEDRINHO OU EQUIVALENTE DA REGIAO, ACABAMENTO PARA FORRO PAULISTA, *2,5 X 2,5* CM</v>
          </cell>
          <cell r="C3264" t="str">
            <v xml:space="preserve">M     </v>
          </cell>
          <cell r="D3264">
            <v>4.1500000000000004</v>
          </cell>
        </row>
        <row r="3265">
          <cell r="A3265">
            <v>13587</v>
          </cell>
          <cell r="B3265" t="str">
            <v>MEIA CANA DE MADEIRA PINUS OU EQUIVALENTE DA REGIAO, ACABAMENTO PARA FORRO PAULISTA, *2,5 X 2,5* CM</v>
          </cell>
          <cell r="C3265" t="str">
            <v xml:space="preserve">M     </v>
          </cell>
          <cell r="D3265">
            <v>2.5</v>
          </cell>
        </row>
        <row r="3266">
          <cell r="A3266">
            <v>38598</v>
          </cell>
          <cell r="B3266" t="str">
            <v>MEIA CANALETA DE CONCRETO ESTRUTURAL 14 X 19 X 19 CM, FBK 14 MPA (NBR 6136)</v>
          </cell>
          <cell r="C3266" t="str">
            <v xml:space="preserve">UN    </v>
          </cell>
          <cell r="D3266">
            <v>2.2400000000000002</v>
          </cell>
        </row>
        <row r="3267">
          <cell r="A3267">
            <v>38595</v>
          </cell>
          <cell r="B3267" t="str">
            <v>MEIA CANALETA DE CONCRETO ESTRUTURAL 14 X 19 X 19 CM, FBK 4,5 MPA (NBR 6136)</v>
          </cell>
          <cell r="C3267" t="str">
            <v xml:space="preserve">UN    </v>
          </cell>
          <cell r="D3267">
            <v>1.9</v>
          </cell>
        </row>
        <row r="3268">
          <cell r="A3268">
            <v>38592</v>
          </cell>
          <cell r="B3268" t="str">
            <v>MEIO BLOCO DE CONCRETO ESTRUTURAL 14 X 19 X 14 CM, FBK 14 MPA (NBR 6136)</v>
          </cell>
          <cell r="C3268" t="str">
            <v xml:space="preserve">UN    </v>
          </cell>
          <cell r="D3268">
            <v>1.92</v>
          </cell>
        </row>
        <row r="3269">
          <cell r="A3269">
            <v>38588</v>
          </cell>
          <cell r="B3269" t="str">
            <v>MEIO BLOCO DE CONCRETO ESTRUTURAL 14 X 19 X 14 CM, FBK 4,5 MPA (NBR 6136)</v>
          </cell>
          <cell r="C3269" t="str">
            <v xml:space="preserve">UN    </v>
          </cell>
          <cell r="D3269">
            <v>1.54</v>
          </cell>
        </row>
        <row r="3270">
          <cell r="A3270">
            <v>38593</v>
          </cell>
          <cell r="B3270" t="str">
            <v>MEIO BLOCO DE CONCRETO ESTRUTURAL 14 X 19 X 19 CM, FBK 14 MPA (NBR 6136)</v>
          </cell>
          <cell r="C3270" t="str">
            <v xml:space="preserve">UN    </v>
          </cell>
          <cell r="D3270">
            <v>2.12</v>
          </cell>
        </row>
        <row r="3271">
          <cell r="A3271">
            <v>38589</v>
          </cell>
          <cell r="B3271" t="str">
            <v>MEIO BLOCO DE CONCRETO ESTRUTURAL 14 X 19 X 19 CM, FBK 4,5 MPA (NBR 6136)</v>
          </cell>
          <cell r="C3271" t="str">
            <v xml:space="preserve">UN    </v>
          </cell>
          <cell r="D3271">
            <v>1.61</v>
          </cell>
        </row>
        <row r="3272">
          <cell r="A3272">
            <v>38594</v>
          </cell>
          <cell r="B3272" t="str">
            <v>MEIO BLOCO DE CONCRETO ESTRUTURAL 14 X 19 X 34 CM, FBK 14 MPA (NBR 6136)</v>
          </cell>
          <cell r="C3272" t="str">
            <v xml:space="preserve">UN    </v>
          </cell>
          <cell r="D3272">
            <v>3.35</v>
          </cell>
        </row>
        <row r="3273">
          <cell r="A3273">
            <v>34773</v>
          </cell>
          <cell r="B3273" t="str">
            <v>MEIO BLOCO DE VEDACAO DE CONCRETO APARENTE 14 X 19 X 19 CM  (CLASSE C - NBR 6136)</v>
          </cell>
          <cell r="C3273" t="str">
            <v xml:space="preserve">UN    </v>
          </cell>
          <cell r="D3273">
            <v>1.58</v>
          </cell>
        </row>
        <row r="3274">
          <cell r="A3274">
            <v>34769</v>
          </cell>
          <cell r="B3274" t="str">
            <v>MEIO BLOCO DE VEDACAO DE CONCRETO APARENTE 19 X 19 X 19 CM (CLASSE C - NBR 6136)</v>
          </cell>
          <cell r="C3274" t="str">
            <v xml:space="preserve">UN    </v>
          </cell>
          <cell r="D3274">
            <v>1.96</v>
          </cell>
        </row>
        <row r="3275">
          <cell r="A3275">
            <v>34763</v>
          </cell>
          <cell r="B3275" t="str">
            <v>MEIO BLOCO DE VEDACAO DE CONCRETO APARENTE 9  X 19 X 19 CM (CLASSE C - NBR 6136)</v>
          </cell>
          <cell r="C3275" t="str">
            <v xml:space="preserve">UN    </v>
          </cell>
          <cell r="D3275">
            <v>1.21</v>
          </cell>
        </row>
        <row r="3276">
          <cell r="A3276">
            <v>34774</v>
          </cell>
          <cell r="B3276" t="str">
            <v>MEIO BLOCO DE VEDACAO DE CONCRETO 14 X 19 X 19 CM (CLASSE C - NBR 6136)</v>
          </cell>
          <cell r="C3276" t="str">
            <v xml:space="preserve">UN    </v>
          </cell>
          <cell r="D3276">
            <v>1.5</v>
          </cell>
        </row>
        <row r="3277">
          <cell r="A3277">
            <v>34771</v>
          </cell>
          <cell r="B3277" t="str">
            <v>MEIO BLOCO DE VEDACAO DE CONCRETO 19 X 19 X 19 CM (CLASSE C - NBR 6136)</v>
          </cell>
          <cell r="C3277" t="str">
            <v xml:space="preserve">UN    </v>
          </cell>
          <cell r="D3277">
            <v>1.81</v>
          </cell>
        </row>
        <row r="3278">
          <cell r="A3278">
            <v>34764</v>
          </cell>
          <cell r="B3278" t="str">
            <v>MEIO BLOCO DE VEDACAO DE CONCRETO 9 X 19 X 19 CM (CLASSE C - NBR 6136)</v>
          </cell>
          <cell r="C3278" t="str">
            <v xml:space="preserve">UN    </v>
          </cell>
          <cell r="D3278">
            <v>1.19</v>
          </cell>
        </row>
        <row r="3279">
          <cell r="A3279">
            <v>34788</v>
          </cell>
          <cell r="B3279" t="str">
            <v>MEIO BLOCO ESTRUTURAL CERAMICO 14 X 19 X 14 CM, 6,0 MPA (NBR 15270)</v>
          </cell>
          <cell r="C3279" t="str">
            <v xml:space="preserve">UN    </v>
          </cell>
          <cell r="D3279">
            <v>1.1000000000000001</v>
          </cell>
        </row>
        <row r="3280">
          <cell r="A3280">
            <v>34781</v>
          </cell>
          <cell r="B3280" t="str">
            <v>MEIO BLOCO ESTRUTURAL CERAMICO 14 X 19 X 19 CM, 6,0 MPA (NBR 15270)</v>
          </cell>
          <cell r="C3280" t="str">
            <v xml:space="preserve">UN    </v>
          </cell>
          <cell r="D3280">
            <v>1.25</v>
          </cell>
        </row>
        <row r="3281">
          <cell r="A3281">
            <v>4062</v>
          </cell>
          <cell r="B3281" t="str">
            <v>MEIO-FIO OU GUIA DE CONCRETO, PRE-MOLDADO, COMP 1 M, *30 X 15* CM (H X L)</v>
          </cell>
          <cell r="C3281" t="str">
            <v xml:space="preserve">UN    </v>
          </cell>
          <cell r="D3281">
            <v>20.62</v>
          </cell>
        </row>
        <row r="3282">
          <cell r="A3282">
            <v>4059</v>
          </cell>
          <cell r="B3282" t="str">
            <v>MEIO-FIO OU GUIA DE CONCRETO, PRE-MOLDADO, COMP 1 M, *30 X 15/ 12* CM (H X L1/L2)</v>
          </cell>
          <cell r="C3282" t="str">
            <v xml:space="preserve">M     </v>
          </cell>
          <cell r="D3282">
            <v>25</v>
          </cell>
        </row>
        <row r="3283">
          <cell r="A3283">
            <v>4061</v>
          </cell>
          <cell r="B3283" t="str">
            <v>MEIO-FIO OU GUIA DE CONCRETO, PRE-MOLDADO, COMP 80 CM, *45 X 18 /12* CM (H X L1/L2)</v>
          </cell>
          <cell r="C3283" t="str">
            <v xml:space="preserve">UN    </v>
          </cell>
          <cell r="D3283">
            <v>20</v>
          </cell>
        </row>
        <row r="3284">
          <cell r="A3284">
            <v>41315</v>
          </cell>
          <cell r="B3284" t="str">
            <v>MEMBRANA IMPERMEABILIZANTE A BASE DE POLIUREIA, BICOMPONENTE, APLICACAO A FRIO</v>
          </cell>
          <cell r="C3284" t="str">
            <v xml:space="preserve">KG    </v>
          </cell>
          <cell r="D3284">
            <v>61.76</v>
          </cell>
        </row>
        <row r="3285">
          <cell r="A3285">
            <v>43148</v>
          </cell>
          <cell r="B3285" t="str">
            <v>MEMBRANA IMPERMEABILIZANTE A BASE DE POLIURETANO</v>
          </cell>
          <cell r="C3285" t="str">
            <v xml:space="preserve">KG    </v>
          </cell>
          <cell r="D3285">
            <v>41.92</v>
          </cell>
        </row>
        <row r="3286">
          <cell r="A3286">
            <v>43147</v>
          </cell>
          <cell r="B3286" t="str">
            <v>MEMBRANA IMPERMEABILIZANTE ACRILICA MONOCOMPONENTE</v>
          </cell>
          <cell r="C3286" t="str">
            <v xml:space="preserve">KG    </v>
          </cell>
          <cell r="D3286">
            <v>16.23</v>
          </cell>
        </row>
        <row r="3287">
          <cell r="A3287">
            <v>10608</v>
          </cell>
          <cell r="B3287" t="str">
            <v>MESA VIBRATORIA COM DIMENSOES DE 2,0 X 1,0 M, COM MOTOR ELETRICO DE 2 POLOS E POTENCIA DE 3 CV</v>
          </cell>
          <cell r="C3287" t="str">
            <v xml:space="preserve">UN    </v>
          </cell>
          <cell r="D3287">
            <v>8402.5</v>
          </cell>
        </row>
        <row r="3288">
          <cell r="A3288">
            <v>4069</v>
          </cell>
          <cell r="B3288" t="str">
            <v>MESTRE DE OBRAS</v>
          </cell>
          <cell r="C3288" t="str">
            <v xml:space="preserve">H     </v>
          </cell>
          <cell r="D3288">
            <v>30.12</v>
          </cell>
        </row>
        <row r="3289">
          <cell r="A3289">
            <v>40819</v>
          </cell>
          <cell r="B3289" t="str">
            <v>MESTRE DE OBRAS (MENSALISTA)</v>
          </cell>
          <cell r="C3289" t="str">
            <v xml:space="preserve">MES   </v>
          </cell>
          <cell r="D3289">
            <v>5340.03</v>
          </cell>
        </row>
        <row r="3290">
          <cell r="A3290">
            <v>34361</v>
          </cell>
          <cell r="B3290" t="str">
            <v>METACAULIM DE ALTA REATIVIDADE/CAULIM CALCINADO</v>
          </cell>
          <cell r="C3290" t="str">
            <v xml:space="preserve">KG    </v>
          </cell>
          <cell r="D3290">
            <v>11.82</v>
          </cell>
        </row>
        <row r="3291">
          <cell r="A3291">
            <v>36512</v>
          </cell>
          <cell r="B3291" t="str">
            <v>MICRO-TRATOR CORTADOR DE GRAMA COM LARGURA DO CORTE DE 107 CM, COM  2 LAMINAS E DESCARTE LATERAL</v>
          </cell>
          <cell r="C3291" t="str">
            <v xml:space="preserve">UN    </v>
          </cell>
          <cell r="D3291">
            <v>10535.03</v>
          </cell>
        </row>
        <row r="3292">
          <cell r="A3292">
            <v>25972</v>
          </cell>
          <cell r="B3292" t="str">
            <v>MICROESFERAS DE VIDRO PARA SINALIZACAO HORIZONTAL VIARIA, TIPO I-B (PREMIX) - NBR 16184</v>
          </cell>
          <cell r="C3292" t="str">
            <v xml:space="preserve">KG    </v>
          </cell>
          <cell r="D3292">
            <v>9.26</v>
          </cell>
        </row>
        <row r="3293">
          <cell r="A3293">
            <v>25973</v>
          </cell>
          <cell r="B3293" t="str">
            <v>MICROESFERAS DE VIDRO PARA SINALIZACAO HORIZONTAL VIARIA, TIPO II-A (DROP-ON) - NBR 16184</v>
          </cell>
          <cell r="C3293" t="str">
            <v xml:space="preserve">KG    </v>
          </cell>
          <cell r="D3293">
            <v>9.26</v>
          </cell>
        </row>
        <row r="3294">
          <cell r="A3294">
            <v>11697</v>
          </cell>
          <cell r="B3294" t="str">
            <v>MICTORIO COLETIVO ACO INOX (AISI 304), E = 0,8 MM, DE *100 X 40 X 30* CM (C X A X P)</v>
          </cell>
          <cell r="C3294" t="str">
            <v xml:space="preserve">UN    </v>
          </cell>
          <cell r="D3294">
            <v>510</v>
          </cell>
        </row>
        <row r="3295">
          <cell r="A3295">
            <v>11698</v>
          </cell>
          <cell r="B3295" t="str">
            <v>MICTORIO COLETIVO ACO INOX (AISI 304), E = 0,8 MM, DE *100 X 50 X 35* CM (C X A X P)</v>
          </cell>
          <cell r="C3295" t="str">
            <v xml:space="preserve">UN    </v>
          </cell>
          <cell r="D3295">
            <v>608.4</v>
          </cell>
        </row>
        <row r="3296">
          <cell r="A3296">
            <v>11699</v>
          </cell>
          <cell r="B3296" t="str">
            <v>MICTORIO INDIVIDUAL ACO INOX (AISI 304), E = 0,8 MM, DE *50  X 45  X 35* (C X A X P)</v>
          </cell>
          <cell r="C3296" t="str">
            <v xml:space="preserve">UN    </v>
          </cell>
          <cell r="D3296">
            <v>672.42</v>
          </cell>
        </row>
        <row r="3297">
          <cell r="A3297">
            <v>10432</v>
          </cell>
          <cell r="B3297" t="str">
            <v>MICTORIO SIFONADO LOUCA BRANCA SEM COMPLEMENTOS</v>
          </cell>
          <cell r="C3297" t="str">
            <v xml:space="preserve">UN    </v>
          </cell>
          <cell r="D3297">
            <v>249.84</v>
          </cell>
        </row>
        <row r="3298">
          <cell r="A3298">
            <v>10430</v>
          </cell>
          <cell r="B3298" t="str">
            <v>MICTORIO SIFONADO LOUCA COR SEM COMPLEMENTOS</v>
          </cell>
          <cell r="C3298" t="str">
            <v xml:space="preserve">UN    </v>
          </cell>
          <cell r="D3298">
            <v>269.07</v>
          </cell>
        </row>
        <row r="3299">
          <cell r="A3299">
            <v>37514</v>
          </cell>
          <cell r="B3299" t="str">
            <v>MINICARREGADEIRA SOBRE RODAS, POTENCIA LIQUIDA DE *47* HP, CAPACIDADE NOMINAL DE OPERACAO DE *646* KG</v>
          </cell>
          <cell r="C3299" t="str">
            <v xml:space="preserve">UN    </v>
          </cell>
          <cell r="D3299">
            <v>170871.38</v>
          </cell>
        </row>
        <row r="3300">
          <cell r="A3300">
            <v>37519</v>
          </cell>
          <cell r="B3300" t="str">
            <v>MINICARREGADEIRA SOBRE RODAS, POTENCIA LIQUIDA DE *72* HP, CAPACIDADE NOMINAL DE OPERACAO DE *1200* KG</v>
          </cell>
          <cell r="C3300" t="str">
            <v xml:space="preserve">UN    </v>
          </cell>
          <cell r="D3300">
            <v>263704.67</v>
          </cell>
        </row>
        <row r="3301">
          <cell r="A3301">
            <v>37520</v>
          </cell>
          <cell r="B3301" t="str">
            <v>MINIESCAVADEIRA SOBRE ESTEIRAS, POTENCIA LIQUIDA DE *30* HP, PESO OPERACIONAL DE *3.500* KG</v>
          </cell>
          <cell r="C3301" t="str">
            <v xml:space="preserve">UN    </v>
          </cell>
          <cell r="D3301">
            <v>259381.64</v>
          </cell>
        </row>
        <row r="3302">
          <cell r="A3302">
            <v>37521</v>
          </cell>
          <cell r="B3302" t="str">
            <v>MINIESCAVADEIRA SOBRE ESTEIRAS, POTENCIA LIQUIDA DE *42* HP, PESO OPERACIONAL DE *4.500* KG</v>
          </cell>
          <cell r="C3302" t="str">
            <v xml:space="preserve">UN    </v>
          </cell>
          <cell r="D3302">
            <v>316445.61</v>
          </cell>
        </row>
        <row r="3303">
          <cell r="A3303">
            <v>37522</v>
          </cell>
          <cell r="B3303" t="str">
            <v>MINIESCAVADEIRA SOBRE ESTEIRAS, POTENCIA LIQUIDA DE *42* HP, PESO OPERACIONAL DE *5.300* KG</v>
          </cell>
          <cell r="C3303" t="str">
            <v xml:space="preserve">UN    </v>
          </cell>
          <cell r="D3303">
            <v>325966.12</v>
          </cell>
        </row>
        <row r="3304">
          <cell r="A3304">
            <v>21109</v>
          </cell>
          <cell r="B3304" t="str">
            <v>MINUTERIA ELETRONICA COLETIVA COM POTENCIA MAXIMA RESISTIVA PARA LAMPADAS FLUORESCENTES DE *300* W ( 110 V ) / *600* W ( 110 V )</v>
          </cell>
          <cell r="C3304" t="str">
            <v xml:space="preserve">UN    </v>
          </cell>
          <cell r="D3304">
            <v>60.51</v>
          </cell>
        </row>
        <row r="3305">
          <cell r="A3305">
            <v>36800</v>
          </cell>
          <cell r="B3305" t="str">
            <v>MISTURADOR BASE PARA CHUVEIRO/BANHEIRA, 1/2 " OU 3/4 ", SOLDAVEL OU ROSCAVEL</v>
          </cell>
          <cell r="C3305" t="str">
            <v xml:space="preserve">UN    </v>
          </cell>
          <cell r="D3305">
            <v>83.41</v>
          </cell>
        </row>
        <row r="3306">
          <cell r="A3306">
            <v>11769</v>
          </cell>
          <cell r="B3306" t="str">
            <v>MISTURADOR CROMADO DE MESA BICA BAIXA PARA LAVATORIO (REF 1875)</v>
          </cell>
          <cell r="C3306" t="str">
            <v xml:space="preserve">UN    </v>
          </cell>
          <cell r="D3306">
            <v>204.41</v>
          </cell>
        </row>
        <row r="3307">
          <cell r="A3307">
            <v>36793</v>
          </cell>
          <cell r="B3307" t="str">
            <v>MISTURADOR CROMADO DE PAREDE PARA LAVATORIO (REF 1178)</v>
          </cell>
          <cell r="C3307" t="str">
            <v xml:space="preserve">UN    </v>
          </cell>
          <cell r="D3307">
            <v>330.95</v>
          </cell>
        </row>
        <row r="3308">
          <cell r="A3308">
            <v>37546</v>
          </cell>
          <cell r="B3308" t="str">
            <v>MISTURADOR DE ARGAMASSA, EIXO HORIZONTAL, CAPACIDADE DE MISTURA 160 KG, MOTOR ELETRICO TRIFASICO 220/380 V, POTENCIA 3 CV</v>
          </cell>
          <cell r="C3308" t="str">
            <v xml:space="preserve">UN    </v>
          </cell>
          <cell r="D3308">
            <v>9075.3700000000008</v>
          </cell>
        </row>
        <row r="3309">
          <cell r="A3309">
            <v>37544</v>
          </cell>
          <cell r="B3309" t="str">
            <v>MISTURADOR DE ARGAMASSA, EIXO HORIZONTAL, CAPACIDADE DE MISTURA 300 KG, MOTOR ELETRICO TRIFASICO 220/380 V, POTENCIA 5 CV</v>
          </cell>
          <cell r="C3309" t="str">
            <v xml:space="preserve">UN    </v>
          </cell>
          <cell r="D3309">
            <v>9598.73</v>
          </cell>
        </row>
        <row r="3310">
          <cell r="A3310">
            <v>37545</v>
          </cell>
          <cell r="B3310" t="str">
            <v>MISTURADOR DE ARGAMASSA, EIXO HORIZONTAL, CAPACIDADE DE MISTURA 600 KG, MOTOR ELETRICO TRIFASICO 220/380 V, POTENCIA 7,5 CV</v>
          </cell>
          <cell r="C3310" t="str">
            <v xml:space="preserve">UN    </v>
          </cell>
          <cell r="D3310">
            <v>11421.2</v>
          </cell>
        </row>
        <row r="3311">
          <cell r="A3311">
            <v>11771</v>
          </cell>
          <cell r="B3311" t="str">
            <v>MISTURADOR DE PAREDE CROMADO PARA COZINHA BICA MOVEL COM AREJADOR (REF 1258)</v>
          </cell>
          <cell r="C3311" t="str">
            <v xml:space="preserve">UN    </v>
          </cell>
          <cell r="D3311">
            <v>253.54</v>
          </cell>
        </row>
        <row r="3312">
          <cell r="A3312">
            <v>39919</v>
          </cell>
          <cell r="B3312" t="str">
            <v>MISTURADOR DUPLO HORIZONTAL DE ALTA TURBULENCIA, CAPACIDADE / VOLUME 2 X 500 LITROS, MOTORES ELETRICOS MINIMO 5 CV CADA,  PARA NATA CIMENTO, ARGAMASSA E OUTROS</v>
          </cell>
          <cell r="C3312" t="str">
            <v xml:space="preserve">UN    </v>
          </cell>
          <cell r="D3312">
            <v>45427.25</v>
          </cell>
        </row>
        <row r="3313">
          <cell r="A3313">
            <v>38385</v>
          </cell>
          <cell r="B3313" t="str">
            <v>MISTURADOR MANUAL DE TINTAS PARA FURADEIRA, HASTE METALICA *60* CM, COM HELICE  (MEXEDOR DE TINTA)</v>
          </cell>
          <cell r="C3313" t="str">
            <v xml:space="preserve">UN    </v>
          </cell>
          <cell r="D3313">
            <v>43.7</v>
          </cell>
        </row>
        <row r="3314">
          <cell r="A3314">
            <v>37587</v>
          </cell>
          <cell r="B3314" t="str">
            <v>MISTURADOR MONOCOMANDO PARA CHUVEIRO, BASE BRUTA E ACABAMENTO CROMADO</v>
          </cell>
          <cell r="C3314" t="str">
            <v xml:space="preserve">UN    </v>
          </cell>
          <cell r="D3314">
            <v>230.61</v>
          </cell>
        </row>
        <row r="3315">
          <cell r="A3315">
            <v>11561</v>
          </cell>
          <cell r="B3315" t="str">
            <v>MOLA AEREA FECHA PORTA, PARA PORTAS COM LARGURA ATE 110 CM</v>
          </cell>
          <cell r="C3315" t="str">
            <v xml:space="preserve">UN    </v>
          </cell>
          <cell r="D3315">
            <v>149.94999999999999</v>
          </cell>
        </row>
        <row r="3316">
          <cell r="A3316">
            <v>11560</v>
          </cell>
          <cell r="B3316" t="str">
            <v>MOLA AEREA FECHA PORTA, PARA PORTAS COM LARGURA ATE 95 CM</v>
          </cell>
          <cell r="C3316" t="str">
            <v xml:space="preserve">UN    </v>
          </cell>
          <cell r="D3316">
            <v>127.63</v>
          </cell>
        </row>
        <row r="3317">
          <cell r="A3317">
            <v>11499</v>
          </cell>
          <cell r="B3317" t="str">
            <v>MOLA HIDRAULICA DE PISO P/ VIDRO TEMPERADO 10MM</v>
          </cell>
          <cell r="C3317" t="str">
            <v xml:space="preserve">UN    </v>
          </cell>
          <cell r="D3317">
            <v>1122.46</v>
          </cell>
        </row>
        <row r="3318">
          <cell r="A3318">
            <v>34761</v>
          </cell>
          <cell r="B3318" t="str">
            <v>MONTADOR DE ELETROELETRONICOS</v>
          </cell>
          <cell r="C3318" t="str">
            <v xml:space="preserve">H     </v>
          </cell>
          <cell r="D3318">
            <v>14.96</v>
          </cell>
        </row>
        <row r="3319">
          <cell r="A3319">
            <v>40924</v>
          </cell>
          <cell r="B3319" t="str">
            <v>MONTADOR DE ELETROELETRONICOS (MENSALISTA)</v>
          </cell>
          <cell r="C3319" t="str">
            <v xml:space="preserve">MES   </v>
          </cell>
          <cell r="D3319">
            <v>2653.94</v>
          </cell>
        </row>
        <row r="3320">
          <cell r="A3320">
            <v>25957</v>
          </cell>
          <cell r="B3320" t="str">
            <v>MONTADOR DE ESTRUTURAS METALICAS</v>
          </cell>
          <cell r="C3320" t="str">
            <v xml:space="preserve">H     </v>
          </cell>
          <cell r="D3320">
            <v>10.14</v>
          </cell>
        </row>
        <row r="3321">
          <cell r="A3321">
            <v>40983</v>
          </cell>
          <cell r="B3321" t="str">
            <v>MONTADOR DE ESTRUTURAS METALICAS (MENSALISTA)</v>
          </cell>
          <cell r="C3321" t="str">
            <v xml:space="preserve">MES   </v>
          </cell>
          <cell r="D3321">
            <v>1799.49</v>
          </cell>
        </row>
        <row r="3322">
          <cell r="A3322">
            <v>2437</v>
          </cell>
          <cell r="B3322" t="str">
            <v>MONTADOR DE MAQUINAS</v>
          </cell>
          <cell r="C3322" t="str">
            <v xml:space="preserve">H     </v>
          </cell>
          <cell r="D3322">
            <v>16.670000000000002</v>
          </cell>
        </row>
        <row r="3323">
          <cell r="A3323">
            <v>40921</v>
          </cell>
          <cell r="B3323" t="str">
            <v>MONTADOR DE MAQUINAS (MENSALISTA)</v>
          </cell>
          <cell r="C3323" t="str">
            <v xml:space="preserve">MES   </v>
          </cell>
          <cell r="D3323">
            <v>2958.3</v>
          </cell>
        </row>
        <row r="3324">
          <cell r="A3324">
            <v>14252</v>
          </cell>
          <cell r="B3324" t="str">
            <v>MOTOBOMBA AUTOESCORVANTE MOTOR A GASOLINA, POTENCIA 6,0HP, BOCAIS 3" X 3", HM/Q = 5 MCA / 24 M3/H A 52,5 MCA / 5,0 M3/H</v>
          </cell>
          <cell r="C3324" t="str">
            <v xml:space="preserve">UN    </v>
          </cell>
          <cell r="D3324">
            <v>1968.89</v>
          </cell>
        </row>
        <row r="3325">
          <cell r="A3325">
            <v>730</v>
          </cell>
          <cell r="B3325" t="str">
            <v>MOTOBOMBA AUTOESCORVANTE MOTOR ELETRICO TRIFASICO 7,4HP BOCA DIAMETRO DE SUCCAO X RECLAQUE: 2"X2", HM/ Q = 10 M / 73,5 M3/H A 28 M / 8,2 M3 /H</v>
          </cell>
          <cell r="C3325" t="str">
            <v xml:space="preserve">UN    </v>
          </cell>
          <cell r="D3325">
            <v>5260.51</v>
          </cell>
        </row>
        <row r="3326">
          <cell r="A3326">
            <v>723</v>
          </cell>
          <cell r="B3326" t="str">
            <v>MOTOBOMBA AUTOESCORVANTE POTENCIA 5,42 HP, BOCAIS SUCCAO X RECALQUE 2" X 2", A GASOLINA, DIAMETRO DO ROTOR 122 MM HM/Q = 6 MCA / 33,0 M3/H A 28 MCA / 8,0 M3/H</v>
          </cell>
          <cell r="C3326" t="str">
            <v xml:space="preserve">UN    </v>
          </cell>
          <cell r="D3326">
            <v>2614.66</v>
          </cell>
        </row>
        <row r="3327">
          <cell r="A3327">
            <v>36502</v>
          </cell>
          <cell r="B3327" t="str">
            <v>MOTOBOMBA CENTRIFUGA, MOTOR A GASOLINA, POTENCIA 5,42 HP, BOCAIS 1 1/2" X 1", DIAMETRO ROTOR 143 MM HM/Q = 6 MCA / 16,8 M3/H A 38 MCA / 6,6 M3/H</v>
          </cell>
          <cell r="C3327" t="str">
            <v xml:space="preserve">UN    </v>
          </cell>
          <cell r="D3327">
            <v>2457.4699999999998</v>
          </cell>
        </row>
        <row r="3328">
          <cell r="A3328">
            <v>36503</v>
          </cell>
          <cell r="B3328" t="str">
            <v>MOTOBOMBA TRASH (PARA AGUA SUJA) AUTO ESCORVANTE, MOTOR GASOLINA DE 6,41 HP, DIAMETROS DE SUCCAO X RECALQUE: 3" X 3", HM/Q: 10/60 A 23/0</v>
          </cell>
          <cell r="C3328" t="str">
            <v xml:space="preserve">UN    </v>
          </cell>
          <cell r="D3328">
            <v>3030.35</v>
          </cell>
        </row>
        <row r="3329">
          <cell r="A3329">
            <v>4090</v>
          </cell>
          <cell r="B3329" t="str">
            <v>MOTONIVELADORA POTENCIA BASICA LIQUIDA (PRIMEIRA MARCHA) 125 HP , PESO BRUTO 13843 KG, LARGURA DA LAMINA DE 3,7 M</v>
          </cell>
          <cell r="C3329" t="str">
            <v xml:space="preserve">UN    </v>
          </cell>
          <cell r="D3329">
            <v>591000</v>
          </cell>
        </row>
        <row r="3330">
          <cell r="A3330">
            <v>13227</v>
          </cell>
          <cell r="B3330" t="str">
            <v>MOTONIVELADORA POTENCIA BASICA LIQUIDA (PRIMEIRA MARCHA) 171 HP, PESO BRUTO 14768 KG, LARGURA DA LAMINA DE 3,7 M</v>
          </cell>
          <cell r="C3330" t="str">
            <v xml:space="preserve">UN    </v>
          </cell>
          <cell r="D3330">
            <v>734391.19</v>
          </cell>
        </row>
        <row r="3331">
          <cell r="A3331">
            <v>10597</v>
          </cell>
          <cell r="B3331" t="str">
            <v>MOTONIVELADORA POTENCIA BASICA LIQUIDA (PRIMEIRA MARCHA) 186 HP, PESO BRUTO 15785 KG, LARGURA DA LAMINA DE 4,3 M</v>
          </cell>
          <cell r="C3331" t="str">
            <v xml:space="preserve">UN    </v>
          </cell>
          <cell r="D3331">
            <v>773041.47</v>
          </cell>
        </row>
        <row r="3332">
          <cell r="A3332">
            <v>39628</v>
          </cell>
          <cell r="B3332" t="str">
            <v>MOTOR A DIESEL PARA VIBRADOR DE IMERSAO, DE *4,7* CV</v>
          </cell>
          <cell r="C3332" t="str">
            <v xml:space="preserve">UN    </v>
          </cell>
          <cell r="D3332">
            <v>2807.73</v>
          </cell>
        </row>
        <row r="3333">
          <cell r="A3333">
            <v>39404</v>
          </cell>
          <cell r="B3333" t="str">
            <v>MOTOR A GASOLINA PARA VIBRADOR DE IMERSAO, 4 TEMPOS, DE 5,5 CV</v>
          </cell>
          <cell r="C3333" t="str">
            <v xml:space="preserve">UN    </v>
          </cell>
          <cell r="D3333">
            <v>1392.26</v>
          </cell>
        </row>
        <row r="3334">
          <cell r="A3334">
            <v>39402</v>
          </cell>
          <cell r="B3334" t="str">
            <v>MOTOR ELETRICO PARA VIBRADOR DE IMERSAO, DE 2 CV, MONOFASICO, 110/220 V</v>
          </cell>
          <cell r="C3334" t="str">
            <v xml:space="preserve">UN    </v>
          </cell>
          <cell r="D3334">
            <v>1146.96</v>
          </cell>
        </row>
        <row r="3335">
          <cell r="A3335">
            <v>39403</v>
          </cell>
          <cell r="B3335" t="str">
            <v>MOTOR ELETRICO PARA VIBRADOR DE IMERSAO, DE 2 CV, TRIFASICO, 220/380 V</v>
          </cell>
          <cell r="C3335" t="str">
            <v xml:space="preserve">UN    </v>
          </cell>
          <cell r="D3335">
            <v>1122.01</v>
          </cell>
        </row>
        <row r="3336">
          <cell r="A3336">
            <v>4093</v>
          </cell>
          <cell r="B3336" t="str">
            <v>MOTORISTA DE CAMINHAO</v>
          </cell>
          <cell r="C3336" t="str">
            <v xml:space="preserve">H     </v>
          </cell>
          <cell r="D3336">
            <v>11.76</v>
          </cell>
        </row>
        <row r="3337">
          <cell r="A3337">
            <v>10512</v>
          </cell>
          <cell r="B3337" t="str">
            <v>MOTORISTA DE CAMINHAO (MENSALISTA)</v>
          </cell>
          <cell r="C3337" t="str">
            <v xml:space="preserve">MES   </v>
          </cell>
          <cell r="D3337">
            <v>2089.1</v>
          </cell>
        </row>
        <row r="3338">
          <cell r="A3338">
            <v>20020</v>
          </cell>
          <cell r="B3338" t="str">
            <v>MOTORISTA DE CAMINHAO-BASCULANTE</v>
          </cell>
          <cell r="C3338" t="str">
            <v xml:space="preserve">H     </v>
          </cell>
          <cell r="D3338">
            <v>11.1</v>
          </cell>
        </row>
        <row r="3339">
          <cell r="A3339">
            <v>41038</v>
          </cell>
          <cell r="B3339" t="str">
            <v>MOTORISTA DE CAMINHAO-BASCULANTE (MENSALISTA)</v>
          </cell>
          <cell r="C3339" t="str">
            <v xml:space="preserve">MES   </v>
          </cell>
          <cell r="D3339">
            <v>1970.55</v>
          </cell>
        </row>
        <row r="3340">
          <cell r="A3340">
            <v>4094</v>
          </cell>
          <cell r="B3340" t="str">
            <v>MOTORISTA DE CAMINHAO-CARRETA</v>
          </cell>
          <cell r="C3340" t="str">
            <v xml:space="preserve">H     </v>
          </cell>
          <cell r="D3340">
            <v>15.73</v>
          </cell>
        </row>
        <row r="3341">
          <cell r="A3341">
            <v>40988</v>
          </cell>
          <cell r="B3341" t="str">
            <v>MOTORISTA DE CAMINHAO-CARRETA (MENSALISTA)</v>
          </cell>
          <cell r="C3341" t="str">
            <v xml:space="preserve">MES   </v>
          </cell>
          <cell r="D3341">
            <v>2789.86</v>
          </cell>
        </row>
        <row r="3342">
          <cell r="A3342">
            <v>4095</v>
          </cell>
          <cell r="B3342" t="str">
            <v>MOTORISTA DE CARRO DE PASSEIO</v>
          </cell>
          <cell r="C3342" t="str">
            <v xml:space="preserve">H     </v>
          </cell>
          <cell r="D3342">
            <v>10.91</v>
          </cell>
        </row>
        <row r="3343">
          <cell r="A3343">
            <v>40990</v>
          </cell>
          <cell r="B3343" t="str">
            <v>MOTORISTA DE CARRO DE PASSEIO (MENSALISTA)</v>
          </cell>
          <cell r="C3343" t="str">
            <v xml:space="preserve">MES   </v>
          </cell>
          <cell r="D3343">
            <v>1935.94</v>
          </cell>
        </row>
        <row r="3344">
          <cell r="A3344">
            <v>4097</v>
          </cell>
          <cell r="B3344" t="str">
            <v>MOTORISTA DE ONIBUS / MICRO-ONIBUS</v>
          </cell>
          <cell r="C3344" t="str">
            <v xml:space="preserve">H     </v>
          </cell>
          <cell r="D3344">
            <v>12.85</v>
          </cell>
        </row>
        <row r="3345">
          <cell r="A3345">
            <v>40994</v>
          </cell>
          <cell r="B3345" t="str">
            <v>MOTORISTA DE ONIBUS / MICRO-ONIBUS (MENSALISTA)</v>
          </cell>
          <cell r="C3345" t="str">
            <v xml:space="preserve">MES   </v>
          </cell>
          <cell r="D3345">
            <v>2279.19</v>
          </cell>
        </row>
        <row r="3346">
          <cell r="A3346">
            <v>4096</v>
          </cell>
          <cell r="B3346" t="str">
            <v>MOTORISTA OPERADOR DE CAMINHAO COM MUNCK</v>
          </cell>
          <cell r="C3346" t="str">
            <v xml:space="preserve">H     </v>
          </cell>
          <cell r="D3346">
            <v>13.79</v>
          </cell>
        </row>
        <row r="3347">
          <cell r="A3347">
            <v>40992</v>
          </cell>
          <cell r="B3347" t="str">
            <v>MOTORISTA OPERADOR DE CAMINHAO COM MUNCK (MENSALISTA)</v>
          </cell>
          <cell r="C3347" t="str">
            <v xml:space="preserve">MES   </v>
          </cell>
          <cell r="D3347">
            <v>2445.9499999999998</v>
          </cell>
        </row>
        <row r="3348">
          <cell r="A3348">
            <v>13955</v>
          </cell>
          <cell r="B3348" t="str">
            <v>MOTOSSERRA PORTATIL COM MOTOR A GASOLINA DE *60* CC</v>
          </cell>
          <cell r="C3348" t="str">
            <v xml:space="preserve">UN    </v>
          </cell>
          <cell r="D3348">
            <v>2008.71</v>
          </cell>
        </row>
        <row r="3349">
          <cell r="A3349">
            <v>4114</v>
          </cell>
          <cell r="B3349" t="str">
            <v>MOURAO CONCRETO CURVO, SECAO "T", H = 2,80 M + CURVA COM 0,45 M, COM FUROS PARA FIOS</v>
          </cell>
          <cell r="C3349" t="str">
            <v xml:space="preserve">UN    </v>
          </cell>
          <cell r="D3349">
            <v>43.82</v>
          </cell>
        </row>
        <row r="3350">
          <cell r="A3350">
            <v>36797</v>
          </cell>
          <cell r="B3350" t="str">
            <v>MOURAO DE CONCRETO CURVO,10 X 10 CM, H= *2,60* M + CURVA DE 0,40 M</v>
          </cell>
          <cell r="C3350" t="str">
            <v xml:space="preserve">UN    </v>
          </cell>
          <cell r="D3350">
            <v>38.32</v>
          </cell>
        </row>
        <row r="3351">
          <cell r="A3351">
            <v>4107</v>
          </cell>
          <cell r="B3351" t="str">
            <v>MOURAO DE CONCRETO RETO, *10 X 10* CM, H= 2,30 M</v>
          </cell>
          <cell r="C3351" t="str">
            <v xml:space="preserve">UN    </v>
          </cell>
          <cell r="D3351">
            <v>36.89</v>
          </cell>
        </row>
        <row r="3352">
          <cell r="A3352">
            <v>36799</v>
          </cell>
          <cell r="B3352" t="str">
            <v>MOURAO DE CONCRETO RETO, TIPO ESTICADOR, *10 X 10* CM, H= 2,50 M</v>
          </cell>
          <cell r="C3352" t="str">
            <v xml:space="preserve">UN    </v>
          </cell>
          <cell r="D3352">
            <v>35.22</v>
          </cell>
        </row>
        <row r="3353">
          <cell r="A3353">
            <v>4108</v>
          </cell>
          <cell r="B3353" t="str">
            <v>MOURAO DE CONCRETO RETO, 10 X 10 CM, H= 2,00 M</v>
          </cell>
          <cell r="C3353" t="str">
            <v xml:space="preserve">UN    </v>
          </cell>
          <cell r="D3353">
            <v>29.66</v>
          </cell>
        </row>
        <row r="3354">
          <cell r="A3354">
            <v>4102</v>
          </cell>
          <cell r="B3354" t="str">
            <v>MOURAO DE CONCRETO RETO, 10 X 10 CM, H= 3,00 M</v>
          </cell>
          <cell r="C3354" t="str">
            <v xml:space="preserve">UN    </v>
          </cell>
          <cell r="D3354">
            <v>44.13</v>
          </cell>
        </row>
        <row r="3355">
          <cell r="A3355">
            <v>10826</v>
          </cell>
          <cell r="B3355" t="str">
            <v>MUDA DE ARBUSTO FLORIFERO, CLUSIA/GARDENIA/MOREIA BRANCA/ AZALEIA OU EQUIVALENTE DA REGIAO, H= *50 A 70* CM</v>
          </cell>
          <cell r="C3355" t="str">
            <v xml:space="preserve">UN    </v>
          </cell>
          <cell r="D3355">
            <v>86.2</v>
          </cell>
        </row>
        <row r="3356">
          <cell r="A3356">
            <v>365</v>
          </cell>
          <cell r="B3356" t="str">
            <v>MUDA DE ARBUSTO FOLHAGEM, SANSAO-DO-CAMPO OU EQUIVALENTE DA REGIAO, H= *50 A 70* CM</v>
          </cell>
          <cell r="C3356" t="str">
            <v xml:space="preserve">UN    </v>
          </cell>
          <cell r="D3356">
            <v>53.44</v>
          </cell>
        </row>
        <row r="3357">
          <cell r="A3357">
            <v>38639</v>
          </cell>
          <cell r="B3357" t="str">
            <v>MUDA DE ARBUSTO, BUXINHO, H= *50* M</v>
          </cell>
          <cell r="C3357" t="str">
            <v xml:space="preserve">UN    </v>
          </cell>
          <cell r="D3357">
            <v>206.89</v>
          </cell>
        </row>
        <row r="3358">
          <cell r="A3358">
            <v>38640</v>
          </cell>
          <cell r="B3358" t="str">
            <v>MUDA DE ARBUSTO, PINGO DE OURO/ VIOLETEIRA, H = *10 A 20* CM</v>
          </cell>
          <cell r="C3358" t="str">
            <v xml:space="preserve">UN    </v>
          </cell>
          <cell r="D3358">
            <v>3.1</v>
          </cell>
        </row>
        <row r="3359">
          <cell r="A3359">
            <v>358</v>
          </cell>
          <cell r="B3359" t="str">
            <v>MUDA DE ARVORE ORNAMENTAL, OITI/AROEIRA SALSA/ANGICO/IPE/JACARANDA OU EQUIVALENTE  DA REGIAO, H= *1* M</v>
          </cell>
          <cell r="C3359" t="str">
            <v xml:space="preserve">UN    </v>
          </cell>
          <cell r="D3359">
            <v>63.79</v>
          </cell>
        </row>
        <row r="3360">
          <cell r="A3360">
            <v>359</v>
          </cell>
          <cell r="B3360" t="str">
            <v>MUDA DE ARVORE ORNAMENTAL, OITI/AROEIRA SALSA/ANGICO/IPE/JACARANDA OU EQUIVALENTE  DA REGIAO, H= *2* M</v>
          </cell>
          <cell r="C3360" t="str">
            <v xml:space="preserve">UN    </v>
          </cell>
          <cell r="D3360">
            <v>131.03</v>
          </cell>
        </row>
        <row r="3361">
          <cell r="A3361">
            <v>38641</v>
          </cell>
          <cell r="B3361" t="str">
            <v>MUDA DE PALMEIRA, ARECA, H= *1,50* CM</v>
          </cell>
          <cell r="C3361" t="str">
            <v xml:space="preserve">UN    </v>
          </cell>
          <cell r="D3361">
            <v>129.31</v>
          </cell>
        </row>
        <row r="3362">
          <cell r="A3362">
            <v>360</v>
          </cell>
          <cell r="B3362" t="str">
            <v>MUDA DE RASTEIRA/FORRACAO, AMENDOIM RASTEIRO/ONZE HORAS/AZULZINHA/IMPATIENS OU EQUIVALENTE DA REGIAO</v>
          </cell>
          <cell r="C3362" t="str">
            <v xml:space="preserve">UN    </v>
          </cell>
          <cell r="D3362">
            <v>3</v>
          </cell>
        </row>
        <row r="3363">
          <cell r="A3363">
            <v>4127</v>
          </cell>
          <cell r="B3363" t="str">
            <v>MUFLA TERMINAL PRIMARIA UNIPOLAR USO EXTERNO PARA CABO 25/70MM2 ISOL, 3,6/6KV EM EPR - BORRACHA DE SILICONE</v>
          </cell>
          <cell r="C3363" t="str">
            <v xml:space="preserve">UN    </v>
          </cell>
          <cell r="D3363">
            <v>202.03</v>
          </cell>
        </row>
        <row r="3364">
          <cell r="A3364">
            <v>4154</v>
          </cell>
          <cell r="B3364" t="str">
            <v>MUFLA TERMINAL PRIMARIA UNIPOLAR USO INTERNO PARA CABO 25/70MM2 ISOL 6/10KV EM EPR- BORRACHA DE SILICONE</v>
          </cell>
          <cell r="C3364" t="str">
            <v xml:space="preserve">UN    </v>
          </cell>
          <cell r="D3364">
            <v>246.84</v>
          </cell>
        </row>
        <row r="3365">
          <cell r="A3365">
            <v>4168</v>
          </cell>
          <cell r="B3365" t="str">
            <v>MUFLA TERMINAL PRIMARIA UNIPOLAR USO INTERNO PARA CABO 35/120MM2 ISOLACAO 15/25KV EM EPR - BORRACHA DE SILICONE</v>
          </cell>
          <cell r="C3365" t="str">
            <v xml:space="preserve">UN    </v>
          </cell>
          <cell r="D3365">
            <v>260.69</v>
          </cell>
        </row>
        <row r="3366">
          <cell r="A3366">
            <v>4161</v>
          </cell>
          <cell r="B3366" t="str">
            <v>MUFLA TERMINAL PRIMARIA UNIPOLAR USO INTERNO PARA CABO 35/70MM2 ISOLACAO 8,7/15KV EM EPR - BORRACHA DE SILICONE</v>
          </cell>
          <cell r="C3366" t="str">
            <v xml:space="preserve">UN    </v>
          </cell>
          <cell r="D3366">
            <v>250.91</v>
          </cell>
        </row>
        <row r="3367">
          <cell r="A3367">
            <v>42430</v>
          </cell>
          <cell r="B3367" t="str">
            <v>MULTIEXERCITADOR COM SEIS FUNCOES, EM TUBO DE ACO CARBONO, PINTURA NO PROCESSO ELETROSTATICO - EQUIPAMENTO DE GINASTICA PARA ACADEMIA AO AR LIVRE / ACADEMIA DA TERCEIRA IDADE - ATI</v>
          </cell>
          <cell r="C3367" t="str">
            <v xml:space="preserve">UN    </v>
          </cell>
          <cell r="D3367">
            <v>3581.17</v>
          </cell>
        </row>
        <row r="3368">
          <cell r="A3368">
            <v>4214</v>
          </cell>
          <cell r="B3368" t="str">
            <v>NIPEL PVC, ROSCAVEL, 1 1/2",  AGUA FRIA PREDIAL</v>
          </cell>
          <cell r="C3368" t="str">
            <v xml:space="preserve">UN    </v>
          </cell>
          <cell r="D3368">
            <v>6.96</v>
          </cell>
        </row>
        <row r="3369">
          <cell r="A3369">
            <v>4215</v>
          </cell>
          <cell r="B3369" t="str">
            <v>NIPEL PVC, ROSCAVEL, 1 1/4",  AGUA FRIA PREDIAL</v>
          </cell>
          <cell r="C3369" t="str">
            <v xml:space="preserve">UN    </v>
          </cell>
          <cell r="D3369">
            <v>4.58</v>
          </cell>
        </row>
        <row r="3370">
          <cell r="A3370">
            <v>4210</v>
          </cell>
          <cell r="B3370" t="str">
            <v>NIPEL PVC, ROSCAVEL, 1/2",  AGUA FRIA PREDIAL</v>
          </cell>
          <cell r="C3370" t="str">
            <v xml:space="preserve">UN    </v>
          </cell>
          <cell r="D3370">
            <v>0.77</v>
          </cell>
        </row>
        <row r="3371">
          <cell r="A3371">
            <v>4212</v>
          </cell>
          <cell r="B3371" t="str">
            <v>NIPEL PVC, ROSCAVEL, 1",  AGUA FRIA PREDIAL</v>
          </cell>
          <cell r="C3371" t="str">
            <v xml:space="preserve">UN    </v>
          </cell>
          <cell r="D3371">
            <v>2.21</v>
          </cell>
        </row>
        <row r="3372">
          <cell r="A3372">
            <v>4213</v>
          </cell>
          <cell r="B3372" t="str">
            <v>NIPEL PVC, ROSCAVEL, 2",  AGUA FRIA PREDIAL</v>
          </cell>
          <cell r="C3372" t="str">
            <v xml:space="preserve">UN    </v>
          </cell>
          <cell r="D3372">
            <v>9.89</v>
          </cell>
        </row>
        <row r="3373">
          <cell r="A3373">
            <v>4211</v>
          </cell>
          <cell r="B3373" t="str">
            <v>NIPEL PVC, ROSCAVEL, 3/4",  AGUA FRIA PREDIAL</v>
          </cell>
          <cell r="C3373" t="str">
            <v xml:space="preserve">UN    </v>
          </cell>
          <cell r="D3373">
            <v>1.1000000000000001</v>
          </cell>
        </row>
        <row r="3374">
          <cell r="A3374">
            <v>4209</v>
          </cell>
          <cell r="B3374" t="str">
            <v>NIPLE DE FERRO GALVANIZADO, COM ROSCA BSP, DE 1 1/2"</v>
          </cell>
          <cell r="C3374" t="str">
            <v xml:space="preserve">UN    </v>
          </cell>
          <cell r="D3374">
            <v>12.65</v>
          </cell>
        </row>
        <row r="3375">
          <cell r="A3375">
            <v>4180</v>
          </cell>
          <cell r="B3375" t="str">
            <v>NIPLE DE FERRO GALVANIZADO, COM ROSCA BSP, DE 1 1/4"</v>
          </cell>
          <cell r="C3375" t="str">
            <v xml:space="preserve">UN    </v>
          </cell>
          <cell r="D3375">
            <v>9.52</v>
          </cell>
        </row>
        <row r="3376">
          <cell r="A3376">
            <v>4177</v>
          </cell>
          <cell r="B3376" t="str">
            <v>NIPLE DE FERRO GALVANIZADO, COM ROSCA BSP, DE 1/2"</v>
          </cell>
          <cell r="C3376" t="str">
            <v xml:space="preserve">UN    </v>
          </cell>
          <cell r="D3376">
            <v>3.16</v>
          </cell>
        </row>
        <row r="3377">
          <cell r="A3377">
            <v>4179</v>
          </cell>
          <cell r="B3377" t="str">
            <v>NIPLE DE FERRO GALVANIZADO, COM ROSCA BSP, DE 1"</v>
          </cell>
          <cell r="C3377" t="str">
            <v xml:space="preserve">UN    </v>
          </cell>
          <cell r="D3377">
            <v>6.46</v>
          </cell>
        </row>
        <row r="3378">
          <cell r="A3378">
            <v>4208</v>
          </cell>
          <cell r="B3378" t="str">
            <v>NIPLE DE FERRO GALVANIZADO, COM ROSCA BSP, DE 2 1/2"</v>
          </cell>
          <cell r="C3378" t="str">
            <v xml:space="preserve">UN    </v>
          </cell>
          <cell r="D3378">
            <v>30.11</v>
          </cell>
        </row>
        <row r="3379">
          <cell r="A3379">
            <v>4181</v>
          </cell>
          <cell r="B3379" t="str">
            <v>NIPLE DE FERRO GALVANIZADO, COM ROSCA BSP, DE 2"</v>
          </cell>
          <cell r="C3379" t="str">
            <v xml:space="preserve">UN    </v>
          </cell>
          <cell r="D3379">
            <v>19.670000000000002</v>
          </cell>
        </row>
        <row r="3380">
          <cell r="A3380">
            <v>4178</v>
          </cell>
          <cell r="B3380" t="str">
            <v>NIPLE DE FERRO GALVANIZADO, COM ROSCA BSP, DE 3/4"</v>
          </cell>
          <cell r="C3380" t="str">
            <v xml:space="preserve">UN    </v>
          </cell>
          <cell r="D3380">
            <v>4.38</v>
          </cell>
        </row>
        <row r="3381">
          <cell r="A3381">
            <v>4182</v>
          </cell>
          <cell r="B3381" t="str">
            <v>NIPLE DE FERRO GALVANIZADO, COM ROSCA BSP, DE 3"</v>
          </cell>
          <cell r="C3381" t="str">
            <v xml:space="preserve">UN    </v>
          </cell>
          <cell r="D3381">
            <v>48.98</v>
          </cell>
        </row>
        <row r="3382">
          <cell r="A3382">
            <v>4183</v>
          </cell>
          <cell r="B3382" t="str">
            <v>NIPLE DE FERRO GALVANIZADO, COM ROSCA BSP, DE 4"</v>
          </cell>
          <cell r="C3382" t="str">
            <v xml:space="preserve">UN    </v>
          </cell>
          <cell r="D3382">
            <v>78.86</v>
          </cell>
        </row>
        <row r="3383">
          <cell r="A3383">
            <v>4184</v>
          </cell>
          <cell r="B3383" t="str">
            <v>NIPLE DE FERRO GALVANIZADO, COM ROSCA BSP, DE 5"</v>
          </cell>
          <cell r="C3383" t="str">
            <v xml:space="preserve">UN    </v>
          </cell>
          <cell r="D3383">
            <v>174.07</v>
          </cell>
        </row>
        <row r="3384">
          <cell r="A3384">
            <v>4185</v>
          </cell>
          <cell r="B3384" t="str">
            <v>NIPLE DE FERRO GALVANIZADO, COM ROSCA BSP, DE 6"</v>
          </cell>
          <cell r="C3384" t="str">
            <v xml:space="preserve">UN    </v>
          </cell>
          <cell r="D3384">
            <v>289.23</v>
          </cell>
        </row>
        <row r="3385">
          <cell r="A3385">
            <v>4205</v>
          </cell>
          <cell r="B3385" t="str">
            <v>NIPLE DE REDUCAO DE FERRO GALVANIZADO, COM ROSCA BSP, DE 1 1/2" X 1 1/4"</v>
          </cell>
          <cell r="C3385" t="str">
            <v xml:space="preserve">UN    </v>
          </cell>
          <cell r="D3385">
            <v>16.7</v>
          </cell>
        </row>
        <row r="3386">
          <cell r="A3386">
            <v>4192</v>
          </cell>
          <cell r="B3386" t="str">
            <v>NIPLE DE REDUCAO DE FERRO GALVANIZADO, COM ROSCA BSP, DE 1 1/2" X 1"</v>
          </cell>
          <cell r="C3386" t="str">
            <v xml:space="preserve">UN    </v>
          </cell>
          <cell r="D3386">
            <v>16.7</v>
          </cell>
        </row>
        <row r="3387">
          <cell r="A3387">
            <v>4191</v>
          </cell>
          <cell r="B3387" t="str">
            <v>NIPLE DE REDUCAO DE FERRO GALVANIZADO, COM ROSCA BSP, DE 1 1/2" X 3/4"</v>
          </cell>
          <cell r="C3387" t="str">
            <v xml:space="preserve">UN    </v>
          </cell>
          <cell r="D3387">
            <v>16.7</v>
          </cell>
        </row>
        <row r="3388">
          <cell r="A3388">
            <v>4207</v>
          </cell>
          <cell r="B3388" t="str">
            <v>NIPLE DE REDUCAO DE FERRO GALVANIZADO, COM ROSCA BSP, DE 1 1/4" X 1/2"</v>
          </cell>
          <cell r="C3388" t="str">
            <v xml:space="preserve">UN    </v>
          </cell>
          <cell r="D3388">
            <v>13.44</v>
          </cell>
        </row>
        <row r="3389">
          <cell r="A3389">
            <v>4206</v>
          </cell>
          <cell r="B3389" t="str">
            <v>NIPLE DE REDUCAO DE FERRO GALVANIZADO, COM ROSCA BSP, DE 1 1/4" X 1"</v>
          </cell>
          <cell r="C3389" t="str">
            <v xml:space="preserve">UN    </v>
          </cell>
          <cell r="D3389">
            <v>13.05</v>
          </cell>
        </row>
        <row r="3390">
          <cell r="A3390">
            <v>4190</v>
          </cell>
          <cell r="B3390" t="str">
            <v>NIPLE DE REDUCAO DE FERRO GALVANIZADO, COM ROSCA BSP, DE 1 1/4" X 3/4"</v>
          </cell>
          <cell r="C3390" t="str">
            <v xml:space="preserve">UN    </v>
          </cell>
          <cell r="D3390">
            <v>13.05</v>
          </cell>
        </row>
        <row r="3391">
          <cell r="A3391">
            <v>4186</v>
          </cell>
          <cell r="B3391" t="str">
            <v>NIPLE DE REDUCAO DE FERRO GALVANIZADO, COM ROSCA BSP, DE 1/2" X 1/4"</v>
          </cell>
          <cell r="C3391" t="str">
            <v xml:space="preserve">UN    </v>
          </cell>
          <cell r="D3391">
            <v>3.86</v>
          </cell>
        </row>
        <row r="3392">
          <cell r="A3392">
            <v>4188</v>
          </cell>
          <cell r="B3392" t="str">
            <v>NIPLE DE REDUCAO DE FERRO GALVANIZADO, COM ROSCA BSP, DE 1" X 1/2"</v>
          </cell>
          <cell r="C3392" t="str">
            <v xml:space="preserve">UN    </v>
          </cell>
          <cell r="D3392">
            <v>7.87</v>
          </cell>
        </row>
        <row r="3393">
          <cell r="A3393">
            <v>4189</v>
          </cell>
          <cell r="B3393" t="str">
            <v>NIPLE DE REDUCAO DE FERRO GALVANIZADO, COM ROSCA BSP, DE 1" X 3/4"</v>
          </cell>
          <cell r="C3393" t="str">
            <v xml:space="preserve">UN    </v>
          </cell>
          <cell r="D3393">
            <v>7.87</v>
          </cell>
        </row>
        <row r="3394">
          <cell r="A3394">
            <v>4197</v>
          </cell>
          <cell r="B3394" t="str">
            <v>NIPLE DE REDUCAO DE FERRO GALVANIZADO, COM ROSCA BSP, DE 2 1/2" X 2"</v>
          </cell>
          <cell r="C3394" t="str">
            <v xml:space="preserve">UN    </v>
          </cell>
          <cell r="D3394">
            <v>41.7</v>
          </cell>
        </row>
        <row r="3395">
          <cell r="A3395">
            <v>4194</v>
          </cell>
          <cell r="B3395" t="str">
            <v>NIPLE DE REDUCAO DE FERRO GALVANIZADO, COM ROSCA BSP, DE 2" X 1 1/2"</v>
          </cell>
          <cell r="C3395" t="str">
            <v xml:space="preserve">UN    </v>
          </cell>
          <cell r="D3395">
            <v>25.2</v>
          </cell>
        </row>
        <row r="3396">
          <cell r="A3396">
            <v>4193</v>
          </cell>
          <cell r="B3396" t="str">
            <v>NIPLE DE REDUCAO DE FERRO GALVANIZADO, COM ROSCA BSP, DE 2" X 1 1/4"</v>
          </cell>
          <cell r="C3396" t="str">
            <v xml:space="preserve">UN    </v>
          </cell>
          <cell r="D3396">
            <v>25.2</v>
          </cell>
        </row>
        <row r="3397">
          <cell r="A3397">
            <v>4204</v>
          </cell>
          <cell r="B3397" t="str">
            <v>NIPLE DE REDUCAO DE FERRO GALVANIZADO, COM ROSCA BSP, DE 2" X 1"</v>
          </cell>
          <cell r="C3397" t="str">
            <v xml:space="preserve">UN    </v>
          </cell>
          <cell r="D3397">
            <v>25.2</v>
          </cell>
        </row>
        <row r="3398">
          <cell r="A3398">
            <v>4187</v>
          </cell>
          <cell r="B3398" t="str">
            <v>NIPLE DE REDUCAO DE FERRO GALVANIZADO, COM ROSCA BSP, DE 3/4" X 1/2"</v>
          </cell>
          <cell r="C3398" t="str">
            <v xml:space="preserve">UN    </v>
          </cell>
          <cell r="D3398">
            <v>5.0199999999999996</v>
          </cell>
        </row>
        <row r="3399">
          <cell r="A3399">
            <v>4202</v>
          </cell>
          <cell r="B3399" t="str">
            <v>NIPLE DE REDUCAO DE FERRO GALVANIZADO, COM ROSCA BSP, DE 3" X 2 1/2"</v>
          </cell>
          <cell r="C3399" t="str">
            <v xml:space="preserve">UN    </v>
          </cell>
          <cell r="D3399">
            <v>76.17</v>
          </cell>
        </row>
        <row r="3400">
          <cell r="A3400">
            <v>4203</v>
          </cell>
          <cell r="B3400" t="str">
            <v>NIPLE DE REDUCAO DE FERRO GALVANIZADO, COM ROSCA BSP, DE 3" X 2"</v>
          </cell>
          <cell r="C3400" t="str">
            <v xml:space="preserve">UN    </v>
          </cell>
          <cell r="D3400">
            <v>67.27</v>
          </cell>
        </row>
        <row r="3401">
          <cell r="A3401">
            <v>40368</v>
          </cell>
          <cell r="B3401" t="str">
            <v>NIPLE SEXTAVADO EM ACO CARBONO, COM ROSCA BSP, PRESSAO 3.000 LBS, DN 1 1/2"</v>
          </cell>
          <cell r="C3401" t="str">
            <v xml:space="preserve">UN    </v>
          </cell>
          <cell r="D3401">
            <v>31.84</v>
          </cell>
        </row>
        <row r="3402">
          <cell r="A3402">
            <v>40365</v>
          </cell>
          <cell r="B3402" t="str">
            <v>NIPLE SEXTAVADO EM ACO CARBONO, COM ROSCA BSP, PRESSAO 3.000 LBS, DN 1 1/4"</v>
          </cell>
          <cell r="C3402" t="str">
            <v xml:space="preserve">UN    </v>
          </cell>
          <cell r="D3402">
            <v>21.48</v>
          </cell>
        </row>
        <row r="3403">
          <cell r="A3403">
            <v>40356</v>
          </cell>
          <cell r="B3403" t="str">
            <v>NIPLE SEXTAVADO EM ACO CARBONO, COM ROSCA BSP, PRESSAO 3.000 LBS, DN 1/2"</v>
          </cell>
          <cell r="C3403" t="str">
            <v xml:space="preserve">UN    </v>
          </cell>
          <cell r="D3403">
            <v>7.34</v>
          </cell>
        </row>
        <row r="3404">
          <cell r="A3404">
            <v>40362</v>
          </cell>
          <cell r="B3404" t="str">
            <v>NIPLE SEXTAVADO EM ACO CARBONO, COM ROSCA BSP, PRESSAO 3.000 LBS, DN 1"</v>
          </cell>
          <cell r="C3404" t="str">
            <v xml:space="preserve">UN    </v>
          </cell>
          <cell r="D3404">
            <v>14.23</v>
          </cell>
        </row>
        <row r="3405">
          <cell r="A3405">
            <v>40374</v>
          </cell>
          <cell r="B3405" t="str">
            <v>NIPLE SEXTAVADO EM ACO CARBONO, COM ROSCA BSP, PRESSAO 3.000 LBS, DN 2 1/2"</v>
          </cell>
          <cell r="C3405" t="str">
            <v xml:space="preserve">UN    </v>
          </cell>
          <cell r="D3405">
            <v>83.22</v>
          </cell>
        </row>
        <row r="3406">
          <cell r="A3406">
            <v>40371</v>
          </cell>
          <cell r="B3406" t="str">
            <v>NIPLE SEXTAVADO EM ACO CARBONO, COM ROSCA BSP, PRESSAO 3.000 LBS, DN 2"</v>
          </cell>
          <cell r="C3406" t="str">
            <v xml:space="preserve">UN    </v>
          </cell>
          <cell r="D3406">
            <v>52.38</v>
          </cell>
        </row>
        <row r="3407">
          <cell r="A3407">
            <v>40359</v>
          </cell>
          <cell r="B3407" t="str">
            <v>NIPLE SEXTAVADO EM ACO CARBONO, COM ROSCA BSP, PRESSAO 3.000 LBS, DN 3/4"</v>
          </cell>
          <cell r="C3407" t="str">
            <v xml:space="preserve">UN    </v>
          </cell>
          <cell r="D3407">
            <v>9.48</v>
          </cell>
        </row>
        <row r="3408">
          <cell r="A3408">
            <v>7595</v>
          </cell>
          <cell r="B3408" t="str">
            <v>NIVELADOR</v>
          </cell>
          <cell r="C3408" t="str">
            <v xml:space="preserve">H     </v>
          </cell>
          <cell r="D3408">
            <v>7.35</v>
          </cell>
        </row>
        <row r="3409">
          <cell r="A3409">
            <v>41094</v>
          </cell>
          <cell r="B3409" t="str">
            <v>NIVELADOR (MENSALISTA)</v>
          </cell>
          <cell r="C3409" t="str">
            <v xml:space="preserve">MES   </v>
          </cell>
          <cell r="D3409">
            <v>1306.83</v>
          </cell>
        </row>
        <row r="3410">
          <cell r="A3410">
            <v>39609</v>
          </cell>
          <cell r="B3410" t="str">
            <v>NOBREAK TRIFASICO, DE 10 KVA FATOR DE POTENCIA DE 0,8, AUTONOMIA MINIMA DE 30 MINUTOS A PLENA CARGA</v>
          </cell>
          <cell r="C3410" t="str">
            <v xml:space="preserve">UN    </v>
          </cell>
          <cell r="D3410">
            <v>50584.36</v>
          </cell>
        </row>
        <row r="3411">
          <cell r="A3411">
            <v>39610</v>
          </cell>
          <cell r="B3411" t="str">
            <v>NOBREAK TRIFASICO, DE 15 KVA FATOR DE POTENCIA DE 0,8, AUTONOMIA MINIMA DE 30 MINUTOS A PLENA CARGA</v>
          </cell>
          <cell r="C3411" t="str">
            <v xml:space="preserve">UN    </v>
          </cell>
          <cell r="D3411">
            <v>73837.38</v>
          </cell>
        </row>
        <row r="3412">
          <cell r="A3412">
            <v>39611</v>
          </cell>
          <cell r="B3412" t="str">
            <v>NOBREAK TRIFASICO, DE 20 KVA FATOR DE POTENCIA DE 0,8, AUTONOMIA MINIMA DE 30 MINUTOS A PLENA CARGA</v>
          </cell>
          <cell r="C3412" t="str">
            <v xml:space="preserve">UN    </v>
          </cell>
          <cell r="D3412">
            <v>89355.32</v>
          </cell>
        </row>
        <row r="3413">
          <cell r="A3413">
            <v>39612</v>
          </cell>
          <cell r="B3413" t="str">
            <v>NOBREAK TRIFASICO, DE 25 KVA FATOR DE POTENCIA DE 0,8, AUTONOMIA MINIMA DE 30 MINUTOS A PLENA CARGA</v>
          </cell>
          <cell r="C3413" t="str">
            <v xml:space="preserve">UN    </v>
          </cell>
          <cell r="D3413">
            <v>139977.12</v>
          </cell>
        </row>
        <row r="3414">
          <cell r="A3414">
            <v>39608</v>
          </cell>
          <cell r="B3414" t="str">
            <v>NOBREAK TRIFASICO, DE 5 KVA FATOR DE POTENCIA DE 0,8, AUTONOMIA MINIMA DE 30 MINUTOS A PLENA CARGA</v>
          </cell>
          <cell r="C3414" t="str">
            <v xml:space="preserve">UN    </v>
          </cell>
          <cell r="D3414">
            <v>40446.720000000001</v>
          </cell>
        </row>
        <row r="3415">
          <cell r="A3415">
            <v>38175</v>
          </cell>
          <cell r="B3415" t="str">
            <v>NUMERO / ALGARISMO PARA PORTA, TAMANHO *40* MM, EM ZAMAC, (MODELO DE 0 A 9), FIXACAO POR PARAFUSOS</v>
          </cell>
          <cell r="C3415" t="str">
            <v xml:space="preserve">UN    </v>
          </cell>
          <cell r="D3415">
            <v>2.58</v>
          </cell>
        </row>
        <row r="3416">
          <cell r="A3416">
            <v>38176</v>
          </cell>
          <cell r="B3416" t="str">
            <v>NUMERO / ALGARISMO PARA RESIDENCIA (FACHADA), TAMANHO *120* MM, EM ZAMAC, (MODELO DE 0 A 9), FIXACAO POR PARAFUSOS</v>
          </cell>
          <cell r="C3416" t="str">
            <v xml:space="preserve">UN    </v>
          </cell>
          <cell r="D3416">
            <v>7.01</v>
          </cell>
        </row>
        <row r="3417">
          <cell r="A3417">
            <v>36152</v>
          </cell>
          <cell r="B3417" t="str">
            <v>OCULOS DE SEGURANCA CONTRA IMPACTOS COM LENTE INCOLOR, ARMACAO NYLON, COM PROTECAO UVA E UVB</v>
          </cell>
          <cell r="C3417" t="str">
            <v xml:space="preserve">UN    </v>
          </cell>
          <cell r="D3417">
            <v>4.6900000000000004</v>
          </cell>
        </row>
        <row r="3418">
          <cell r="A3418">
            <v>11138</v>
          </cell>
          <cell r="B3418" t="str">
            <v>OLEO COMBUSTIVEL BPF A GRANEL</v>
          </cell>
          <cell r="C3418" t="str">
            <v xml:space="preserve">L     </v>
          </cell>
          <cell r="D3418">
            <v>2.2200000000000002</v>
          </cell>
        </row>
        <row r="3419">
          <cell r="A3419">
            <v>5333</v>
          </cell>
          <cell r="B3419" t="str">
            <v>OLEO DE LINHACA</v>
          </cell>
          <cell r="C3419" t="str">
            <v xml:space="preserve">L     </v>
          </cell>
          <cell r="D3419">
            <v>18.87</v>
          </cell>
        </row>
        <row r="3420">
          <cell r="A3420">
            <v>4221</v>
          </cell>
          <cell r="B3420" t="str">
            <v>OLEO DIESEL COMBUSTIVEL COMUM</v>
          </cell>
          <cell r="C3420" t="str">
            <v xml:space="preserve">L     </v>
          </cell>
          <cell r="D3420">
            <v>3.46</v>
          </cell>
        </row>
        <row r="3421">
          <cell r="A3421">
            <v>4227</v>
          </cell>
          <cell r="B3421" t="str">
            <v>OLEO LUBRIFICANTE PARA MOTORES DE EQUIPAMENTOS PESADOS (CAMINHOES, TRATORES, RETROS E ETC)</v>
          </cell>
          <cell r="C3421" t="str">
            <v xml:space="preserve">L     </v>
          </cell>
          <cell r="D3421">
            <v>13.63</v>
          </cell>
        </row>
        <row r="3422">
          <cell r="A3422">
            <v>38170</v>
          </cell>
          <cell r="B3422" t="str">
            <v>OLHO MAGICO / VISOR PARA PORTA DE *25 A 46* MM DE ESPESSURA, ANGULO DE VISAO APROXIMADO DE 200 GRAUS, LATAO CROMADO, COM FECHO JANELA</v>
          </cell>
          <cell r="C3422" t="str">
            <v xml:space="preserve">UN    </v>
          </cell>
          <cell r="D3422">
            <v>11.81</v>
          </cell>
        </row>
        <row r="3423">
          <cell r="A3423">
            <v>4252</v>
          </cell>
          <cell r="B3423" t="str">
            <v>OPERADOR DE BATE-ESTACAS</v>
          </cell>
          <cell r="C3423" t="str">
            <v xml:space="preserve">H     </v>
          </cell>
          <cell r="D3423">
            <v>12.38</v>
          </cell>
        </row>
        <row r="3424">
          <cell r="A3424">
            <v>40980</v>
          </cell>
          <cell r="B3424" t="str">
            <v>OPERADOR DE BATE-ESTACAS (MENSALISTA)</v>
          </cell>
          <cell r="C3424" t="str">
            <v xml:space="preserve">MES   </v>
          </cell>
          <cell r="D3424">
            <v>2196.34</v>
          </cell>
        </row>
        <row r="3425">
          <cell r="A3425">
            <v>4243</v>
          </cell>
          <cell r="B3425" t="str">
            <v>OPERADOR DE BETONEIRA (CAMINHAO)</v>
          </cell>
          <cell r="C3425" t="str">
            <v xml:space="preserve">H     </v>
          </cell>
          <cell r="D3425">
            <v>10.61</v>
          </cell>
        </row>
        <row r="3426">
          <cell r="A3426">
            <v>41031</v>
          </cell>
          <cell r="B3426" t="str">
            <v>OPERADOR DE BETONEIRA (CAMINHAO) (MENSALISTA)</v>
          </cell>
          <cell r="C3426" t="str">
            <v xml:space="preserve">MES   </v>
          </cell>
          <cell r="D3426">
            <v>1883.61</v>
          </cell>
        </row>
        <row r="3427">
          <cell r="A3427">
            <v>37666</v>
          </cell>
          <cell r="B3427" t="str">
            <v>OPERADOR DE BETONEIRA ESTACIONARIA / MISTURADOR</v>
          </cell>
          <cell r="C3427" t="str">
            <v xml:space="preserve">H     </v>
          </cell>
          <cell r="D3427">
            <v>10.23</v>
          </cell>
        </row>
        <row r="3428">
          <cell r="A3428">
            <v>40986</v>
          </cell>
          <cell r="B3428" t="str">
            <v>OPERADOR DE BETONEIRA ESTACIONARIA / MISTURADOR (MENSALISTA)</v>
          </cell>
          <cell r="C3428" t="str">
            <v xml:space="preserve">MES   </v>
          </cell>
          <cell r="D3428">
            <v>1817.75</v>
          </cell>
        </row>
        <row r="3429">
          <cell r="A3429">
            <v>4250</v>
          </cell>
          <cell r="B3429" t="str">
            <v>OPERADOR DE COMPRESSOR DE AR OU COMPRESSORISTA</v>
          </cell>
          <cell r="C3429" t="str">
            <v xml:space="preserve">H     </v>
          </cell>
          <cell r="D3429">
            <v>11.17</v>
          </cell>
        </row>
        <row r="3430">
          <cell r="A3430">
            <v>40978</v>
          </cell>
          <cell r="B3430" t="str">
            <v>OPERADOR DE COMPRESSOR DE AR OU COMPRESSORISTA (MENSALISTA)</v>
          </cell>
          <cell r="C3430" t="str">
            <v xml:space="preserve">MES   </v>
          </cell>
          <cell r="D3430">
            <v>1981.1</v>
          </cell>
        </row>
        <row r="3431">
          <cell r="A3431">
            <v>25960</v>
          </cell>
          <cell r="B3431" t="str">
            <v>OPERADOR DE DEMARCADORA DE FAIXAS DE TRAFEGO</v>
          </cell>
          <cell r="C3431" t="str">
            <v xml:space="preserve">H     </v>
          </cell>
          <cell r="D3431">
            <v>13.06</v>
          </cell>
        </row>
        <row r="3432">
          <cell r="A3432">
            <v>41043</v>
          </cell>
          <cell r="B3432" t="str">
            <v>OPERADOR DE DEMARCADORA DE FAIXAS DE TRAFEGO (MENSALISTA)</v>
          </cell>
          <cell r="C3432" t="str">
            <v xml:space="preserve">MES   </v>
          </cell>
          <cell r="D3432">
            <v>2318.29</v>
          </cell>
        </row>
        <row r="3433">
          <cell r="A3433">
            <v>4234</v>
          </cell>
          <cell r="B3433" t="str">
            <v>OPERADOR DE ESCAVADEIRA</v>
          </cell>
          <cell r="C3433" t="str">
            <v xml:space="preserve">H     </v>
          </cell>
          <cell r="D3433">
            <v>14.32</v>
          </cell>
        </row>
        <row r="3434">
          <cell r="A3434">
            <v>40987</v>
          </cell>
          <cell r="B3434" t="str">
            <v>OPERADOR DE ESCAVADEIRA (MENSALISTA)</v>
          </cell>
          <cell r="C3434" t="str">
            <v xml:space="preserve">MES   </v>
          </cell>
          <cell r="D3434">
            <v>2539.59</v>
          </cell>
        </row>
        <row r="3435">
          <cell r="A3435">
            <v>4253</v>
          </cell>
          <cell r="B3435" t="str">
            <v>OPERADOR DE GUINCHO OU GUINCHEIRO</v>
          </cell>
          <cell r="C3435" t="str">
            <v xml:space="preserve">H     </v>
          </cell>
          <cell r="D3435">
            <v>10.29</v>
          </cell>
        </row>
        <row r="3436">
          <cell r="A3436">
            <v>40981</v>
          </cell>
          <cell r="B3436" t="str">
            <v>OPERADOR DE GUINCHO OU GUINCHEIRO (MENSALISTA)</v>
          </cell>
          <cell r="C3436" t="str">
            <v xml:space="preserve">MES   </v>
          </cell>
          <cell r="D3436">
            <v>1826.74</v>
          </cell>
        </row>
        <row r="3437">
          <cell r="A3437">
            <v>4254</v>
          </cell>
          <cell r="B3437" t="str">
            <v>OPERADOR DE GUINDASTE</v>
          </cell>
          <cell r="C3437" t="str">
            <v xml:space="preserve">H     </v>
          </cell>
          <cell r="D3437">
            <v>10.36</v>
          </cell>
        </row>
        <row r="3438">
          <cell r="A3438">
            <v>41036</v>
          </cell>
          <cell r="B3438" t="str">
            <v>OPERADOR DE GUINDASTE (MENSALISTA)</v>
          </cell>
          <cell r="C3438" t="str">
            <v xml:space="preserve">MES   </v>
          </cell>
          <cell r="D3438">
            <v>1836.77</v>
          </cell>
        </row>
        <row r="3439">
          <cell r="A3439">
            <v>4251</v>
          </cell>
          <cell r="B3439" t="str">
            <v>OPERADOR DE JATO ABRASIVO OU JATISTA</v>
          </cell>
          <cell r="C3439" t="str">
            <v xml:space="preserve">H     </v>
          </cell>
          <cell r="D3439">
            <v>12.81</v>
          </cell>
        </row>
        <row r="3440">
          <cell r="A3440">
            <v>40979</v>
          </cell>
          <cell r="B3440" t="str">
            <v>OPERADOR DE JATO ABRASIVO OU JATISTA (MENSALISTA)</v>
          </cell>
          <cell r="C3440" t="str">
            <v xml:space="preserve">MES   </v>
          </cell>
          <cell r="D3440">
            <v>2273.5</v>
          </cell>
        </row>
        <row r="3441">
          <cell r="A3441">
            <v>4230</v>
          </cell>
          <cell r="B3441" t="str">
            <v>OPERADOR DE MAQUINAS E TRATORES DIVERSOS (TERRAPLANAGEM)</v>
          </cell>
          <cell r="C3441" t="str">
            <v xml:space="preserve">H     </v>
          </cell>
          <cell r="D3441">
            <v>10.91</v>
          </cell>
        </row>
        <row r="3442">
          <cell r="A3442">
            <v>40998</v>
          </cell>
          <cell r="B3442" t="str">
            <v>OPERADOR DE MAQUINAS E TRATORES DIVERSOS (TERRAPLANAGEM) (MENSALISTA)</v>
          </cell>
          <cell r="C3442" t="str">
            <v xml:space="preserve">MES   </v>
          </cell>
          <cell r="D3442">
            <v>1935.94</v>
          </cell>
        </row>
        <row r="3443">
          <cell r="A3443">
            <v>4257</v>
          </cell>
          <cell r="B3443" t="str">
            <v>OPERADOR DE MARTELETE OU MARTELETEIRO</v>
          </cell>
          <cell r="C3443" t="str">
            <v xml:space="preserve">H     </v>
          </cell>
          <cell r="D3443">
            <v>8.59</v>
          </cell>
        </row>
        <row r="3444">
          <cell r="A3444">
            <v>40982</v>
          </cell>
          <cell r="B3444" t="str">
            <v>OPERADOR DE MARTELETE OU MARTELETEIRO (MENSALISTA)</v>
          </cell>
          <cell r="C3444" t="str">
            <v xml:space="preserve">MES   </v>
          </cell>
          <cell r="D3444">
            <v>1526.17</v>
          </cell>
        </row>
        <row r="3445">
          <cell r="A3445">
            <v>4240</v>
          </cell>
          <cell r="B3445" t="str">
            <v>OPERADOR DE MOTO SCRAPER</v>
          </cell>
          <cell r="C3445" t="str">
            <v xml:space="preserve">H     </v>
          </cell>
          <cell r="D3445">
            <v>13.28</v>
          </cell>
        </row>
        <row r="3446">
          <cell r="A3446">
            <v>41026</v>
          </cell>
          <cell r="B3446" t="str">
            <v>OPERADOR DE MOTO SCRAPER (MENSALISTA)</v>
          </cell>
          <cell r="C3446" t="str">
            <v xml:space="preserve">MES   </v>
          </cell>
          <cell r="D3446">
            <v>2357.81</v>
          </cell>
        </row>
        <row r="3447">
          <cell r="A3447">
            <v>4239</v>
          </cell>
          <cell r="B3447" t="str">
            <v>OPERADOR DE MOTONIVELADORA</v>
          </cell>
          <cell r="C3447" t="str">
            <v xml:space="preserve">H     </v>
          </cell>
          <cell r="D3447">
            <v>16.3</v>
          </cell>
        </row>
        <row r="3448">
          <cell r="A3448">
            <v>41024</v>
          </cell>
          <cell r="B3448" t="str">
            <v>OPERADOR DE MOTONIVELADORA (MENSALISTA)</v>
          </cell>
          <cell r="C3448" t="str">
            <v xml:space="preserve">MES   </v>
          </cell>
          <cell r="D3448">
            <v>2892.6</v>
          </cell>
        </row>
        <row r="3449">
          <cell r="A3449">
            <v>4248</v>
          </cell>
          <cell r="B3449" t="str">
            <v>OPERADOR DE PA CARREGADEIRA</v>
          </cell>
          <cell r="C3449" t="str">
            <v xml:space="preserve">H     </v>
          </cell>
          <cell r="D3449">
            <v>11.89</v>
          </cell>
        </row>
        <row r="3450">
          <cell r="A3450">
            <v>41033</v>
          </cell>
          <cell r="B3450" t="str">
            <v>OPERADOR DE PA CARREGADEIRA (MENSALISTA)</v>
          </cell>
          <cell r="C3450" t="str">
            <v xml:space="preserve">MES   </v>
          </cell>
          <cell r="D3450">
            <v>2112.36</v>
          </cell>
        </row>
        <row r="3451">
          <cell r="A3451">
            <v>25959</v>
          </cell>
          <cell r="B3451" t="str">
            <v>OPERADOR DE PAVIMENTADORA / MESA VIBROACABADORA</v>
          </cell>
          <cell r="C3451" t="str">
            <v xml:space="preserve">H     </v>
          </cell>
          <cell r="D3451">
            <v>13.72</v>
          </cell>
        </row>
        <row r="3452">
          <cell r="A3452">
            <v>41040</v>
          </cell>
          <cell r="B3452" t="str">
            <v>OPERADOR DE PAVIMENTADORA / MESA VIBROACABADORA (MENSALISTA)</v>
          </cell>
          <cell r="C3452" t="str">
            <v xml:space="preserve">MES   </v>
          </cell>
          <cell r="D3452">
            <v>2434.1999999999998</v>
          </cell>
        </row>
        <row r="3453">
          <cell r="A3453">
            <v>4238</v>
          </cell>
          <cell r="B3453" t="str">
            <v>OPERADOR DE ROLO COMPACTADOR</v>
          </cell>
          <cell r="C3453" t="str">
            <v xml:space="preserve">H     </v>
          </cell>
          <cell r="D3453">
            <v>10.91</v>
          </cell>
        </row>
        <row r="3454">
          <cell r="A3454">
            <v>41012</v>
          </cell>
          <cell r="B3454" t="str">
            <v>OPERADOR DE ROLO COMPACTADOR (MENSALISTA)</v>
          </cell>
          <cell r="C3454" t="str">
            <v xml:space="preserve">MES   </v>
          </cell>
          <cell r="D3454">
            <v>1935.94</v>
          </cell>
        </row>
        <row r="3455">
          <cell r="A3455">
            <v>4237</v>
          </cell>
          <cell r="B3455" t="str">
            <v>OPERADOR DE TRATOR - EXCLUSIVE AGROPECUARIA</v>
          </cell>
          <cell r="C3455" t="str">
            <v xml:space="preserve">H     </v>
          </cell>
          <cell r="D3455">
            <v>11</v>
          </cell>
        </row>
        <row r="3456">
          <cell r="A3456">
            <v>41002</v>
          </cell>
          <cell r="B3456" t="str">
            <v>OPERADOR DE TRATOR - EXCLUSIVE AGROPECUARIA (MENSALISTA)</v>
          </cell>
          <cell r="C3456" t="str">
            <v xml:space="preserve">MES   </v>
          </cell>
          <cell r="D3456">
            <v>1951.18</v>
          </cell>
        </row>
        <row r="3457">
          <cell r="A3457">
            <v>4233</v>
          </cell>
          <cell r="B3457" t="str">
            <v>OPERADOR DE USINA DE ASFALTO, DE SOLOS OU DE CONCRETO</v>
          </cell>
          <cell r="C3457" t="str">
            <v xml:space="preserve">H     </v>
          </cell>
          <cell r="D3457">
            <v>11.78</v>
          </cell>
        </row>
        <row r="3458">
          <cell r="A3458">
            <v>41001</v>
          </cell>
          <cell r="B3458" t="str">
            <v>OPERADOR DE USINA DE ASFALTO, DE SOLOS OU DE CONCRETO (MENSALISTA)</v>
          </cell>
          <cell r="C3458" t="str">
            <v xml:space="preserve">MES   </v>
          </cell>
          <cell r="D3458">
            <v>2090.4</v>
          </cell>
        </row>
        <row r="3459">
          <cell r="A3459">
            <v>2</v>
          </cell>
          <cell r="B3459" t="str">
            <v>OXIGENIO, RECARGA PARA CILINDRO DE CONJUNTO OXICORTE GRANDE</v>
          </cell>
          <cell r="C3459" t="str">
            <v xml:space="preserve">M3    </v>
          </cell>
          <cell r="D3459">
            <v>14.36</v>
          </cell>
        </row>
        <row r="3460">
          <cell r="A3460">
            <v>36517</v>
          </cell>
          <cell r="B3460" t="str">
            <v>PA CARREGADEIRA SOBRE RODAS, POTENCIA BRUTA *127* CV, CAPACIDADE DA CACAMBA DE 2,0 A 2,4 M3, PESO OPERACIONAL MAXIMO DE 10330 KG</v>
          </cell>
          <cell r="C3460" t="str">
            <v xml:space="preserve">UN    </v>
          </cell>
          <cell r="D3460">
            <v>341843.94</v>
          </cell>
        </row>
        <row r="3461">
          <cell r="A3461">
            <v>4262</v>
          </cell>
          <cell r="B3461" t="str">
            <v>PA CARREGADEIRA SOBRE RODAS, POTENCIA LIQUIDA 128 HP, CAPACIDADE DA CACAMBA DE 1,7 A 2,8 M3, PESO OPERACIONAL MAXIMO DE 11632 KG</v>
          </cell>
          <cell r="C3461" t="str">
            <v xml:space="preserve">UN    </v>
          </cell>
          <cell r="D3461">
            <v>384959.4</v>
          </cell>
        </row>
        <row r="3462">
          <cell r="A3462">
            <v>4263</v>
          </cell>
          <cell r="B3462" t="str">
            <v>PA CARREGADEIRA SOBRE RODAS, POTENCIA LIQUIDA 197 HP, CAPACIDADE DA CACAMBA DE 2,5 A 3,5 M3, PESO OPERACIONAL MAXIMO DE 18338 KG</v>
          </cell>
          <cell r="C3462" t="str">
            <v xml:space="preserve">UN    </v>
          </cell>
          <cell r="D3462">
            <v>533810.34</v>
          </cell>
        </row>
        <row r="3463">
          <cell r="A3463">
            <v>36518</v>
          </cell>
          <cell r="B3463" t="str">
            <v>PA CARREGADEIRA SOBRE RODAS, POTENCIA LIQUIDA 213 HP, CAPACIDADE DA CACAMBA DE 1,9 A 3,5 M3, PESO OPERACIONAL MAXIMO DE 19234 KG</v>
          </cell>
          <cell r="C3463" t="str">
            <v xml:space="preserve">UN    </v>
          </cell>
          <cell r="D3463">
            <v>607722.54</v>
          </cell>
        </row>
        <row r="3464">
          <cell r="A3464">
            <v>14221</v>
          </cell>
          <cell r="B3464" t="str">
            <v>PA CARREGADEIRA SOBRE RODAS, POTENCIA 152 HP, CAPACIDADE DA CACAMBA DE 1,53 A 2,30 M3, PESO OPERACIONAL MAXIMO DE 10216 KG</v>
          </cell>
          <cell r="C3464" t="str">
            <v xml:space="preserve">UN    </v>
          </cell>
          <cell r="D3464">
            <v>354675.91</v>
          </cell>
        </row>
        <row r="3465">
          <cell r="A3465">
            <v>38402</v>
          </cell>
          <cell r="B3465" t="str">
            <v>PA DE LIXO PLASTICA, CABO LONGO</v>
          </cell>
          <cell r="C3465" t="str">
            <v xml:space="preserve">UN    </v>
          </cell>
          <cell r="D3465">
            <v>10.65</v>
          </cell>
        </row>
        <row r="3466">
          <cell r="A3466">
            <v>3412</v>
          </cell>
          <cell r="B3466" t="str">
            <v>PAINEL DE LA DE VIDRO SEM REVESTIMENTO PSI 20, E = 25 MM, DE 1200 X 600 MM</v>
          </cell>
          <cell r="C3466" t="str">
            <v xml:space="preserve">M2    </v>
          </cell>
          <cell r="D3466">
            <v>13.77</v>
          </cell>
        </row>
        <row r="3467">
          <cell r="A3467">
            <v>3413</v>
          </cell>
          <cell r="B3467" t="str">
            <v>PAINEL DE LA DE VIDRO SEM REVESTIMENTO PSI 20, E = 50 MM, DE 1200 X 600 MM</v>
          </cell>
          <cell r="C3467" t="str">
            <v xml:space="preserve">M2    </v>
          </cell>
          <cell r="D3467">
            <v>31</v>
          </cell>
        </row>
        <row r="3468">
          <cell r="A3468">
            <v>39744</v>
          </cell>
          <cell r="B3468" t="str">
            <v>PAINEL DE LA DE VIDRO SEM REVESTIMENTO PSI 40, E = 25 MM, DE 1200 X 600 MM</v>
          </cell>
          <cell r="C3468" t="str">
            <v xml:space="preserve">M2    </v>
          </cell>
          <cell r="D3468">
            <v>24.07</v>
          </cell>
        </row>
        <row r="3469">
          <cell r="A3469">
            <v>39745</v>
          </cell>
          <cell r="B3469" t="str">
            <v>PAINEL DE LA DE VIDRO SEM REVESTIMENTO PSI 40, E = 50 MM, DE 1200 X 600 MM</v>
          </cell>
          <cell r="C3469" t="str">
            <v xml:space="preserve">M2    </v>
          </cell>
          <cell r="D3469">
            <v>50.81</v>
          </cell>
        </row>
        <row r="3470">
          <cell r="A3470">
            <v>39637</v>
          </cell>
          <cell r="B3470" t="str">
            <v>PAINEL ESTRUTURAL PARA LAJE SECA REVESTIDO EM PLACA CIMENTICIA, DE 1,20 X 2,50 M, E = 23 MM</v>
          </cell>
          <cell r="C3470" t="str">
            <v xml:space="preserve">M2    </v>
          </cell>
          <cell r="D3470">
            <v>66.55</v>
          </cell>
        </row>
        <row r="3471">
          <cell r="A3471">
            <v>39638</v>
          </cell>
          <cell r="B3471" t="str">
            <v>PAINEL ESTRUTURAL PARA LAJE SECA REVESTIDO EM PLACA CIMENTICIA, DE 1,20 X 2,50 M, E = 40 MM</v>
          </cell>
          <cell r="C3471" t="str">
            <v xml:space="preserve">M2    </v>
          </cell>
          <cell r="D3471">
            <v>123.93</v>
          </cell>
        </row>
        <row r="3472">
          <cell r="A3472">
            <v>39639</v>
          </cell>
          <cell r="B3472" t="str">
            <v>PAINEL ESTRUTURAL PARA LAJE SECA REVESTIDO EM PLACA CIMENTICIA, DE 1,20 X 2,50 M, E = 55 MM</v>
          </cell>
          <cell r="C3472" t="str">
            <v xml:space="preserve">M2    </v>
          </cell>
          <cell r="D3472">
            <v>163.38999999999999</v>
          </cell>
        </row>
        <row r="3473">
          <cell r="A3473">
            <v>39517</v>
          </cell>
          <cell r="B3473" t="str">
            <v>PAINEL TERMOISOLANTE PARA FECHAMENTOS VERTICAIS (INCLUI PARAFUSOS DE FIXACAO) REVESTIDO EM ACO GALVALUME, LARGURA UTIL DE 1100 MM, REVESTIMENTO COM ESPESSURA DE 0,50 MM, COM PRE-PINTURA NAS DUAS FACES, NUCLEO EM POLIURETANO (PUR) COM ESPESSURA 40/50 MM</v>
          </cell>
          <cell r="C3473" t="str">
            <v xml:space="preserve">M2    </v>
          </cell>
          <cell r="D3473">
            <v>143.47</v>
          </cell>
        </row>
        <row r="3474">
          <cell r="A3474">
            <v>39518</v>
          </cell>
          <cell r="B3474" t="str">
            <v>PAINEL TERMOISOLANTE PARA FECHAMENTOS VERTICAIS (INCLUI PARAFUSOS DE FIXACAO) REVESTIDO EM ACO GALVALUME, LARGURA UTIL DE 1100 MM, REVESTIMENTO COM ESPESSURA DE 0,50 MM, COM PRE-PINTURA NAS DUAS FACES, NUCLEO EM POLIURETANO (PUR) COM ESPESSURA 70/80 MM</v>
          </cell>
          <cell r="C3474" t="str">
            <v xml:space="preserve">M2    </v>
          </cell>
          <cell r="D3474">
            <v>170.09</v>
          </cell>
        </row>
        <row r="3475">
          <cell r="A3475">
            <v>38366</v>
          </cell>
          <cell r="B3475" t="str">
            <v>PAPEL KRAFT BETUMADO</v>
          </cell>
          <cell r="C3475" t="str">
            <v xml:space="preserve">M2    </v>
          </cell>
          <cell r="D3475">
            <v>3.5</v>
          </cell>
        </row>
        <row r="3476">
          <cell r="A3476">
            <v>11703</v>
          </cell>
          <cell r="B3476" t="str">
            <v>PAPELEIRA DE PAREDE EM METAL CROMADO SEM TAMPA</v>
          </cell>
          <cell r="C3476" t="str">
            <v xml:space="preserve">UN    </v>
          </cell>
          <cell r="D3476">
            <v>23.16</v>
          </cell>
        </row>
        <row r="3477">
          <cell r="A3477">
            <v>37400</v>
          </cell>
          <cell r="B3477" t="str">
            <v>PAPELEIRA PLASTICA TIPO DISPENSER PARA PAPEL HIGIENICO ROLAO</v>
          </cell>
          <cell r="C3477" t="str">
            <v xml:space="preserve">UN    </v>
          </cell>
          <cell r="D3477">
            <v>53.04</v>
          </cell>
        </row>
        <row r="3478">
          <cell r="A3478">
            <v>25400</v>
          </cell>
          <cell r="B3478" t="str">
            <v>PAR DE TABELAS DE BASQUETE EM COMPENSADO NAVAL DE *1,80 X 1,20* M, COM ARO DE METAL E REDE (SEM SUPORTE DE FIXACAO)</v>
          </cell>
          <cell r="C3478" t="str">
            <v xml:space="preserve">UN    </v>
          </cell>
          <cell r="D3478">
            <v>1097.6300000000001</v>
          </cell>
        </row>
        <row r="3479">
          <cell r="A3479">
            <v>4272</v>
          </cell>
          <cell r="B3479" t="str">
            <v>PARA-RAIOS DE BAIXA TENSAO, TENSAO DE OPERACAO *280* V , CORRENTE MAXIMA *20* KA</v>
          </cell>
          <cell r="C3479" t="str">
            <v xml:space="preserve">UN    </v>
          </cell>
          <cell r="D3479">
            <v>87.3</v>
          </cell>
        </row>
        <row r="3480">
          <cell r="A3480">
            <v>4276</v>
          </cell>
          <cell r="B3480" t="str">
            <v>PARA-RAIOS DE DISTRIBUICAO, TENSAO NOMINAL 15 KV, CORRENTE NOMINAL DE DESCARGA 5 KA</v>
          </cell>
          <cell r="C3480" t="str">
            <v xml:space="preserve">UN    </v>
          </cell>
          <cell r="D3480">
            <v>257.68</v>
          </cell>
        </row>
        <row r="3481">
          <cell r="A3481">
            <v>4273</v>
          </cell>
          <cell r="B3481" t="str">
            <v>PARA-RAIOS DE DISTRIBUICAO, TENSAO NOMINAL 30 KV, CORRENTE NOMINAL DE DESCARGA 10 KA</v>
          </cell>
          <cell r="C3481" t="str">
            <v xml:space="preserve">UN    </v>
          </cell>
          <cell r="D3481">
            <v>428.06</v>
          </cell>
        </row>
        <row r="3482">
          <cell r="A3482">
            <v>4274</v>
          </cell>
          <cell r="B3482" t="str">
            <v>PARA-RAIOS TIPO FRANKLIN 350 MM, EM LATAO CROMADO, DUAS DESCIDAS, PARA PROTECAO DE EDIFICACOES CONTRA DESCARGAS ATMOSFERICAS</v>
          </cell>
          <cell r="C3482" t="str">
            <v xml:space="preserve">UN    </v>
          </cell>
          <cell r="D3482">
            <v>99.26</v>
          </cell>
        </row>
        <row r="3483">
          <cell r="A3483">
            <v>39438</v>
          </cell>
          <cell r="B3483" t="str">
            <v>PARAFUSO CABECA TROMBETA E PONTA AGULHA (GN55), COMPRIMENTO 55 MM, EM ACO FOSFATIZADO, PARA FIXAR CHAPA DE GESSO EM PERFIL DRYWALL METALICO MAXIMO 0,7 MM</v>
          </cell>
          <cell r="C3483" t="str">
            <v xml:space="preserve">UN    </v>
          </cell>
          <cell r="D3483">
            <v>0.18</v>
          </cell>
        </row>
        <row r="3484">
          <cell r="A3484">
            <v>11963</v>
          </cell>
          <cell r="B3484" t="str">
            <v>PARAFUSO DE ACO TIPO CHUMBADOR PARABOLT, DIAMETRO 1/2", COMPRIMENTO 75 MM</v>
          </cell>
          <cell r="C3484" t="str">
            <v xml:space="preserve">UN    </v>
          </cell>
          <cell r="D3484">
            <v>6.56</v>
          </cell>
        </row>
        <row r="3485">
          <cell r="A3485">
            <v>11964</v>
          </cell>
          <cell r="B3485" t="str">
            <v>PARAFUSO DE ACO TIPO CHUMBADOR PARABOLT, DIAMETRO 3/8", COMPRIMENTO 75 MM</v>
          </cell>
          <cell r="C3485" t="str">
            <v xml:space="preserve">UN    </v>
          </cell>
          <cell r="D3485">
            <v>1.65</v>
          </cell>
        </row>
        <row r="3486">
          <cell r="A3486">
            <v>4379</v>
          </cell>
          <cell r="B3486" t="str">
            <v>PARAFUSO DE ACO ZINCADO COM ROSCA SOBERBA, CABECA CHATA E FENDA SIMPLES, DIAMETRO 2,5 MM, COMPRIMENTO * 9,5 * MM</v>
          </cell>
          <cell r="C3486" t="str">
            <v xml:space="preserve">UN    </v>
          </cell>
          <cell r="D3486">
            <v>0.03</v>
          </cell>
        </row>
        <row r="3487">
          <cell r="A3487">
            <v>4377</v>
          </cell>
          <cell r="B3487" t="str">
            <v>PARAFUSO DE ACO ZINCADO COM ROSCA SOBERBA, CABECA CHATA E FENDA SIMPLES, DIAMETRO 4,2 MM, COMPRIMENTO * 32 * MM</v>
          </cell>
          <cell r="C3487" t="str">
            <v xml:space="preserve">UN    </v>
          </cell>
          <cell r="D3487">
            <v>0.13</v>
          </cell>
        </row>
        <row r="3488">
          <cell r="A3488">
            <v>4356</v>
          </cell>
          <cell r="B3488" t="str">
            <v>PARAFUSO DE ACO ZINCADO COM ROSCA SOBERBA, CABECA CHATA E FENDA SIMPLES, DIAMETRO 4,8 MM, COMPRIMENTO 45 MM</v>
          </cell>
          <cell r="C3488" t="str">
            <v xml:space="preserve">UN    </v>
          </cell>
          <cell r="D3488">
            <v>0.18</v>
          </cell>
        </row>
        <row r="3489">
          <cell r="A3489">
            <v>13246</v>
          </cell>
          <cell r="B3489" t="str">
            <v>PARAFUSO DE FERRO POLIDO, SEXTAVADO, COM ROSCA INTEIRA, DIAMETRO 5/16", COMPRIMENTO 3/4", COM PORCA E ARRUELA LISA LEVE</v>
          </cell>
          <cell r="C3489" t="str">
            <v xml:space="preserve">UN    </v>
          </cell>
          <cell r="D3489">
            <v>0.31</v>
          </cell>
        </row>
        <row r="3490">
          <cell r="A3490">
            <v>4346</v>
          </cell>
          <cell r="B3490" t="str">
            <v>PARAFUSO DE FERRO POLIDO, SEXTAVADO, COM ROSCA PARCIAL, DIAMETRO 5/8", COMPRIMENTO 6", COM PORCA E ARRUELA DE PRESSAO MEDIA</v>
          </cell>
          <cell r="C3490" t="str">
            <v xml:space="preserve">UN    </v>
          </cell>
          <cell r="D3490">
            <v>7.03</v>
          </cell>
        </row>
        <row r="3491">
          <cell r="A3491">
            <v>11955</v>
          </cell>
          <cell r="B3491" t="str">
            <v>PARAFUSO DE LATAO COM ACABAMENTO CROMADO PARA FIXAR PECA SANITARIA, INCLUI PORCA CEGA, ARRUELA E BUCHA DE NYLON TAMANHO S-10</v>
          </cell>
          <cell r="C3491" t="str">
            <v xml:space="preserve">UN    </v>
          </cell>
          <cell r="D3491">
            <v>3.07</v>
          </cell>
        </row>
        <row r="3492">
          <cell r="A3492">
            <v>11960</v>
          </cell>
          <cell r="B3492" t="str">
            <v>PARAFUSO DE LATAO COM ROSCA SOBERBA, CABECA CHATA E FENDA SIMPLES, DIAMETRO 2,5 MM, COMPRIMENTO 12 MM</v>
          </cell>
          <cell r="C3492" t="str">
            <v xml:space="preserve">UN    </v>
          </cell>
          <cell r="D3492">
            <v>0.1</v>
          </cell>
        </row>
        <row r="3493">
          <cell r="A3493">
            <v>4333</v>
          </cell>
          <cell r="B3493" t="str">
            <v>PARAFUSO DE LATAO COM ROSCA SOBERBA, CABECA CHATA E FENDA SIMPLES, DIAMETRO 3,2 MM, COMPRIMENTO 16 MM</v>
          </cell>
          <cell r="C3493" t="str">
            <v xml:space="preserve">UN    </v>
          </cell>
          <cell r="D3493">
            <v>0.18</v>
          </cell>
        </row>
        <row r="3494">
          <cell r="A3494">
            <v>4358</v>
          </cell>
          <cell r="B3494" t="str">
            <v>PARAFUSO DE LATAO COM ROSCA SOBERBA, CABECA CHATA E FENDA SIMPLES, DIAMETRO 4,8 MM, COMPRIMENTO 65 MM</v>
          </cell>
          <cell r="C3494" t="str">
            <v xml:space="preserve">UN    </v>
          </cell>
          <cell r="D3494">
            <v>1.4</v>
          </cell>
        </row>
        <row r="3495">
          <cell r="A3495">
            <v>39435</v>
          </cell>
          <cell r="B3495" t="str">
            <v>PARAFUSO DRY WALL, EM ACO FOSFATIZADO, CABECA TROMBETA E PONTA AGULHA (TA), COMPRIMENTO 25 MM</v>
          </cell>
          <cell r="C3495" t="str">
            <v xml:space="preserve">UN    </v>
          </cell>
          <cell r="D3495">
            <v>7.0000000000000007E-2</v>
          </cell>
        </row>
        <row r="3496">
          <cell r="A3496">
            <v>39436</v>
          </cell>
          <cell r="B3496" t="str">
            <v>PARAFUSO DRY WALL, EM ACO FOSFATIZADO, CABECA TROMBETA E PONTA AGULHA (TA), COMPRIMENTO 35 MM</v>
          </cell>
          <cell r="C3496" t="str">
            <v xml:space="preserve">UN    </v>
          </cell>
          <cell r="D3496">
            <v>0.12</v>
          </cell>
        </row>
        <row r="3497">
          <cell r="A3497">
            <v>39437</v>
          </cell>
          <cell r="B3497" t="str">
            <v>PARAFUSO DRY WALL, EM ACO FOSFATIZADO, CABECA TROMBETA E PONTA AGULHA (TA), COMPRIMENTO 45 MM</v>
          </cell>
          <cell r="C3497" t="str">
            <v xml:space="preserve">UN    </v>
          </cell>
          <cell r="D3497">
            <v>0.16</v>
          </cell>
        </row>
        <row r="3498">
          <cell r="A3498">
            <v>39439</v>
          </cell>
          <cell r="B3498" t="str">
            <v>PARAFUSO DRY WALL, EM ACO FOSFATIZADO, CABECA TROMBETA E PONTA BROCA (TB), COMPRIMENTO 25 MM</v>
          </cell>
          <cell r="C3498" t="str">
            <v xml:space="preserve">UN    </v>
          </cell>
          <cell r="D3498">
            <v>0.1</v>
          </cell>
        </row>
        <row r="3499">
          <cell r="A3499">
            <v>39440</v>
          </cell>
          <cell r="B3499" t="str">
            <v>PARAFUSO DRY WALL, EM ACO FOSFATIZADO, CABECA TROMBETA E PONTA BROCA (TB), COMPRIMENTO 35 MM</v>
          </cell>
          <cell r="C3499" t="str">
            <v xml:space="preserve">UN    </v>
          </cell>
          <cell r="D3499">
            <v>0.14000000000000001</v>
          </cell>
        </row>
        <row r="3500">
          <cell r="A3500">
            <v>39441</v>
          </cell>
          <cell r="B3500" t="str">
            <v>PARAFUSO DRY WALL, EM ACO FOSFATIZADO, CABECA TROMBETA E PONTA BROCA (TB), COMPRIMENTO 45 MM</v>
          </cell>
          <cell r="C3500" t="str">
            <v xml:space="preserve">UN    </v>
          </cell>
          <cell r="D3500">
            <v>0.17</v>
          </cell>
        </row>
        <row r="3501">
          <cell r="A3501">
            <v>39442</v>
          </cell>
          <cell r="B3501" t="str">
            <v>PARAFUSO DRY WALL, EM ACO ZINCADO, CABECA LENTILHA E PONTA AGULHA (LA), LARGURA 4,2 MM, COMPRIMENTO 13 MM</v>
          </cell>
          <cell r="C3501" t="str">
            <v xml:space="preserve">UN    </v>
          </cell>
          <cell r="D3501">
            <v>0.12</v>
          </cell>
        </row>
        <row r="3502">
          <cell r="A3502">
            <v>39443</v>
          </cell>
          <cell r="B3502" t="str">
            <v>PARAFUSO DRY WALL, EM ACO ZINCADO, CABECA LENTILHA E PONTA BROCA (LB), LARGURA 4,2 MM, COMPRIMENTO 13 MM</v>
          </cell>
          <cell r="C3502" t="str">
            <v xml:space="preserve">UN    </v>
          </cell>
          <cell r="D3502">
            <v>0.16</v>
          </cell>
        </row>
        <row r="3503">
          <cell r="A3503">
            <v>4329</v>
          </cell>
          <cell r="B3503" t="str">
            <v>PARAFUSO EM ACO GALVANIZADO, TIPO MAQUINA, SEXTAVADO, SEM PORCA, DIAMETRO 1/2", COMPRIMENTO 2"</v>
          </cell>
          <cell r="C3503" t="str">
            <v xml:space="preserve">UN    </v>
          </cell>
          <cell r="D3503">
            <v>1.5</v>
          </cell>
        </row>
        <row r="3504">
          <cell r="A3504">
            <v>4383</v>
          </cell>
          <cell r="B3504" t="str">
            <v>PARAFUSO FRANCES METRICO ZINCADO, DIAMETRO 12 MM, COMPRIMENTO 140MM, COM PORCA SEXTAVADA E ARRUELA DE PRESSAO MEDIA</v>
          </cell>
          <cell r="C3504" t="str">
            <v xml:space="preserve">UN    </v>
          </cell>
          <cell r="D3504">
            <v>13.56</v>
          </cell>
        </row>
        <row r="3505">
          <cell r="A3505">
            <v>4344</v>
          </cell>
          <cell r="B3505" t="str">
            <v>PARAFUSO FRANCES METRICO ZINCADO, DIAMETRO 12 MM, COMPRIMENTO 150 MM, COM PORCA SEXTAVADA E ARRUELA DE PRESSAO MEDIA</v>
          </cell>
          <cell r="C3505" t="str">
            <v xml:space="preserve">UN    </v>
          </cell>
          <cell r="D3505">
            <v>14.21</v>
          </cell>
        </row>
        <row r="3506">
          <cell r="A3506">
            <v>436</v>
          </cell>
          <cell r="B3506" t="str">
            <v>PARAFUSO FRANCES M16 EM ACO GALVANIZADO, COMPRIMENTO = 150 MM, DIAMETRO = 16 MM, CABECA ABAULADA</v>
          </cell>
          <cell r="C3506" t="str">
            <v xml:space="preserve">UN    </v>
          </cell>
          <cell r="D3506">
            <v>5.18</v>
          </cell>
        </row>
        <row r="3507">
          <cell r="A3507">
            <v>442</v>
          </cell>
          <cell r="B3507" t="str">
            <v>PARAFUSO FRANCES M16 EM ACO GALVANIZADO, COMPRIMENTO = 45 MM, DIAMETRO = 16 MM, CABECA ABAULADA</v>
          </cell>
          <cell r="C3507" t="str">
            <v xml:space="preserve">UN    </v>
          </cell>
          <cell r="D3507">
            <v>3.06</v>
          </cell>
        </row>
        <row r="3508">
          <cell r="A3508">
            <v>11953</v>
          </cell>
          <cell r="B3508" t="str">
            <v>PARAFUSO FRANCES ZINCADO, DIAMETRO 1/2'', COMPRIMENTO 2'', COM PORCA E ARRUELA</v>
          </cell>
          <cell r="C3508" t="str">
            <v xml:space="preserve">UN    </v>
          </cell>
          <cell r="D3508">
            <v>2.25</v>
          </cell>
        </row>
        <row r="3509">
          <cell r="A3509">
            <v>4335</v>
          </cell>
          <cell r="B3509" t="str">
            <v>PARAFUSO FRANCES ZINCADO, DIAMETRO 1/2", COMPRIMENTO 12", COM PORCA E ARRUELA LISA MEDIA</v>
          </cell>
          <cell r="C3509" t="str">
            <v xml:space="preserve">UN    </v>
          </cell>
          <cell r="D3509">
            <v>9.5399999999999991</v>
          </cell>
        </row>
        <row r="3510">
          <cell r="A3510">
            <v>4334</v>
          </cell>
          <cell r="B3510" t="str">
            <v>PARAFUSO FRANCES ZINCADO, DIAMETRO 1/2", COMPRIMENTO 15", COM PORCA E ARRUELA LISA MEDIA</v>
          </cell>
          <cell r="C3510" t="str">
            <v xml:space="preserve">UN    </v>
          </cell>
          <cell r="D3510">
            <v>13.09</v>
          </cell>
        </row>
        <row r="3511">
          <cell r="A3511">
            <v>4343</v>
          </cell>
          <cell r="B3511" t="str">
            <v>PARAFUSO FRANCES ZINCADO, DIAMETRO 1/2", COMPRIMENTO 4", COM PORCA E ARRUELA</v>
          </cell>
          <cell r="C3511" t="str">
            <v xml:space="preserve">UN    </v>
          </cell>
          <cell r="D3511">
            <v>3.22</v>
          </cell>
        </row>
        <row r="3512">
          <cell r="A3512">
            <v>430</v>
          </cell>
          <cell r="B3512" t="str">
            <v>PARAFUSO M16 EM ACO GALVANIZADO, COMPRIMENTO = 125 MM, DIAMETRO = 16 MM, ROSCA MAQUINA, CABECA QUADRADA</v>
          </cell>
          <cell r="C3512" t="str">
            <v xml:space="preserve">UN    </v>
          </cell>
          <cell r="D3512">
            <v>4.6399999999999997</v>
          </cell>
        </row>
        <row r="3513">
          <cell r="A3513">
            <v>441</v>
          </cell>
          <cell r="B3513" t="str">
            <v>PARAFUSO M16 EM ACO GALVANIZADO, COMPRIMENTO = 150 MM, DIAMETRO = 16 MM, ROSCA MAQUINA, CABECA QUADRADA</v>
          </cell>
          <cell r="C3513" t="str">
            <v xml:space="preserve">UN    </v>
          </cell>
          <cell r="D3513">
            <v>5.0999999999999996</v>
          </cell>
        </row>
        <row r="3514">
          <cell r="A3514">
            <v>431</v>
          </cell>
          <cell r="B3514" t="str">
            <v>PARAFUSO M16 EM ACO GALVANIZADO, COMPRIMENTO = 200 MM, DIAMETRO = 16 MM, ROSCA MAQUINA, CABECA QUADRADA</v>
          </cell>
          <cell r="C3514" t="str">
            <v xml:space="preserve">UN    </v>
          </cell>
          <cell r="D3514">
            <v>6.16</v>
          </cell>
        </row>
        <row r="3515">
          <cell r="A3515">
            <v>432</v>
          </cell>
          <cell r="B3515" t="str">
            <v>PARAFUSO M16 EM ACO GALVANIZADO, COMPRIMENTO = 250 MM, DIAMETRO = 16 MM, ROSCA MAQUINA, CABECA QUADRADA</v>
          </cell>
          <cell r="C3515" t="str">
            <v xml:space="preserve">UN    </v>
          </cell>
          <cell r="D3515">
            <v>6.8</v>
          </cell>
        </row>
        <row r="3516">
          <cell r="A3516">
            <v>429</v>
          </cell>
          <cell r="B3516" t="str">
            <v>PARAFUSO M16 EM ACO GALVANIZADO, COMPRIMENTO = 300 MM, DIAMETRO = 16 MM, ROSCA DUPLA</v>
          </cell>
          <cell r="C3516" t="str">
            <v xml:space="preserve">UN    </v>
          </cell>
          <cell r="D3516">
            <v>9.17</v>
          </cell>
        </row>
        <row r="3517">
          <cell r="A3517">
            <v>439</v>
          </cell>
          <cell r="B3517" t="str">
            <v>PARAFUSO M16 EM ACO GALVANIZADO, COMPRIMENTO = 300 MM, DIAMETRO = 16 MM, ROSCA MAQUINA, CABECA QUADRADA</v>
          </cell>
          <cell r="C3517" t="str">
            <v xml:space="preserve">UN    </v>
          </cell>
          <cell r="D3517">
            <v>7.81</v>
          </cell>
        </row>
        <row r="3518">
          <cell r="A3518">
            <v>433</v>
          </cell>
          <cell r="B3518" t="str">
            <v>PARAFUSO M16 EM ACO GALVANIZADO, COMPRIMENTO = 350 MM, DIAMETRO = 16 MM, ROSCA MAQUINA, CABECA QUADRADA</v>
          </cell>
          <cell r="C3518" t="str">
            <v xml:space="preserve">UN    </v>
          </cell>
          <cell r="D3518">
            <v>9.1199999999999992</v>
          </cell>
        </row>
        <row r="3519">
          <cell r="A3519">
            <v>437</v>
          </cell>
          <cell r="B3519" t="str">
            <v>PARAFUSO M16 EM ACO GALVANIZADO, COMPRIMENTO = 400 MM, DIAMETRO = 16 MM, ROSCA DUPLA</v>
          </cell>
          <cell r="C3519" t="str">
            <v xml:space="preserve">UN    </v>
          </cell>
          <cell r="D3519">
            <v>12.12</v>
          </cell>
        </row>
        <row r="3520">
          <cell r="A3520">
            <v>11790</v>
          </cell>
          <cell r="B3520" t="str">
            <v>PARAFUSO M16 EM ACO GALVANIZADO, COMPRIMENTO = 450 MM, DIAMETRO = 16 MM, ROSCA MAQUINA, CABECA QUADRADA</v>
          </cell>
          <cell r="C3520" t="str">
            <v xml:space="preserve">UN    </v>
          </cell>
          <cell r="D3520">
            <v>13.75</v>
          </cell>
        </row>
        <row r="3521">
          <cell r="A3521">
            <v>428</v>
          </cell>
          <cell r="B3521" t="str">
            <v>PARAFUSO M16 EM ACO GALVANIZADO, COMPRIMENTO = 500 MM, DIAMETRO = 16 MM, ROSCA MAQUINA, COM CABECA SEXTAVADA E PORCA</v>
          </cell>
          <cell r="C3521" t="str">
            <v xml:space="preserve">UN    </v>
          </cell>
          <cell r="D3521">
            <v>14.95</v>
          </cell>
        </row>
        <row r="3522">
          <cell r="A3522">
            <v>4384</v>
          </cell>
          <cell r="B3522" t="str">
            <v>PARAFUSO NIQUELADO COM ACABAMENTO CROMADO PARA FIXAR PECA SANITARIA, INCLUI PORCA CEGA, ARRUELA E BUCHA DE NYLON TAMANHO S-10</v>
          </cell>
          <cell r="C3522" t="str">
            <v xml:space="preserve">UN    </v>
          </cell>
          <cell r="D3522">
            <v>15.58</v>
          </cell>
        </row>
        <row r="3523">
          <cell r="A3523">
            <v>4351</v>
          </cell>
          <cell r="B3523" t="str">
            <v>PARAFUSO NIQUELADO 3 1/2" COM ACABAMENTO CROMADO PARA FIXAR PECA SANITARIA, INCLUI PORCA CEGA, ARRUELA E BUCHA DE NYLON TAMANHO S-8</v>
          </cell>
          <cell r="C3523" t="str">
            <v xml:space="preserve">UN    </v>
          </cell>
          <cell r="D3523">
            <v>11.55</v>
          </cell>
        </row>
        <row r="3524">
          <cell r="A3524">
            <v>11054</v>
          </cell>
          <cell r="B3524" t="str">
            <v>PARAFUSO ROSCA SOBERBA ZINCADO CABECA CHATA FENDA SIMPLES 3,2 X 20 MM (3/4 ")</v>
          </cell>
          <cell r="C3524" t="str">
            <v xml:space="preserve">UN    </v>
          </cell>
          <cell r="D3524">
            <v>0.02</v>
          </cell>
        </row>
        <row r="3525">
          <cell r="A3525">
            <v>11055</v>
          </cell>
          <cell r="B3525" t="str">
            <v>PARAFUSO ROSCA SOBERBA ZINCADO CABECA CHATA FENDA SIMPLES 3,5 X 25 MM (1 ")</v>
          </cell>
          <cell r="C3525" t="str">
            <v xml:space="preserve">UN    </v>
          </cell>
          <cell r="D3525">
            <v>0.04</v>
          </cell>
        </row>
        <row r="3526">
          <cell r="A3526">
            <v>11056</v>
          </cell>
          <cell r="B3526" t="str">
            <v>PARAFUSO ROSCA SOBERBA ZINCADO CABECA CHATA FENDA SIMPLES 3,8 X 30 MM (1.1/4 ")</v>
          </cell>
          <cell r="C3526" t="str">
            <v xml:space="preserve">UN    </v>
          </cell>
          <cell r="D3526">
            <v>0.05</v>
          </cell>
        </row>
        <row r="3527">
          <cell r="A3527">
            <v>11057</v>
          </cell>
          <cell r="B3527" t="str">
            <v>PARAFUSO ROSCA SOBERBA ZINCADO CABECA CHATA FENDA SIMPLES 4,8 X 40 MM (1.1/2 ")</v>
          </cell>
          <cell r="C3527" t="str">
            <v xml:space="preserve">UN    </v>
          </cell>
          <cell r="D3527">
            <v>0.1</v>
          </cell>
        </row>
        <row r="3528">
          <cell r="A3528">
            <v>11059</v>
          </cell>
          <cell r="B3528" t="str">
            <v>PARAFUSO ROSCA SOBERBA ZINCADO CABECA CHATA FENDA SIMPLES 5,5 X 50 MM (2 ")</v>
          </cell>
          <cell r="C3528" t="str">
            <v xml:space="preserve">UN    </v>
          </cell>
          <cell r="D3528">
            <v>0.19</v>
          </cell>
        </row>
        <row r="3529">
          <cell r="A3529">
            <v>11058</v>
          </cell>
          <cell r="B3529" t="str">
            <v>PARAFUSO ROSCA SOBERBA ZINCADO CABECA CHATA FENDA SIMPLES 5,5 X 65 MM (2.1/2 ")</v>
          </cell>
          <cell r="C3529" t="str">
            <v xml:space="preserve">UN    </v>
          </cell>
          <cell r="D3529">
            <v>0.25</v>
          </cell>
        </row>
        <row r="3530">
          <cell r="A3530">
            <v>4380</v>
          </cell>
          <cell r="B3530" t="str">
            <v>PARAFUSO ZINCADO ROSCA SOBERBA 5/16 " X 120 MM PARA TELHA FIBROCIMENTO</v>
          </cell>
          <cell r="C3530" t="str">
            <v xml:space="preserve">UN    </v>
          </cell>
          <cell r="D3530">
            <v>0.85</v>
          </cell>
        </row>
        <row r="3531">
          <cell r="A3531">
            <v>4299</v>
          </cell>
          <cell r="B3531" t="str">
            <v>PARAFUSO ZINCADO ROSCA SOBERBA, CABECA SEXTAVADA, 5/16 " X 110 MM, PARA FIXACAO DE TELHA EM MADEIRA</v>
          </cell>
          <cell r="C3531" t="str">
            <v xml:space="preserve">UN    </v>
          </cell>
          <cell r="D3531">
            <v>0.8</v>
          </cell>
        </row>
        <row r="3532">
          <cell r="A3532">
            <v>4304</v>
          </cell>
          <cell r="B3532" t="str">
            <v>PARAFUSO ZINCADO ROSCA SOBERBA, CABECA SEXTAVADA, 5/16 " X 150 MM, PARA FIXACAO DE TELHA EM MADEIRA</v>
          </cell>
          <cell r="C3532" t="str">
            <v xml:space="preserve">UN    </v>
          </cell>
          <cell r="D3532">
            <v>1.0900000000000001</v>
          </cell>
        </row>
        <row r="3533">
          <cell r="A3533">
            <v>4305</v>
          </cell>
          <cell r="B3533" t="str">
            <v>PARAFUSO ZINCADO ROSCA SOBERBA, CABECA SEXTAVADA, 5/16 " X 180 MM, PARA FIXACAO DE TELHA EM MADEIRA</v>
          </cell>
          <cell r="C3533" t="str">
            <v xml:space="preserve">UN    </v>
          </cell>
          <cell r="D3533">
            <v>1.26</v>
          </cell>
        </row>
        <row r="3534">
          <cell r="A3534">
            <v>4306</v>
          </cell>
          <cell r="B3534" t="str">
            <v>PARAFUSO ZINCADO ROSCA SOBERBA, CABECA SEXTAVADA, 5/16 " X 200 MM, PARA FIXACAO DE TELHA EM MADEIRA</v>
          </cell>
          <cell r="C3534" t="str">
            <v xml:space="preserve">UN    </v>
          </cell>
          <cell r="D3534">
            <v>1.47</v>
          </cell>
        </row>
        <row r="3535">
          <cell r="A3535">
            <v>4308</v>
          </cell>
          <cell r="B3535" t="str">
            <v>PARAFUSO ZINCADO ROSCA SOBERBA, CABECA SEXTAVADA, 5/16 " X 230 MM, PARA FIXACAO DE TELHA EM MADEIRA</v>
          </cell>
          <cell r="C3535" t="str">
            <v xml:space="preserve">UN    </v>
          </cell>
          <cell r="D3535">
            <v>3.04</v>
          </cell>
        </row>
        <row r="3536">
          <cell r="A3536">
            <v>4302</v>
          </cell>
          <cell r="B3536" t="str">
            <v>PARAFUSO ZINCADO ROSCA SOBERBA, CABECA SEXTAVADA, 5/16 " X 250 MM, PARA FIXACAO DE TELHA EM MADEIRA</v>
          </cell>
          <cell r="C3536" t="str">
            <v xml:space="preserve">UN    </v>
          </cell>
          <cell r="D3536">
            <v>2.2799999999999998</v>
          </cell>
        </row>
        <row r="3537">
          <cell r="A3537">
            <v>4300</v>
          </cell>
          <cell r="B3537" t="str">
            <v>PARAFUSO ZINCADO ROSCA SOBERBA, CABECA SEXTAVADA, 5/16 " X 50 MM, PARA FIXACAO DE TELHA EM MADEIRA</v>
          </cell>
          <cell r="C3537" t="str">
            <v xml:space="preserve">UN    </v>
          </cell>
          <cell r="D3537">
            <v>0.54</v>
          </cell>
        </row>
        <row r="3538">
          <cell r="A3538">
            <v>4301</v>
          </cell>
          <cell r="B3538" t="str">
            <v>PARAFUSO ZINCADO ROSCA SOBERBA, CABECA SEXTAVADA, 5/16 " X 85 MM, PARA FIXACAO DE TELHA EM MADEIRA</v>
          </cell>
          <cell r="C3538" t="str">
            <v xml:space="preserve">UN    </v>
          </cell>
          <cell r="D3538">
            <v>0.66</v>
          </cell>
        </row>
        <row r="3539">
          <cell r="A3539">
            <v>4320</v>
          </cell>
          <cell r="B3539" t="str">
            <v>PARAFUSO ZINCADO 5/16 " X 250 MM PARA FIXACAO DE TELHA DE FIBROCIMENTO CANALETE 49, INCLUI BUCHA NYLON S-10</v>
          </cell>
          <cell r="C3539" t="str">
            <v xml:space="preserve">UN    </v>
          </cell>
          <cell r="D3539">
            <v>2.0099999999999998</v>
          </cell>
        </row>
        <row r="3540">
          <cell r="A3540">
            <v>4318</v>
          </cell>
          <cell r="B3540" t="str">
            <v>PARAFUSO ZINCADO 5/16 " X 85 MM PARA FIXACAO DE TELHA DE FIBROCIMENTO CANALETE 90, INCLUI BUCHA NYLON S-10</v>
          </cell>
          <cell r="C3540" t="str">
            <v xml:space="preserve">UN    </v>
          </cell>
          <cell r="D3540">
            <v>0.98</v>
          </cell>
        </row>
        <row r="3541">
          <cell r="A3541">
            <v>40547</v>
          </cell>
          <cell r="B3541" t="str">
            <v>PARAFUSO ZINCADO, AUTOBROCANTE, FLANGEADO, 4,2 MM X 19 MM</v>
          </cell>
          <cell r="C3541" t="str">
            <v xml:space="preserve">CENTO </v>
          </cell>
          <cell r="D3541">
            <v>18.93</v>
          </cell>
        </row>
        <row r="3542">
          <cell r="A3542">
            <v>11962</v>
          </cell>
          <cell r="B3542" t="str">
            <v>PARAFUSO ZINCADO, SEXTAVADO, COM ROSCA INTEIRA, DIAMETRO 1/4", COMPRIMENTO 1/2"</v>
          </cell>
          <cell r="C3542" t="str">
            <v xml:space="preserve">UN    </v>
          </cell>
          <cell r="D3542">
            <v>0.15</v>
          </cell>
        </row>
        <row r="3543">
          <cell r="A3543">
            <v>4332</v>
          </cell>
          <cell r="B3543" t="str">
            <v>PARAFUSO ZINCADO, SEXTAVADO, COM ROSCA INTEIRA, DIAMETRO 3/8", COMPRIMENTO 2"</v>
          </cell>
          <cell r="C3543" t="str">
            <v xml:space="preserve">UN    </v>
          </cell>
          <cell r="D3543">
            <v>0.75</v>
          </cell>
        </row>
        <row r="3544">
          <cell r="A3544">
            <v>4331</v>
          </cell>
          <cell r="B3544" t="str">
            <v>PARAFUSO ZINCADO, SEXTAVADO, COM ROSCA INTEIRA, DIAMETRO 5/8", COMPRIMENTO 2 1/4"</v>
          </cell>
          <cell r="C3544" t="str">
            <v xml:space="preserve">UN    </v>
          </cell>
          <cell r="D3544">
            <v>2.84</v>
          </cell>
        </row>
        <row r="3545">
          <cell r="A3545">
            <v>4336</v>
          </cell>
          <cell r="B3545" t="str">
            <v>PARAFUSO ZINCADO, SEXTAVADO, COM ROSCA INTEIRA, DIAMETRO 5/8", COMPRIMENTO 3", COM PORCA E ARRUELA DE PRESSAO MEDIA</v>
          </cell>
          <cell r="C3545" t="str">
            <v xml:space="preserve">UN    </v>
          </cell>
          <cell r="D3545">
            <v>3.63</v>
          </cell>
        </row>
        <row r="3546">
          <cell r="A3546">
            <v>13294</v>
          </cell>
          <cell r="B3546" t="str">
            <v>PARAFUSO ZINCADO, SEXTAVADO, COM ROSCA SOBERBA, DIAMETRO 3/8", COMPRIMENTO 80 MM</v>
          </cell>
          <cell r="C3546" t="str">
            <v xml:space="preserve">UN    </v>
          </cell>
          <cell r="D3546">
            <v>1.04</v>
          </cell>
        </row>
        <row r="3547">
          <cell r="A3547">
            <v>11948</v>
          </cell>
          <cell r="B3547" t="str">
            <v>PARAFUSO ZINCADO, SEXTAVADO, COM ROSCA SOBERBA, DIAMETRO 5/16", COMPRIMENTO 40 MM</v>
          </cell>
          <cell r="C3547" t="str">
            <v xml:space="preserve">UN    </v>
          </cell>
          <cell r="D3547">
            <v>0.46</v>
          </cell>
        </row>
        <row r="3548">
          <cell r="A3548">
            <v>4382</v>
          </cell>
          <cell r="B3548" t="str">
            <v>PARAFUSO ZINCADO, SEXTAVADO, COM ROSCA SOBERBA, DIAMETRO 5/16", COMPRIMENTO 80 MM</v>
          </cell>
          <cell r="C3548" t="str">
            <v xml:space="preserve">UN    </v>
          </cell>
          <cell r="D3548">
            <v>0.78</v>
          </cell>
        </row>
        <row r="3549">
          <cell r="A3549">
            <v>4354</v>
          </cell>
          <cell r="B3549" t="str">
            <v>PARAFUSO ZINCADO, SEXTAVADO, GRAU 5, ROSCA INTEIRA, DIAMETRO 1 1/2", COMPRIMENTO 4"</v>
          </cell>
          <cell r="C3549" t="str">
            <v xml:space="preserve">UN    </v>
          </cell>
          <cell r="D3549">
            <v>32.6</v>
          </cell>
        </row>
        <row r="3550">
          <cell r="A3550">
            <v>40839</v>
          </cell>
          <cell r="B3550" t="str">
            <v>PARAFUSO, ASTM A307 - GRAU A, SEXTAVADO, ZINCADO, DIAMETRO 3/8" (9,52 MM), COMPRIMENTO 1 " (25,4 MM)</v>
          </cell>
          <cell r="C3550" t="str">
            <v xml:space="preserve">CENTO </v>
          </cell>
          <cell r="D3550">
            <v>78.459999999999994</v>
          </cell>
        </row>
        <row r="3551">
          <cell r="A3551">
            <v>40552</v>
          </cell>
          <cell r="B3551" t="str">
            <v>PARAFUSO, AUTO ATARRACHANTE, CABECA CHATA, FENDA SIMPLES, 1/4 (6,35 MM) X 25 MM</v>
          </cell>
          <cell r="C3551" t="str">
            <v xml:space="preserve">CENTO </v>
          </cell>
          <cell r="D3551">
            <v>32.46</v>
          </cell>
        </row>
        <row r="3552">
          <cell r="A3552">
            <v>40549</v>
          </cell>
          <cell r="B3552" t="str">
            <v>PARAFUSO, COMUM, ASTM A307, SEXTAVADO, DIAMETRO 1/2" (12,7 MM), COMPRIMENTO 1" (25,4 MM)</v>
          </cell>
          <cell r="C3552" t="str">
            <v xml:space="preserve">CENTO </v>
          </cell>
          <cell r="D3552">
            <v>128.51</v>
          </cell>
        </row>
        <row r="3553">
          <cell r="A3553">
            <v>4385</v>
          </cell>
          <cell r="B3553" t="str">
            <v>PARALELEPIPEDO GRANITICO OU BASALTICO, PARA PAVIMENTACAO, SEM FRETE,  *30 A 35* PECAS POR M2</v>
          </cell>
          <cell r="C3553" t="str">
            <v xml:space="preserve">MIL   </v>
          </cell>
          <cell r="D3553">
            <v>1363.5</v>
          </cell>
        </row>
        <row r="3554">
          <cell r="A3554">
            <v>38397</v>
          </cell>
          <cell r="B3554" t="str">
            <v>PASTA DESENGRAXANTE PARA MAOS</v>
          </cell>
          <cell r="C3554" t="str">
            <v xml:space="preserve">KG    </v>
          </cell>
          <cell r="D3554">
            <v>5.0599999999999996</v>
          </cell>
        </row>
        <row r="3555">
          <cell r="A3555">
            <v>20078</v>
          </cell>
          <cell r="B3555" t="str">
            <v>PASTA LUBRIFICANTE PARA TUBOS E CONEXOES COM JUNTA ELASTICA (USO EM PVC, ACO, POLIETILENO E OUTROS) ( DE *400* G)</v>
          </cell>
          <cell r="C3555" t="str">
            <v xml:space="preserve">UN    </v>
          </cell>
          <cell r="D3555">
            <v>30.2</v>
          </cell>
        </row>
        <row r="3556">
          <cell r="A3556">
            <v>20079</v>
          </cell>
          <cell r="B3556" t="str">
            <v>PASTA LUBRIFICANTE PARA TUBOS E CONEXOES COM JUNTA ELASTICA (USO EM PVC, ACO, POLIETILENO E OUTROS) (POTE DE 3.500* G)</v>
          </cell>
          <cell r="C3556" t="str">
            <v xml:space="preserve">UN    </v>
          </cell>
          <cell r="D3556">
            <v>188.34</v>
          </cell>
        </row>
        <row r="3557">
          <cell r="A3557">
            <v>39897</v>
          </cell>
          <cell r="B3557" t="str">
            <v>PASTA PARA SOLDA DE TUBOS E CONEXOES DE COBRE (EMBALAGEM COM 250 G)</v>
          </cell>
          <cell r="C3557" t="str">
            <v xml:space="preserve">UN    </v>
          </cell>
          <cell r="D3557">
            <v>35.700000000000003</v>
          </cell>
        </row>
        <row r="3558">
          <cell r="A3558">
            <v>118</v>
          </cell>
          <cell r="B3558" t="str">
            <v>PASTA VEDA JUNTAS/ROSCA, LATA DE *500* G, PARA INSTALACOES DE GAS E OUTROS</v>
          </cell>
          <cell r="C3558" t="str">
            <v xml:space="preserve">UN    </v>
          </cell>
          <cell r="D3558">
            <v>114.15</v>
          </cell>
        </row>
        <row r="3559">
          <cell r="A3559">
            <v>4396</v>
          </cell>
          <cell r="B3559" t="str">
            <v>PASTILHA CERAMICA/PORCELANA, REVEST INT/EXT E  PISCINA, CORES BRANCA OU FRIAS, *2,5 X 2,5* CM</v>
          </cell>
          <cell r="C3559" t="str">
            <v xml:space="preserve">M2    </v>
          </cell>
          <cell r="D3559">
            <v>142.5</v>
          </cell>
        </row>
        <row r="3560">
          <cell r="A3560">
            <v>36881</v>
          </cell>
          <cell r="B3560" t="str">
            <v>PASTILHA CERAMICA/PORCELANA, REVEST INT/EXT E  PISCINA, CORES FRIAS *5 X 5* CM</v>
          </cell>
          <cell r="C3560" t="str">
            <v xml:space="preserve">M2    </v>
          </cell>
          <cell r="D3560">
            <v>127.34</v>
          </cell>
        </row>
        <row r="3561">
          <cell r="A3561">
            <v>36882</v>
          </cell>
          <cell r="B3561" t="str">
            <v>PASTILHA CERAMICA/PORCELANA, REVEST INT/EXT E  PISCINA, CORES QUENTES *5 X 5* CM</v>
          </cell>
          <cell r="C3561" t="str">
            <v xml:space="preserve">M2    </v>
          </cell>
          <cell r="D3561">
            <v>148.56</v>
          </cell>
        </row>
        <row r="3562">
          <cell r="A3562">
            <v>4397</v>
          </cell>
          <cell r="B3562" t="str">
            <v>PASTILHA CERAMICA/PORCELANA, REVEST INT/EXT E  PISCINA, CORES QUENTES, *2,5 X 2,5* CM</v>
          </cell>
          <cell r="C3562" t="str">
            <v xml:space="preserve">M2    </v>
          </cell>
          <cell r="D3562">
            <v>231.08</v>
          </cell>
        </row>
        <row r="3563">
          <cell r="A3563">
            <v>34754</v>
          </cell>
          <cell r="B3563" t="str">
            <v>PASTILHA DE VIDRO CRISTAL, NACIONAL, REVEST INT/EXT E PISCINA, TODAS AS CORES, E MAIOR OU IGUAL A 5 MM  *2,0 X 2,0* CM</v>
          </cell>
          <cell r="C3563" t="str">
            <v xml:space="preserve">M2    </v>
          </cell>
          <cell r="D3563">
            <v>427.88</v>
          </cell>
        </row>
        <row r="3564">
          <cell r="A3564">
            <v>25962</v>
          </cell>
          <cell r="B3564" t="str">
            <v>PASTILHA DE VIDRO PIGMENTADA *2,0 X 2,0* CM, NACIONAL, PARA REVESTIMENTO INTERNO/EXTERNO E PISCINA, BRANCA OU CORES FRIAS, ESPESSURA MAIOR OU IGUAL A 5 MM</v>
          </cell>
          <cell r="C3564" t="str">
            <v xml:space="preserve">M2    </v>
          </cell>
          <cell r="D3564">
            <v>271</v>
          </cell>
        </row>
        <row r="3565">
          <cell r="A3565">
            <v>34752</v>
          </cell>
          <cell r="B3565" t="str">
            <v>PASTILHA DE VIDRO PIGMENTADA, NACIONAL, REVEST INT/EXT E PISCINA, CORES QUENTES, ESPESSURA MAIOR OU IGUAL A 5 MM  *2,0 X 2,0* CM</v>
          </cell>
          <cell r="C3565" t="str">
            <v xml:space="preserve">M2    </v>
          </cell>
          <cell r="D3565">
            <v>477.23</v>
          </cell>
        </row>
        <row r="3566">
          <cell r="A3566">
            <v>4751</v>
          </cell>
          <cell r="B3566" t="str">
            <v>PASTILHEIRO</v>
          </cell>
          <cell r="C3566" t="str">
            <v xml:space="preserve">H     </v>
          </cell>
          <cell r="D3566">
            <v>17.260000000000002</v>
          </cell>
        </row>
        <row r="3567">
          <cell r="A3567">
            <v>41066</v>
          </cell>
          <cell r="B3567" t="str">
            <v>PASTILHEIRO (MENSALISTA)</v>
          </cell>
          <cell r="C3567" t="str">
            <v xml:space="preserve">MES   </v>
          </cell>
          <cell r="D3567">
            <v>3063.26</v>
          </cell>
        </row>
        <row r="3568">
          <cell r="A3568">
            <v>39604</v>
          </cell>
          <cell r="B3568" t="str">
            <v>PATCH CORD, CATEGORIA 5 E, EXTENSAO DE 1,50 M</v>
          </cell>
          <cell r="C3568" t="str">
            <v xml:space="preserve">UN    </v>
          </cell>
          <cell r="D3568">
            <v>8.8800000000000008</v>
          </cell>
        </row>
        <row r="3569">
          <cell r="A3569">
            <v>39605</v>
          </cell>
          <cell r="B3569" t="str">
            <v>PATCH CORD, CATEGORIA 5 E, EXTENSAO DE 2,50 M</v>
          </cell>
          <cell r="C3569" t="str">
            <v xml:space="preserve">UN    </v>
          </cell>
          <cell r="D3569">
            <v>12.33</v>
          </cell>
        </row>
        <row r="3570">
          <cell r="A3570">
            <v>39606</v>
          </cell>
          <cell r="B3570" t="str">
            <v>PATCH CORD, CATEGORIA 6, EXTENSAO DE 1,50 M</v>
          </cell>
          <cell r="C3570" t="str">
            <v xml:space="preserve">UN    </v>
          </cell>
          <cell r="D3570">
            <v>15.66</v>
          </cell>
        </row>
        <row r="3571">
          <cell r="A3571">
            <v>39607</v>
          </cell>
          <cell r="B3571" t="str">
            <v>PATCH CORD, CATEGORIA 6, EXTENSAO DE 2,50 M</v>
          </cell>
          <cell r="C3571" t="str">
            <v xml:space="preserve">UN    </v>
          </cell>
          <cell r="D3571">
            <v>17.96</v>
          </cell>
        </row>
        <row r="3572">
          <cell r="A3572">
            <v>39594</v>
          </cell>
          <cell r="B3572" t="str">
            <v>PATCH PANEL, 24 PORTAS, CATEGORIA 5E, COM RACKS DE 19" E 1 U DE ALTURA</v>
          </cell>
          <cell r="C3572" t="str">
            <v xml:space="preserve">UN    </v>
          </cell>
          <cell r="D3572">
            <v>170.06</v>
          </cell>
        </row>
        <row r="3573">
          <cell r="A3573">
            <v>39596</v>
          </cell>
          <cell r="B3573" t="str">
            <v>PATCH PANEL, 24 PORTAS, CATEGORIA 6, COM RACKS DE 19" E 1 U DE ALTURA</v>
          </cell>
          <cell r="C3573" t="str">
            <v xml:space="preserve">UN    </v>
          </cell>
          <cell r="D3573">
            <v>296.41000000000003</v>
          </cell>
        </row>
        <row r="3574">
          <cell r="A3574">
            <v>39595</v>
          </cell>
          <cell r="B3574" t="str">
            <v>PATCH PANEL, 48 PORTAS, CATEGORIA 5E, COM RACKS DE 19" E 2 U DE ALTURA</v>
          </cell>
          <cell r="C3574" t="str">
            <v xml:space="preserve">UN    </v>
          </cell>
          <cell r="D3574">
            <v>248.81</v>
          </cell>
        </row>
        <row r="3575">
          <cell r="A3575">
            <v>39597</v>
          </cell>
          <cell r="B3575" t="str">
            <v>PATCH PANEL, 48 PORTAS, CATEGORIA 6, COM RACKS DE 19" E 2 U DE ALTURA</v>
          </cell>
          <cell r="C3575" t="str">
            <v xml:space="preserve">UN    </v>
          </cell>
          <cell r="D3575">
            <v>399.72</v>
          </cell>
        </row>
        <row r="3576">
          <cell r="A3576">
            <v>20209</v>
          </cell>
          <cell r="B3576" t="str">
            <v>PECA DE MADEIRA APARELHADA *7,5 X 7,5* CM (3 X 3 ") MACARANDUBA, ANGELIM OU EQUIVALENTE DA REGIAO</v>
          </cell>
          <cell r="C3576" t="str">
            <v xml:space="preserve">M     </v>
          </cell>
          <cell r="D3576">
            <v>9.5399999999999991</v>
          </cell>
        </row>
        <row r="3577">
          <cell r="A3577">
            <v>4433</v>
          </cell>
          <cell r="B3577" t="str">
            <v>PECA DE MADEIRA NAO APARELHADA *7,5 X 7,5* CM (3 X 3 ") MACARANDUBA, ANGELIM OU EQUIVALENTE DA REGIAO</v>
          </cell>
          <cell r="C3577" t="str">
            <v xml:space="preserve">M     </v>
          </cell>
          <cell r="D3577">
            <v>6.94</v>
          </cell>
        </row>
        <row r="3578">
          <cell r="A3578">
            <v>10731</v>
          </cell>
          <cell r="B3578" t="str">
            <v>PEDRA ARDOSIA, CINZA, *40 X 40* CM, E= *1 CM</v>
          </cell>
          <cell r="C3578" t="str">
            <v xml:space="preserve">M2    </v>
          </cell>
          <cell r="D3578">
            <v>24.65</v>
          </cell>
        </row>
        <row r="3579">
          <cell r="A3579">
            <v>4704</v>
          </cell>
          <cell r="B3579" t="str">
            <v>PEDRA ARDOSIA, CINZA, 20  X  40 CM,  E=  *1 CM</v>
          </cell>
          <cell r="C3579" t="str">
            <v xml:space="preserve">M2    </v>
          </cell>
          <cell r="D3579">
            <v>22.24</v>
          </cell>
        </row>
        <row r="3580">
          <cell r="A3580">
            <v>10730</v>
          </cell>
          <cell r="B3580" t="str">
            <v>PEDRA ARDOSIA, CINZA, 30  X  30,  E= *1 CM</v>
          </cell>
          <cell r="C3580" t="str">
            <v xml:space="preserve">M2    </v>
          </cell>
          <cell r="D3580">
            <v>23.83</v>
          </cell>
        </row>
        <row r="3581">
          <cell r="A3581">
            <v>4729</v>
          </cell>
          <cell r="B3581" t="str">
            <v>PEDRA BRITADA GRADUADA, CLASSIFICADA (POSTO PEDREIRA/FORNECEDOR, SEM FRETE)</v>
          </cell>
          <cell r="C3581" t="str">
            <v xml:space="preserve">M3    </v>
          </cell>
          <cell r="D3581">
            <v>93.42</v>
          </cell>
        </row>
        <row r="3582">
          <cell r="A3582">
            <v>4720</v>
          </cell>
          <cell r="B3582" t="str">
            <v>PEDRA BRITADA N. 0, OU PEDRISCO (4,8 A 9,5 MM) POSTO PEDREIRA/FORNECEDOR, SEM FRETE</v>
          </cell>
          <cell r="C3582" t="str">
            <v xml:space="preserve">M3    </v>
          </cell>
          <cell r="D3582">
            <v>102.15</v>
          </cell>
        </row>
        <row r="3583">
          <cell r="A3583">
            <v>4721</v>
          </cell>
          <cell r="B3583" t="str">
            <v>PEDRA BRITADA N. 1 (9,5 a 19 MM) POSTO PEDREIRA/FORNECEDOR, SEM FRETE</v>
          </cell>
          <cell r="C3583" t="str">
            <v xml:space="preserve">M3    </v>
          </cell>
          <cell r="D3583">
            <v>80</v>
          </cell>
        </row>
        <row r="3584">
          <cell r="A3584">
            <v>4718</v>
          </cell>
          <cell r="B3584" t="str">
            <v>PEDRA BRITADA N. 2 (19 A 38 MM) POSTO PEDREIRA/FORNECEDOR, SEM FRETE</v>
          </cell>
          <cell r="C3584" t="str">
            <v xml:space="preserve">M3    </v>
          </cell>
          <cell r="D3584">
            <v>80</v>
          </cell>
        </row>
        <row r="3585">
          <cell r="A3585">
            <v>4722</v>
          </cell>
          <cell r="B3585" t="str">
            <v>PEDRA BRITADA N. 3 (38 A 50 MM) POSTO PEDREIRA/FORNECEDOR, SEM FRETE</v>
          </cell>
          <cell r="C3585" t="str">
            <v xml:space="preserve">M3    </v>
          </cell>
          <cell r="D3585">
            <v>80</v>
          </cell>
        </row>
        <row r="3586">
          <cell r="A3586">
            <v>4723</v>
          </cell>
          <cell r="B3586" t="str">
            <v>PEDRA BRITADA N. 4 (50 A 76 MM) POSTO PEDREIRA/FORNECEDOR, SEM FRETE</v>
          </cell>
          <cell r="C3586" t="str">
            <v xml:space="preserve">M3    </v>
          </cell>
          <cell r="D3586">
            <v>87.28</v>
          </cell>
        </row>
        <row r="3587">
          <cell r="A3587">
            <v>4727</v>
          </cell>
          <cell r="B3587" t="str">
            <v>PEDRA BRITADA N. 5 (76 A 100 MM) POSTO PEDREIRA/FORNECEDOR, SEM FRETE</v>
          </cell>
          <cell r="C3587" t="str">
            <v xml:space="preserve">M3    </v>
          </cell>
          <cell r="D3587">
            <v>89.7</v>
          </cell>
        </row>
        <row r="3588">
          <cell r="A3588">
            <v>4748</v>
          </cell>
          <cell r="B3588" t="str">
            <v>PEDRA BRITADA OU BICA CORRIDA, NAO CLASSIFICADA (POSTO PEDREIRA/FORNECEDOR, SEM FRETE)</v>
          </cell>
          <cell r="C3588" t="str">
            <v xml:space="preserve">M3    </v>
          </cell>
          <cell r="D3588">
            <v>86.55</v>
          </cell>
        </row>
        <row r="3589">
          <cell r="A3589">
            <v>4730</v>
          </cell>
          <cell r="B3589" t="str">
            <v>PEDRA DE MAO OU PEDRA RACHAO PARA ARRIMO/FUNDACAO (POSTO PEDREIRA/FORNECEDOR, SEM FRETE)</v>
          </cell>
          <cell r="C3589" t="str">
            <v xml:space="preserve">M3    </v>
          </cell>
          <cell r="D3589">
            <v>83.64</v>
          </cell>
        </row>
        <row r="3590">
          <cell r="A3590">
            <v>13186</v>
          </cell>
          <cell r="B3590" t="str">
            <v>PEDRA GRANITICA OU BASALTICA IRREGULAR, FAIXA GRANULOMETRICA 100 A 150 MM PARA PAVIMENTACAO OU CALCAMENTO POLIEDRICO, POSTO PEDREIRA / FORNECEDOR (SEM FRETE)</v>
          </cell>
          <cell r="C3590" t="str">
            <v xml:space="preserve">M3    </v>
          </cell>
          <cell r="D3590">
            <v>81.09</v>
          </cell>
        </row>
        <row r="3591">
          <cell r="A3591">
            <v>10737</v>
          </cell>
          <cell r="B3591" t="str">
            <v>PEDRA GRANITICA OU BASALTO, CACO, RETALHO, CAVACO, TIPO MIRACEMA, MADEIRA, PADUANA, RACHINHA, SANTA ISABEL OU OUTRAS SIMILARES, E=  *1,0 A *2,0 CM</v>
          </cell>
          <cell r="C3591" t="str">
            <v xml:space="preserve">M2    </v>
          </cell>
          <cell r="D3591">
            <v>77.459999999999994</v>
          </cell>
        </row>
        <row r="3592">
          <cell r="A3592">
            <v>10734</v>
          </cell>
          <cell r="B3592" t="str">
            <v>PEDRA GRANITICA, SERRADA, TIPO MIRACEMA, MADEIRA, PADUANA, RACHINHA, SANTA ISABEL OU OUTRAS SIMILARES, *11,5 X  *23 CM, E=  *1,0 A *2,0 CM</v>
          </cell>
          <cell r="C3592" t="str">
            <v xml:space="preserve">M2    </v>
          </cell>
          <cell r="D3592">
            <v>46.08</v>
          </cell>
        </row>
        <row r="3593">
          <cell r="A3593">
            <v>4708</v>
          </cell>
          <cell r="B3593" t="str">
            <v>PEDRA PORTUGUESA  OU PETIT PAVE, BRANCA OU PRETA</v>
          </cell>
          <cell r="C3593" t="str">
            <v xml:space="preserve">M2    </v>
          </cell>
          <cell r="D3593">
            <v>89.38</v>
          </cell>
        </row>
        <row r="3594">
          <cell r="A3594">
            <v>4712</v>
          </cell>
          <cell r="B3594" t="str">
            <v>PEDRA QUARTZITO OU CALCARIO LAMINADO, CACO, TIPO CARIRI, ITACOLOMI, LAGOA SANTA, LUMINARIA, PIRENOPOLIS, SAO TOME OU OUTRAS SIMILARES DA REGIAO, E=  *1,5 A *2,5 CM</v>
          </cell>
          <cell r="C3594" t="str">
            <v xml:space="preserve">M2    </v>
          </cell>
          <cell r="D3594">
            <v>43.69</v>
          </cell>
        </row>
        <row r="3595">
          <cell r="A3595">
            <v>4710</v>
          </cell>
          <cell r="B3595" t="str">
            <v>PEDRA QUARTZITO OU CALCARIO LAMINADO, SERRADA, TIPO CARIRI, ITACOLOMI, LAGOA SANTA, LUMINARIA, PIRENOPOLIS, SAO TOME OU OUTRAS SIMILARES DA REGIAO, *20 X *40 CM, E=  *1,5 A *2,5 CM</v>
          </cell>
          <cell r="C3595" t="str">
            <v xml:space="preserve">M2    </v>
          </cell>
          <cell r="D3595">
            <v>140.13</v>
          </cell>
        </row>
        <row r="3596">
          <cell r="A3596">
            <v>4746</v>
          </cell>
          <cell r="B3596" t="str">
            <v>PEDREGULHO OU PICARRA DE JAZIDA, AO NATURAL, PARA BASE DE PAVIMENTACAO (RETIRADO NA JAZIDA, SEM TRANSPORTE)</v>
          </cell>
          <cell r="C3596" t="str">
            <v xml:space="preserve">M3    </v>
          </cell>
          <cell r="D3596">
            <v>77.58</v>
          </cell>
        </row>
        <row r="3597">
          <cell r="A3597">
            <v>4750</v>
          </cell>
          <cell r="B3597" t="str">
            <v>PEDREIRO</v>
          </cell>
          <cell r="C3597" t="str">
            <v xml:space="preserve">H     </v>
          </cell>
          <cell r="D3597">
            <v>14.81</v>
          </cell>
        </row>
        <row r="3598">
          <cell r="A3598">
            <v>41065</v>
          </cell>
          <cell r="B3598" t="str">
            <v>PEDREIRO (MENSALISTA)</v>
          </cell>
          <cell r="C3598" t="str">
            <v xml:space="preserve">MES   </v>
          </cell>
          <cell r="D3598">
            <v>2626.51</v>
          </cell>
        </row>
        <row r="3599">
          <cell r="A3599">
            <v>34747</v>
          </cell>
          <cell r="B3599" t="str">
            <v>PEITORIL EM MARMORE, POLIDO, BRANCO COMUM, L= *15* CM, E=  *2,0* CM, COM PINGADEIRA</v>
          </cell>
          <cell r="C3599" t="str">
            <v xml:space="preserve">M     </v>
          </cell>
          <cell r="D3599">
            <v>76.510000000000005</v>
          </cell>
        </row>
        <row r="3600">
          <cell r="A3600">
            <v>4826</v>
          </cell>
          <cell r="B3600" t="str">
            <v>PEITORIL EM MARMORE, POLIDO, BRANCO COMUM, L= *15* CM, E=  *3* CM, CORTE RETO</v>
          </cell>
          <cell r="C3600" t="str">
            <v xml:space="preserve">M     </v>
          </cell>
          <cell r="D3600">
            <v>82.27</v>
          </cell>
        </row>
        <row r="3601">
          <cell r="A3601">
            <v>41975</v>
          </cell>
          <cell r="B3601" t="str">
            <v>PEITORIL PRE-MOLDADO EM GRANILITE, MARMORITE OU GRANITINA, L = *15* CM</v>
          </cell>
          <cell r="C3601" t="str">
            <v xml:space="preserve">M2    </v>
          </cell>
          <cell r="D3601">
            <v>61.73</v>
          </cell>
        </row>
        <row r="3602">
          <cell r="A3602">
            <v>4825</v>
          </cell>
          <cell r="B3602" t="str">
            <v>PEITORIL/ SOLEIRA EM MARMORE, POLIDO, BRANCO COMUM, L= *25* CM, E=  *3* CM, CORTE RETO</v>
          </cell>
          <cell r="C3602" t="str">
            <v xml:space="preserve">M     </v>
          </cell>
          <cell r="D3602">
            <v>113.88</v>
          </cell>
        </row>
        <row r="3603">
          <cell r="A3603">
            <v>34744</v>
          </cell>
          <cell r="B3603" t="str">
            <v>PELICULA REFLETIVA, GT 7 ANOS PARA SINALIZACAO VERTICAL</v>
          </cell>
          <cell r="C3603" t="str">
            <v xml:space="preserve">M2    </v>
          </cell>
          <cell r="D3603">
            <v>27.9</v>
          </cell>
        </row>
        <row r="3604">
          <cell r="A3604">
            <v>39430</v>
          </cell>
          <cell r="B3604" t="str">
            <v>PENDURAL OU PRESILHA REGULADORA, EM ACO GALVANIZADO, COM CORPO, MOLA E REBITE, PARA PERFIL TIPO CANALETA DE ESTRUTURA EM FORROS DRYWALL</v>
          </cell>
          <cell r="C3604" t="str">
            <v xml:space="preserve">UN    </v>
          </cell>
          <cell r="D3604">
            <v>1.48</v>
          </cell>
        </row>
        <row r="3605">
          <cell r="A3605">
            <v>39573</v>
          </cell>
          <cell r="B3605" t="str">
            <v>PENDURAL OU REGULADOR, COM MOLA, EM ACO GALVANIZADO, PARA PERFIL TIPO T CLICADO DE FORROS REMOVIVEL</v>
          </cell>
          <cell r="C3605" t="str">
            <v xml:space="preserve">UN    </v>
          </cell>
          <cell r="D3605">
            <v>1.46</v>
          </cell>
        </row>
        <row r="3606">
          <cell r="A3606">
            <v>38410</v>
          </cell>
          <cell r="B3606" t="str">
            <v>PENEIRA ROTATIVA COM MOTOR ELETRICO TRIFASICO DE 2 CV, CILINDRO DE 1 M X 0,60 M, COM FUROS DE 3,17 MM</v>
          </cell>
          <cell r="C3606" t="str">
            <v xml:space="preserve">UN    </v>
          </cell>
          <cell r="D3606">
            <v>10627.13</v>
          </cell>
        </row>
        <row r="3607">
          <cell r="A3607">
            <v>41596</v>
          </cell>
          <cell r="B3607" t="str">
            <v>PERFIL "H" DE ACO LAMINADO, "HP" 250 X 62,0</v>
          </cell>
          <cell r="C3607" t="str">
            <v xml:space="preserve">KG    </v>
          </cell>
          <cell r="D3607">
            <v>6.38</v>
          </cell>
        </row>
        <row r="3608">
          <cell r="A3608">
            <v>41598</v>
          </cell>
          <cell r="B3608" t="str">
            <v>PERFIL "H" DE ACO LAMINADO, "HP" 310 X 79,0</v>
          </cell>
          <cell r="C3608" t="str">
            <v xml:space="preserve">KG    </v>
          </cell>
          <cell r="D3608">
            <v>6.38</v>
          </cell>
        </row>
        <row r="3609">
          <cell r="A3609">
            <v>41594</v>
          </cell>
          <cell r="B3609" t="str">
            <v>PERFIL "H" DE ACO LAMINADO, "W" 200 X 35,9</v>
          </cell>
          <cell r="C3609" t="str">
            <v xml:space="preserve">KG    </v>
          </cell>
          <cell r="D3609">
            <v>6.48</v>
          </cell>
        </row>
        <row r="3610">
          <cell r="A3610">
            <v>43663</v>
          </cell>
          <cell r="B3610" t="str">
            <v>PERFIL "I" DE ACO LAMINADO, ABAS INCLINADAS, "I" 102 X 12,7</v>
          </cell>
          <cell r="C3610" t="str">
            <v xml:space="preserve">KG    </v>
          </cell>
          <cell r="D3610">
            <v>5.34</v>
          </cell>
        </row>
        <row r="3611">
          <cell r="A3611">
            <v>4766</v>
          </cell>
          <cell r="B3611" t="str">
            <v>PERFIL "I" DE ACO LAMINADO, ABAS INCLINADAS, "I" 152 X 22</v>
          </cell>
          <cell r="C3611" t="str">
            <v xml:space="preserve">KG    </v>
          </cell>
          <cell r="D3611">
            <v>5.0199999999999996</v>
          </cell>
        </row>
        <row r="3612">
          <cell r="A3612">
            <v>43664</v>
          </cell>
          <cell r="B3612" t="str">
            <v>PERFIL "I" DE ACO LAMINADO, ABAS INCLINADAS, "I" 203 X 34,3</v>
          </cell>
          <cell r="C3612" t="str">
            <v xml:space="preserve">KG    </v>
          </cell>
          <cell r="D3612">
            <v>5.36</v>
          </cell>
        </row>
        <row r="3613">
          <cell r="A3613">
            <v>43082</v>
          </cell>
          <cell r="B3613" t="str">
            <v>PERFIL "I" DE ACO LAMINADO, ABAS PARALELAS, "W", QUALQUER BITOLA</v>
          </cell>
          <cell r="C3613" t="str">
            <v xml:space="preserve">KG    </v>
          </cell>
          <cell r="D3613">
            <v>5.85</v>
          </cell>
        </row>
        <row r="3614">
          <cell r="A3614">
            <v>43665</v>
          </cell>
          <cell r="B3614" t="str">
            <v>PERFIL "U" DE ACO LAMINADO, "U" 102 X 9,3</v>
          </cell>
          <cell r="C3614" t="str">
            <v xml:space="preserve">KG    </v>
          </cell>
          <cell r="D3614">
            <v>5.0199999999999996</v>
          </cell>
        </row>
        <row r="3615">
          <cell r="A3615">
            <v>10966</v>
          </cell>
          <cell r="B3615" t="str">
            <v>PERFIL "U" DE ACO LAMINADO, "U" 152 X 15,6</v>
          </cell>
          <cell r="C3615" t="str">
            <v xml:space="preserve">KG    </v>
          </cell>
          <cell r="D3615">
            <v>5.34</v>
          </cell>
        </row>
        <row r="3616">
          <cell r="A3616">
            <v>43692</v>
          </cell>
          <cell r="B3616" t="str">
            <v>PERFIL "U" EM CHAPA ACO DOBRADA, E = 3,04 MM, H = 20 CM, ABAS = 5 CM (4,47 KG/M)</v>
          </cell>
          <cell r="C3616" t="str">
            <v xml:space="preserve">KG    </v>
          </cell>
          <cell r="D3616">
            <v>5.34</v>
          </cell>
        </row>
        <row r="3617">
          <cell r="A3617">
            <v>43083</v>
          </cell>
          <cell r="B3617" t="str">
            <v>PERFIL "U" ENRIJECIDO DE ACO GALVANIZADO, DOBRADO, 150 X 60 X 20 MM, E = 3,00 MM OU 200 X 75 X 25 MM, E = 3,75 MM</v>
          </cell>
          <cell r="C3617" t="str">
            <v xml:space="preserve">KG    </v>
          </cell>
          <cell r="D3617">
            <v>5.0599999999999996</v>
          </cell>
        </row>
        <row r="3618">
          <cell r="A3618">
            <v>40535</v>
          </cell>
          <cell r="B3618" t="str">
            <v>PERFIL "U" SIMPLES DE ACO GALVANIZADO DOBRADO 75 X *40* MM, E = 2,65 MM</v>
          </cell>
          <cell r="C3618" t="str">
            <v xml:space="preserve">KG    </v>
          </cell>
          <cell r="D3618">
            <v>5.0599999999999996</v>
          </cell>
        </row>
        <row r="3619">
          <cell r="A3619">
            <v>39427</v>
          </cell>
          <cell r="B3619" t="str">
            <v>PERFIL CANALETA, FORMATO C, EM ACO ZINCADO, PARA ESTRUTURA FORRO DRYWALL, E = 0,5 MM, *46 X 18* (L X H), COMPRIMENTO 3 M</v>
          </cell>
          <cell r="C3619" t="str">
            <v xml:space="preserve">M     </v>
          </cell>
          <cell r="D3619">
            <v>3.93</v>
          </cell>
        </row>
        <row r="3620">
          <cell r="A3620">
            <v>39424</v>
          </cell>
          <cell r="B3620" t="str">
            <v>PERFIL CANTONEIRA L, LISA, EM ACO, 25 X 30 MM, E = 0,5 MM, PARA ESTRUTURA DRYWALL</v>
          </cell>
          <cell r="C3620" t="str">
            <v xml:space="preserve">M     </v>
          </cell>
          <cell r="D3620">
            <v>2.34</v>
          </cell>
        </row>
        <row r="3621">
          <cell r="A3621">
            <v>39425</v>
          </cell>
          <cell r="B3621" t="str">
            <v>PERFIL CANTONEIRA L, PERFURADA, EM ACO, 23 X 23 MM, E = 0,5 MM, PARA ESTRUTURA DRYWALL</v>
          </cell>
          <cell r="C3621" t="str">
            <v xml:space="preserve">M     </v>
          </cell>
          <cell r="D3621">
            <v>2.31</v>
          </cell>
        </row>
        <row r="3622">
          <cell r="A3622">
            <v>40664</v>
          </cell>
          <cell r="B3622" t="str">
            <v>PERFIL CARTOLA DE ACO GALVANIZADO, *20 X 30 X 10* MM, E =  0,8 MM</v>
          </cell>
          <cell r="C3622" t="str">
            <v xml:space="preserve">KG    </v>
          </cell>
          <cell r="D3622">
            <v>10.39</v>
          </cell>
        </row>
        <row r="3623">
          <cell r="A3623">
            <v>34360</v>
          </cell>
          <cell r="B3623" t="str">
            <v>PERFIL DE ALUMINIO ANODIZADO</v>
          </cell>
          <cell r="C3623" t="str">
            <v xml:space="preserve">KG    </v>
          </cell>
          <cell r="D3623">
            <v>29.63</v>
          </cell>
        </row>
        <row r="3624">
          <cell r="A3624">
            <v>20259</v>
          </cell>
          <cell r="B3624" t="str">
            <v>PERFIL DE BORRACHA EPDM MACICO *12 X 15* MM PARA ESQUADRIAS</v>
          </cell>
          <cell r="C3624" t="str">
            <v xml:space="preserve">M     </v>
          </cell>
          <cell r="D3624">
            <v>8.8000000000000007</v>
          </cell>
        </row>
        <row r="3625">
          <cell r="A3625">
            <v>14077</v>
          </cell>
          <cell r="B3625" t="str">
            <v>PERFIL ELASTOMERICO PRE-FORMADO EM EPMD, PARA JUNTA DE DILATACAO DE PISOS COM POUCA SOLICITACAO, 15 MM DE LARGURA, MOVIMENTACAO DE *11 A 19* MM</v>
          </cell>
          <cell r="C3625" t="str">
            <v xml:space="preserve">M     </v>
          </cell>
          <cell r="D3625">
            <v>134.69</v>
          </cell>
        </row>
        <row r="3626">
          <cell r="A3626">
            <v>3678</v>
          </cell>
          <cell r="B3626" t="str">
            <v>PERFIL ELASTOMERICO PRE-FORMADO EM EPMD, PARA JUNTA DE DILATACAO DE USO GERAL EM MEDIAS SOLICITACOES, 8 MM DE LARGURA, MOVIMENTACAO DE *5 A 11* MM</v>
          </cell>
          <cell r="C3626" t="str">
            <v xml:space="preserve">M     </v>
          </cell>
          <cell r="D3626">
            <v>60.88</v>
          </cell>
        </row>
        <row r="3627">
          <cell r="A3627">
            <v>39418</v>
          </cell>
          <cell r="B3627" t="str">
            <v>PERFIL GUIA, FORMATO U, EM ACO ZINCADO, PARA ESTRUTURA PAREDE DRYWALL, E = 0,5 MM, 48  X 3000 MM (L X C)</v>
          </cell>
          <cell r="C3627" t="str">
            <v xml:space="preserve">M     </v>
          </cell>
          <cell r="D3627">
            <v>4.3899999999999997</v>
          </cell>
        </row>
        <row r="3628">
          <cell r="A3628">
            <v>39419</v>
          </cell>
          <cell r="B3628" t="str">
            <v>PERFIL GUIA, FORMATO U, EM ACO ZINCADO, PARA ESTRUTURA PAREDE DRYWALL, E = 0,5 MM, 70 X 3000 MM (L X C)</v>
          </cell>
          <cell r="C3628" t="str">
            <v xml:space="preserve">M     </v>
          </cell>
          <cell r="D3628">
            <v>5.35</v>
          </cell>
        </row>
        <row r="3629">
          <cell r="A3629">
            <v>39420</v>
          </cell>
          <cell r="B3629" t="str">
            <v>PERFIL GUIA, FORMATO U, EM ACO ZINCADO, PARA ESTRUTURA PAREDE DRYWALL, E = 0,5 MM, 90 X 3000 MM (L X C)</v>
          </cell>
          <cell r="C3629" t="str">
            <v xml:space="preserve">M     </v>
          </cell>
          <cell r="D3629">
            <v>5.9</v>
          </cell>
        </row>
        <row r="3630">
          <cell r="A3630">
            <v>39571</v>
          </cell>
          <cell r="B3630" t="str">
            <v>PERFIL LONGARINA (PRINCIPAL), T CLICADO, EM ACO, BRANCO, PARA FORRO REMOVIVEL, 24 X 3750 MM (L X C)</v>
          </cell>
          <cell r="C3630" t="str">
            <v xml:space="preserve">M     </v>
          </cell>
          <cell r="D3630">
            <v>3.57</v>
          </cell>
        </row>
        <row r="3631">
          <cell r="A3631">
            <v>39421</v>
          </cell>
          <cell r="B3631" t="str">
            <v>PERFIL MONTANTE, FORMATO C, EM ACO ZINCADO, PARA ESTRUTURA PAREDE DRYWALL, E = 0,5 MM, 48 X 3000 MM (L X C)</v>
          </cell>
          <cell r="C3631" t="str">
            <v xml:space="preserve">M     </v>
          </cell>
          <cell r="D3631">
            <v>5.2</v>
          </cell>
        </row>
        <row r="3632">
          <cell r="A3632">
            <v>39422</v>
          </cell>
          <cell r="B3632" t="str">
            <v>PERFIL MONTANTE, FORMATO C, EM ACO ZINCADO, PARA ESTRUTURA PAREDE DRYWALL, E = 0,5 MM, 70 X 3000 MM (L X C)</v>
          </cell>
          <cell r="C3632" t="str">
            <v xml:space="preserve">M     </v>
          </cell>
          <cell r="D3632">
            <v>6.07</v>
          </cell>
        </row>
        <row r="3633">
          <cell r="A3633">
            <v>39423</v>
          </cell>
          <cell r="B3633" t="str">
            <v>PERFIL MONTANTE, FORMATO C, EM ACO ZINCADO, PARA ESTRUTURA PAREDE DRYWALL, E = 0,5 MM, 90 X 3000 MM (L X C)</v>
          </cell>
          <cell r="C3633" t="str">
            <v xml:space="preserve">M     </v>
          </cell>
          <cell r="D3633">
            <v>7.04</v>
          </cell>
        </row>
        <row r="3634">
          <cell r="A3634">
            <v>39426</v>
          </cell>
          <cell r="B3634" t="str">
            <v>PERFIL RODAPE DE IMPERMEABILIZACAO, FORMATO L, EM ACO ZINCADO, PARA ESTRUTURA DRYWALL, E = 0,5 MM, 220 X 3000 MM (H X C)</v>
          </cell>
          <cell r="C3634" t="str">
            <v xml:space="preserve">M     </v>
          </cell>
          <cell r="D3634">
            <v>15.84</v>
          </cell>
        </row>
        <row r="3635">
          <cell r="A3635">
            <v>39429</v>
          </cell>
          <cell r="B3635" t="str">
            <v>PERFIL TABICA ABERTA, PERFURADA, FORMATO Z, EM ACO GALVANIZADO NATURAL, LARGURA APROXIMADA 40 MM, PARA ESTRUTURA FORRO DRYWALL</v>
          </cell>
          <cell r="C3635" t="str">
            <v xml:space="preserve">M     </v>
          </cell>
          <cell r="D3635">
            <v>4.99</v>
          </cell>
        </row>
        <row r="3636">
          <cell r="A3636">
            <v>39428</v>
          </cell>
          <cell r="B3636" t="str">
            <v>PERFIL TABICA FECHADA, LISA, FORMATO Z, EM ACO GALVANIZADO NATURAL, LARGURA TOTAL NA HORIZONTAL *40* MM, PARA ESTRUTURA FORRO DRYWALL</v>
          </cell>
          <cell r="C3636" t="str">
            <v xml:space="preserve">M     </v>
          </cell>
          <cell r="D3636">
            <v>3.82</v>
          </cell>
        </row>
        <row r="3637">
          <cell r="A3637">
            <v>39572</v>
          </cell>
          <cell r="B3637" t="str">
            <v>PERFIL TIPO CANTONEIRA EM L, EM ACO GALVANIZADO, BRANCO, PARA FORRO REMOVIVEL, *23* X 3000 MM (L X C)</v>
          </cell>
          <cell r="C3637" t="str">
            <v xml:space="preserve">M     </v>
          </cell>
          <cell r="D3637">
            <v>3.3</v>
          </cell>
        </row>
        <row r="3638">
          <cell r="A3638">
            <v>39570</v>
          </cell>
          <cell r="B3638" t="str">
            <v>PERFIL TRAVESSA (SECUNDARIO), T CLICADO, EM ACO GALVANIZADO , BRANCO, PARA FORRO REMOVIVEL, 24 X 1250 MM (L X C)</v>
          </cell>
          <cell r="C3638" t="str">
            <v xml:space="preserve">M     </v>
          </cell>
          <cell r="D3638">
            <v>3.5</v>
          </cell>
        </row>
        <row r="3639">
          <cell r="A3639">
            <v>39569</v>
          </cell>
          <cell r="B3639" t="str">
            <v>PERFIL TRAVESSA (SECUNDARIO), T CLICADO, EM ACO GALVANIZADO, BRANCO, PARA FORRO REMOVIVEL, 24 X 625 MM (L X C)</v>
          </cell>
          <cell r="C3639" t="str">
            <v xml:space="preserve">M     </v>
          </cell>
          <cell r="D3639">
            <v>3.46</v>
          </cell>
        </row>
        <row r="3640">
          <cell r="A3640">
            <v>11552</v>
          </cell>
          <cell r="B3640" t="str">
            <v>PERFIL U / CANALETA DE ALUMINIO, DE ABAS IGUAIS, 1/2" (1,27 X 1,27 CM), PARA PORTA OU JANELA DE CORRER</v>
          </cell>
          <cell r="C3640" t="str">
            <v xml:space="preserve">M     </v>
          </cell>
          <cell r="D3640">
            <v>8.92</v>
          </cell>
        </row>
        <row r="3641">
          <cell r="A3641">
            <v>40598</v>
          </cell>
          <cell r="B3641" t="str">
            <v>PERFIL UDC ("U" DOBRADO DE CHAPA) SIMPLES DE ACO LAMINADO, GALVANIZADO, ASTM A36, 127 X 50 MM, E= 3 MM</v>
          </cell>
          <cell r="C3641" t="str">
            <v xml:space="preserve">KG    </v>
          </cell>
          <cell r="D3641">
            <v>4.9400000000000004</v>
          </cell>
        </row>
        <row r="3642">
          <cell r="A3642">
            <v>39029</v>
          </cell>
          <cell r="B3642" t="str">
            <v>PERFILADO PERFURADO DUPLO 38 X 76 MM, CHAPA 22</v>
          </cell>
          <cell r="C3642" t="str">
            <v xml:space="preserve">M     </v>
          </cell>
          <cell r="D3642">
            <v>11.18</v>
          </cell>
        </row>
        <row r="3643">
          <cell r="A3643">
            <v>39028</v>
          </cell>
          <cell r="B3643" t="str">
            <v>PERFILADO PERFURADO SIMPLES 38 X 38 MM, CHAPA 22</v>
          </cell>
          <cell r="C3643" t="str">
            <v xml:space="preserve">M     </v>
          </cell>
          <cell r="D3643">
            <v>6.51</v>
          </cell>
        </row>
        <row r="3644">
          <cell r="A3644">
            <v>39328</v>
          </cell>
          <cell r="B3644" t="str">
            <v>PERFILADO PERFURADO 19 X 38 MM, CHAPA 22</v>
          </cell>
          <cell r="C3644" t="str">
            <v xml:space="preserve">M     </v>
          </cell>
          <cell r="D3644">
            <v>3.58</v>
          </cell>
        </row>
        <row r="3645">
          <cell r="A3645">
            <v>38541</v>
          </cell>
          <cell r="B3645" t="str">
            <v>PERFURATRIZ COM TORRE METALICA PARA EXECUCAO DE ESTACA HELICE CONTINUA, PROFUNDIDADE MAXIMA DE 30 M, DIAMETRO MAXIMO DE 800 MM, POTENCIA INSTALADA DE 268 HP, MESA ROTATIVA COM TORQUE MAXIMO DE 170 KNM</v>
          </cell>
          <cell r="C3645" t="str">
            <v xml:space="preserve">UN    </v>
          </cell>
          <cell r="D3645">
            <v>2208552.61</v>
          </cell>
        </row>
        <row r="3646">
          <cell r="A3646">
            <v>38542</v>
          </cell>
          <cell r="B3646" t="str">
            <v>PERFURATRIZ COM TORRE METALICA PARA EXECUCAO DE ESTACA HELICE CONTINUA, PROFUNDIDADE MAXIMA DE 32 M, DIAMETRO MAXIMO DE 1000 MM, POTENCIA INSTALADA DE 350 HP, MESA ROTATIVA COM TORQUE MAXIMO DE 263 KNM</v>
          </cell>
          <cell r="C3646" t="str">
            <v xml:space="preserve">UN    </v>
          </cell>
          <cell r="D3646">
            <v>3434210.5</v>
          </cell>
        </row>
        <row r="3647">
          <cell r="A3647">
            <v>38543</v>
          </cell>
          <cell r="B3647" t="str">
            <v>PERFURATRIZ HIDRAULICA COM TRADO CURTO ACOPLADO, PROFUNDIDADE MAXIMA DE 20 M, DIAMETRO MAXIMO DE 1500 MM, POTENCIA INSTALADA DE 137 HP, MESA ROTATIVA COM TORQUE MAXIMO DE 30 KNM (INCLUI MONTAGEM, NAO INCLUI CAMINHAO)</v>
          </cell>
          <cell r="C3647" t="str">
            <v xml:space="preserve">UN    </v>
          </cell>
          <cell r="D3647">
            <v>840789.49</v>
          </cell>
        </row>
        <row r="3648">
          <cell r="A3648">
            <v>40406</v>
          </cell>
          <cell r="B3648" t="str">
            <v>PERFURATRIZ MANUAL, TORQUE MAXIMO 55 KGF.M, POTENCIA 5 CV, COM DIAMETRO MAXIMO 8 1/2" (INCLUI SUPORTE/CHASSI TIPO MESA)</v>
          </cell>
          <cell r="C3648" t="str">
            <v xml:space="preserve">UN    </v>
          </cell>
          <cell r="D3648">
            <v>72527.7</v>
          </cell>
        </row>
        <row r="3649">
          <cell r="A3649">
            <v>40789</v>
          </cell>
          <cell r="B3649" t="str">
            <v>PERFURATRIZ MANUAL, TORQUE MAXIMO 83 N.M, POTENCIA 5 CV, COM DIAMETRO MAXIMO 4" (NAO INCLUI SUPORTE / CHASSI)</v>
          </cell>
          <cell r="C3649" t="str">
            <v xml:space="preserve">UN    </v>
          </cell>
          <cell r="D3649">
            <v>10451.98</v>
          </cell>
        </row>
        <row r="3650">
          <cell r="A3650">
            <v>40791</v>
          </cell>
          <cell r="B3650" t="str">
            <v>PERFURATRIZ MANUAL, TORQUE MAXIMO 83 N.M, POTENCIA 5 CV, COM DIAMETRO MAXIMO 4", PARA SOLO GRAMPEADO (INCLUI SUPORTE OU CHASSI TIPO MESA)</v>
          </cell>
          <cell r="C3650" t="str">
            <v xml:space="preserve">UN    </v>
          </cell>
          <cell r="D3650">
            <v>32719.26</v>
          </cell>
        </row>
        <row r="3651">
          <cell r="A3651">
            <v>11651</v>
          </cell>
          <cell r="B3651" t="str">
            <v>PERFURATRIZ PNEUMATICA MANUAL DE PESO MEDIO, 18KG, COMPRIMENTO DE CURSO DE 6 M, DIAMETRO DO PISTAO DE 5,5 CM</v>
          </cell>
          <cell r="C3651" t="str">
            <v xml:space="preserve">UN    </v>
          </cell>
          <cell r="D3651">
            <v>17894.63</v>
          </cell>
        </row>
        <row r="3652">
          <cell r="A3652">
            <v>42002</v>
          </cell>
          <cell r="B3652" t="str">
            <v>PERFURATRIZ ROTATIVA SOBRE ESTEIRA, TORQUE MAXIMO 2500 KGM, POTENCIA 110 HP, MOTOR DIESEL  (COLETADO CAIXA)</v>
          </cell>
          <cell r="C3652" t="str">
            <v xml:space="preserve">UN    </v>
          </cell>
          <cell r="D3652">
            <v>720115.47</v>
          </cell>
        </row>
        <row r="3653">
          <cell r="A3653">
            <v>40435</v>
          </cell>
          <cell r="B3653" t="str">
            <v>PERFURATRIZ SOBRE ESTEIRA, TORQUE MAXIMO DE 600 KGF, POTENCIA ENTRE 50 E 60 HP, DIAMETRO MAXIMO DE 10"</v>
          </cell>
          <cell r="C3653" t="str">
            <v xml:space="preserve">UN    </v>
          </cell>
          <cell r="D3653">
            <v>461250</v>
          </cell>
        </row>
        <row r="3654">
          <cell r="A3654">
            <v>39012</v>
          </cell>
          <cell r="B3654" t="str">
            <v>PERFURATRIZ SOBRE ESTEIRA, TORQUE MAXIMO 600 KGF, PESO MEDIO 1000 KG, POTENCIA 20 HP, DIAMETRO MAXIMO 10"</v>
          </cell>
          <cell r="C3654" t="str">
            <v xml:space="preserve">UN    </v>
          </cell>
          <cell r="D3654">
            <v>481250.61</v>
          </cell>
        </row>
        <row r="3655">
          <cell r="A3655">
            <v>13617</v>
          </cell>
          <cell r="B3655" t="str">
            <v>PICAPE CABINE SIMPLES COM MOTOR 1.6 FLEX, CAMBIO MANUAL, POTENCIA 101/104 CV, 2 PORTAS</v>
          </cell>
          <cell r="C3655" t="str">
            <v xml:space="preserve">UN    </v>
          </cell>
          <cell r="D3655">
            <v>50289.56</v>
          </cell>
        </row>
        <row r="3656">
          <cell r="A3656">
            <v>5327</v>
          </cell>
          <cell r="B3656" t="str">
            <v>PIGMENTO EM PO PARA ARGAMASSAS, CIMENTOS E OUTROS</v>
          </cell>
          <cell r="C3656" t="str">
            <v xml:space="preserve">KG    </v>
          </cell>
          <cell r="D3656">
            <v>29.94</v>
          </cell>
        </row>
        <row r="3657">
          <cell r="A3657">
            <v>35274</v>
          </cell>
          <cell r="B3657" t="str">
            <v>PILAR DE MADEIRA NAO APARELHADA *10 X 10* CM, MACARANDUBA, ANGELIM OU EQUIVALENTE DA REGIAO</v>
          </cell>
          <cell r="C3657" t="str">
            <v xml:space="preserve">M     </v>
          </cell>
          <cell r="D3657">
            <v>21.36</v>
          </cell>
        </row>
        <row r="3658">
          <cell r="A3658">
            <v>35275</v>
          </cell>
          <cell r="B3658" t="str">
            <v>PILAR DE MADEIRA NAO APARELHADA *15 X 15* CM, MACARANDUBA, ANGELIM OU EQUIVALENTE DA REGIAO</v>
          </cell>
          <cell r="C3658" t="str">
            <v xml:space="preserve">M     </v>
          </cell>
          <cell r="D3658">
            <v>45.61</v>
          </cell>
        </row>
        <row r="3659">
          <cell r="A3659">
            <v>35276</v>
          </cell>
          <cell r="B3659" t="str">
            <v>PILAR DE MADEIRA NAO APARELHADA *20 X 20* CM, MACARANDUBA, ANGELIM OU EQUIVALENTE DA REGIAO</v>
          </cell>
          <cell r="C3659" t="str">
            <v xml:space="preserve">M     </v>
          </cell>
          <cell r="D3659">
            <v>74.58</v>
          </cell>
        </row>
        <row r="3660">
          <cell r="A3660">
            <v>38386</v>
          </cell>
          <cell r="B3660" t="str">
            <v>PINCEL CHATO (TRINCHA) CERDAS GRIS 1.1/2 " (38 MM)</v>
          </cell>
          <cell r="C3660" t="str">
            <v xml:space="preserve">UN    </v>
          </cell>
          <cell r="D3660">
            <v>4.6900000000000004</v>
          </cell>
        </row>
        <row r="3661">
          <cell r="A3661">
            <v>11091</v>
          </cell>
          <cell r="B3661" t="str">
            <v>PINGADEIRA PLASTICA PARA TELHA DE FIBROCIMENTO CANALETE 49/KALHETA OU CANALETE 90/KALHETAO</v>
          </cell>
          <cell r="C3661" t="str">
            <v xml:space="preserve">UN    </v>
          </cell>
          <cell r="D3661">
            <v>0.97</v>
          </cell>
        </row>
        <row r="3662">
          <cell r="A3662">
            <v>37586</v>
          </cell>
          <cell r="B3662" t="str">
            <v>PINO DE ACO COM ARRUELA CONICA, DIAMETRO ARRUELA = *23* MM E COMP HASTE = *27* MM (ACAO INDIRETA)</v>
          </cell>
          <cell r="C3662" t="str">
            <v xml:space="preserve">CENTO </v>
          </cell>
          <cell r="D3662">
            <v>39.700000000000003</v>
          </cell>
        </row>
        <row r="3663">
          <cell r="A3663">
            <v>37395</v>
          </cell>
          <cell r="B3663" t="str">
            <v>PINO DE ACO COM FURO, HASTE = 27 MM (ACAO DIRETA)</v>
          </cell>
          <cell r="C3663" t="str">
            <v xml:space="preserve">CENTO </v>
          </cell>
          <cell r="D3663">
            <v>34.130000000000003</v>
          </cell>
        </row>
        <row r="3664">
          <cell r="A3664">
            <v>14147</v>
          </cell>
          <cell r="B3664" t="str">
            <v>PINO DE ACO COM ROSCA 1/4 ", COMPRIMENTO DA HASTE = 30 MM E ROSCA = 20 MM (ACAO DIRETA)</v>
          </cell>
          <cell r="C3664" t="str">
            <v xml:space="preserve">CENTO </v>
          </cell>
          <cell r="D3664">
            <v>45.28</v>
          </cell>
        </row>
        <row r="3665">
          <cell r="A3665">
            <v>37396</v>
          </cell>
          <cell r="B3665" t="str">
            <v>PINO DE ACO LISO 1/4 ", HASTE = *36,5* MM (ACAO DIRETA)</v>
          </cell>
          <cell r="C3665" t="str">
            <v xml:space="preserve">CENTO </v>
          </cell>
          <cell r="D3665">
            <v>27.93</v>
          </cell>
        </row>
        <row r="3666">
          <cell r="A3666">
            <v>37397</v>
          </cell>
          <cell r="B3666" t="str">
            <v>PINO DE ACO LISO 1/4 ", HASTE = *53* MM (ACAO DIRETA)</v>
          </cell>
          <cell r="C3666" t="str">
            <v xml:space="preserve">CENTO </v>
          </cell>
          <cell r="D3666">
            <v>29.26</v>
          </cell>
        </row>
        <row r="3667">
          <cell r="A3667">
            <v>444</v>
          </cell>
          <cell r="B3667" t="str">
            <v>PINO ROSCA EXTERNA, EM ACO GALVANIZADO, PARA ISOLADOR DE 15KV, DIAMETRO 25 MM, COMPRIMENTO *290* MM</v>
          </cell>
          <cell r="C3667" t="str">
            <v xml:space="preserve">UN    </v>
          </cell>
          <cell r="D3667">
            <v>17.920000000000002</v>
          </cell>
        </row>
        <row r="3668">
          <cell r="A3668">
            <v>445</v>
          </cell>
          <cell r="B3668" t="str">
            <v>PINO ROSCA EXTERNA, EM ACO GALVANIZADO, PARA ISOLADOR DE 25KV, DIAMETRO 35MM, COMPRIMENTO *320* MM</v>
          </cell>
          <cell r="C3668" t="str">
            <v xml:space="preserve">UN    </v>
          </cell>
          <cell r="D3668">
            <v>24.52</v>
          </cell>
        </row>
        <row r="3669">
          <cell r="A3669">
            <v>4783</v>
          </cell>
          <cell r="B3669" t="str">
            <v>PINTOR</v>
          </cell>
          <cell r="C3669" t="str">
            <v xml:space="preserve">H     </v>
          </cell>
          <cell r="D3669">
            <v>14.81</v>
          </cell>
        </row>
        <row r="3670">
          <cell r="A3670">
            <v>41079</v>
          </cell>
          <cell r="B3670" t="str">
            <v>PINTOR (MENSALISTA)</v>
          </cell>
          <cell r="C3670" t="str">
            <v xml:space="preserve">MES   </v>
          </cell>
          <cell r="D3670">
            <v>2626.51</v>
          </cell>
        </row>
        <row r="3671">
          <cell r="A3671">
            <v>12874</v>
          </cell>
          <cell r="B3671" t="str">
            <v>PINTOR DE LETREIROS</v>
          </cell>
          <cell r="C3671" t="str">
            <v xml:space="preserve">H     </v>
          </cell>
          <cell r="D3671">
            <v>17.07</v>
          </cell>
        </row>
        <row r="3672">
          <cell r="A3672">
            <v>41082</v>
          </cell>
          <cell r="B3672" t="str">
            <v>PINTOR DE LETREIROS (MENSALISTA)</v>
          </cell>
          <cell r="C3672" t="str">
            <v xml:space="preserve">MES   </v>
          </cell>
          <cell r="D3672">
            <v>3027.77</v>
          </cell>
        </row>
        <row r="3673">
          <cell r="A3673">
            <v>4785</v>
          </cell>
          <cell r="B3673" t="str">
            <v>PINTOR PARA TINTA EPOXI</v>
          </cell>
          <cell r="C3673" t="str">
            <v xml:space="preserve">H     </v>
          </cell>
          <cell r="D3673">
            <v>15.92</v>
          </cell>
        </row>
        <row r="3674">
          <cell r="A3674">
            <v>41081</v>
          </cell>
          <cell r="B3674" t="str">
            <v>PINTOR PARA TINTA EPOXI (MENSALISTA)</v>
          </cell>
          <cell r="C3674" t="str">
            <v xml:space="preserve">MES   </v>
          </cell>
          <cell r="D3674">
            <v>2825.09</v>
          </cell>
        </row>
        <row r="3675">
          <cell r="A3675">
            <v>4801</v>
          </cell>
          <cell r="B3675" t="str">
            <v>PISO DE BORRACHA CANELADO EM PLACAS 50 X 50 CM, E = *3,5* MM, PARA COLA</v>
          </cell>
          <cell r="C3675" t="str">
            <v xml:space="preserve">M2    </v>
          </cell>
          <cell r="D3675">
            <v>61.63</v>
          </cell>
        </row>
        <row r="3676">
          <cell r="A3676">
            <v>4794</v>
          </cell>
          <cell r="B3676" t="str">
            <v>PISO DE BORRACHA ESPORTIVO EM PLACAS 50 X 50 CM, E = 15 MM, PARA ARGAMASSA, PRETO</v>
          </cell>
          <cell r="C3676" t="str">
            <v xml:space="preserve">M2    </v>
          </cell>
          <cell r="D3676">
            <v>280.70999999999998</v>
          </cell>
        </row>
        <row r="3677">
          <cell r="A3677">
            <v>4796</v>
          </cell>
          <cell r="B3677" t="str">
            <v>PISO DE BORRACHA FRISADO OU PASTILHADO, PRETO, EM PLACAS 50 X 50 CM, E = 7 MM, PARA ARGAMASSA</v>
          </cell>
          <cell r="C3677" t="str">
            <v xml:space="preserve">M2    </v>
          </cell>
          <cell r="D3677">
            <v>170.5</v>
          </cell>
        </row>
        <row r="3678">
          <cell r="A3678">
            <v>4800</v>
          </cell>
          <cell r="B3678" t="str">
            <v>PISO DE BORRACHA PASTILHADO EM PLACAS 50 X 50 CM, E = *3,5* MM, PARA COLA, PRETO</v>
          </cell>
          <cell r="C3678" t="str">
            <v xml:space="preserve">M2    </v>
          </cell>
          <cell r="D3678">
            <v>46.89</v>
          </cell>
        </row>
        <row r="3679">
          <cell r="A3679">
            <v>4795</v>
          </cell>
          <cell r="B3679" t="str">
            <v>PISO DE BORRACHA PASTILHADO EM PLACAS 50 X 50 CM, E = 15 MM, PARA ARGAMASSA, PRETO</v>
          </cell>
          <cell r="C3679" t="str">
            <v xml:space="preserve">M2    </v>
          </cell>
          <cell r="D3679">
            <v>273.26</v>
          </cell>
        </row>
        <row r="3680">
          <cell r="A3680">
            <v>39694</v>
          </cell>
          <cell r="B3680" t="str">
            <v>PISO ELEVADO COM 2 PLACAS DE ACO COM ENCHIMENTO DE CONCRETO CELULAR, INCLUSO BASE/HASTE/CRUZETAS, 60 X 60 CM, H = *28* CM, RESISTENCIA CARGA CONCENTRADA 496 KG (COM COLOCACAO)</v>
          </cell>
          <cell r="C3680" t="str">
            <v xml:space="preserve">M2    </v>
          </cell>
          <cell r="D3680">
            <v>229.47</v>
          </cell>
        </row>
        <row r="3681">
          <cell r="A3681">
            <v>1292</v>
          </cell>
          <cell r="B3681" t="str">
            <v>PISO EM CERAMICA ESMALTADA EXTRA, PEI MAIOR OU IGUAL A 4, FORMATO MAIOR QUE 2025 CM2</v>
          </cell>
          <cell r="C3681" t="str">
            <v xml:space="preserve">M2    </v>
          </cell>
          <cell r="D3681">
            <v>34.630000000000003</v>
          </cell>
        </row>
        <row r="3682">
          <cell r="A3682">
            <v>1287</v>
          </cell>
          <cell r="B3682" t="str">
            <v>PISO EM CERAMICA ESMALTADA EXTRA, PEI MAIOR OU IGUAL A 4, FORMATO MENOR OU IGUAL A 2025 CM2</v>
          </cell>
          <cell r="C3682" t="str">
            <v xml:space="preserve">M2    </v>
          </cell>
          <cell r="D3682">
            <v>16.989999999999998</v>
          </cell>
        </row>
        <row r="3683">
          <cell r="A3683">
            <v>1297</v>
          </cell>
          <cell r="B3683" t="str">
            <v>PISO EM CERAMICA ESMALTADA, COMERCIAL (PADRAO POPULAR), PEI MAIOR OU IGUAL A 3, FORMATO MENOR OU IGUAL A  2025 CM2</v>
          </cell>
          <cell r="C3683" t="str">
            <v xml:space="preserve">M2    </v>
          </cell>
          <cell r="D3683">
            <v>14.09</v>
          </cell>
        </row>
        <row r="3684">
          <cell r="A3684">
            <v>4786</v>
          </cell>
          <cell r="B3684" t="str">
            <v>PISO EM GRANILITE, MARMORITE OU GRANITINA, AGREGADO COR PRETO, CINZA, PALHA OU BRANCO, E=  *8* MM (INCLUSO EXECUCAO)</v>
          </cell>
          <cell r="C3684" t="str">
            <v xml:space="preserve">M2    </v>
          </cell>
          <cell r="D3684">
            <v>71</v>
          </cell>
        </row>
        <row r="3685">
          <cell r="A3685">
            <v>10840</v>
          </cell>
          <cell r="B3685" t="str">
            <v>PISO EM GRANITO, POLIDO, TIPO AMENDOA/ AMARELO CAPRI/ AMARELO DOURADO CARIOCA OU OUTROS EQUIVALENTES DA REGIAO, FORMATO MENOR OU IGUAL A 3025 CM2, E=  *2* CM</v>
          </cell>
          <cell r="C3685" t="str">
            <v xml:space="preserve">M2    </v>
          </cell>
          <cell r="D3685">
            <v>360</v>
          </cell>
        </row>
        <row r="3686">
          <cell r="A3686">
            <v>10841</v>
          </cell>
          <cell r="B3686" t="str">
            <v>PISO EM GRANITO, POLIDO, TIPO ANDORINHA/ QUARTZ/ CASTELO/ CORUMBA OU OUTROS EQUIVALENTES DA REGIAO, FORMATO MENOR OU IGUAL A 3025 CM2, E=  *2* CM</v>
          </cell>
          <cell r="C3686" t="str">
            <v xml:space="preserve">M2    </v>
          </cell>
          <cell r="D3686">
            <v>271.69</v>
          </cell>
        </row>
        <row r="3687">
          <cell r="A3687">
            <v>25980</v>
          </cell>
          <cell r="B3687" t="str">
            <v>PISO EM GRANITO, POLIDO, TIPO MARFIM, DALLAS, CARAVELAS OU OUTROS EQUIVALENTES DA REGIAO, FORMATO MENOR OU IGUAL A 3025 CM2, E=  *2* CM</v>
          </cell>
          <cell r="C3687" t="str">
            <v xml:space="preserve">M2    </v>
          </cell>
          <cell r="D3687">
            <v>347.16</v>
          </cell>
        </row>
        <row r="3688">
          <cell r="A3688">
            <v>10842</v>
          </cell>
          <cell r="B3688" t="str">
            <v>PISO EM GRANITO, POLIDO, TIPO PRETO SAO GABRIEL/ TIJUCA OU OUTROS EQUIVALENTES DA REGIAO, FORMATO MENOR OU IGUAL A 3025 CM2, E=  *2* CM</v>
          </cell>
          <cell r="C3688" t="str">
            <v xml:space="preserve">M2    </v>
          </cell>
          <cell r="D3688">
            <v>392.45</v>
          </cell>
        </row>
        <row r="3689">
          <cell r="A3689">
            <v>21108</v>
          </cell>
          <cell r="B3689" t="str">
            <v>PISO EM PORCELANATO RETIFICADO EXTRA, FORMATO MENOR OU IGUAL A 2025 CM2</v>
          </cell>
          <cell r="C3689" t="str">
            <v xml:space="preserve">M2    </v>
          </cell>
          <cell r="D3689">
            <v>46.16</v>
          </cell>
        </row>
        <row r="3690">
          <cell r="A3690">
            <v>38180</v>
          </cell>
          <cell r="B3690" t="str">
            <v>PISO EM REGUA VINILICA SEMIFLEXIVEL, ENCAIXE CLICADO, E = 4 MM (SEM COLOCACAO)</v>
          </cell>
          <cell r="C3690" t="str">
            <v xml:space="preserve">M2    </v>
          </cell>
          <cell r="D3690">
            <v>137.27000000000001</v>
          </cell>
        </row>
        <row r="3691">
          <cell r="A3691">
            <v>40648</v>
          </cell>
          <cell r="B3691" t="str">
            <v>PISO EPOXI AUTONIVELANTE, ESPESSURA *4* MM (INCLUSO EXECUCAO)</v>
          </cell>
          <cell r="C3691" t="str">
            <v xml:space="preserve">M2    </v>
          </cell>
          <cell r="D3691">
            <v>136.32</v>
          </cell>
        </row>
        <row r="3692">
          <cell r="A3692">
            <v>40649</v>
          </cell>
          <cell r="B3692" t="str">
            <v>PISO EPOXI MULTILAYER, ESPESSURA *2* MM (INCLUSO EXECUCAO)</v>
          </cell>
          <cell r="C3692" t="str">
            <v xml:space="preserve">M2    </v>
          </cell>
          <cell r="D3692">
            <v>79.400000000000006</v>
          </cell>
        </row>
        <row r="3693">
          <cell r="A3693">
            <v>40650</v>
          </cell>
          <cell r="B3693" t="str">
            <v>PISO FULGET (GRANITO LAVADO) EM PLACAS DE *40 X 40* CM (SEM COLOCACAO)</v>
          </cell>
          <cell r="C3693" t="str">
            <v xml:space="preserve">M2    </v>
          </cell>
          <cell r="D3693">
            <v>102.24</v>
          </cell>
        </row>
        <row r="3694">
          <cell r="A3694">
            <v>40651</v>
          </cell>
          <cell r="B3694" t="str">
            <v>PISO FULGET (GRANITO LAVADO) EM PLACAS DE *75 X 75* CM (SEM COLOCACAO)</v>
          </cell>
          <cell r="C3694" t="str">
            <v xml:space="preserve">M2    </v>
          </cell>
          <cell r="D3694">
            <v>188.57</v>
          </cell>
        </row>
        <row r="3695">
          <cell r="A3695">
            <v>40652</v>
          </cell>
          <cell r="B3695" t="str">
            <v>PISO FULGET (GRANITO LAVADO) MOLDADO IN LOCO (INCLUSO EXECUCAO)</v>
          </cell>
          <cell r="C3695" t="str">
            <v xml:space="preserve">M2    </v>
          </cell>
          <cell r="D3695">
            <v>101.1</v>
          </cell>
        </row>
        <row r="3696">
          <cell r="A3696">
            <v>40647</v>
          </cell>
          <cell r="B3696" t="str">
            <v>PISO INDUSTRIAL EM CONCRETO ARMADO DE ACABAMENTO POLIDO, ESPESSURA 12 CM (CIMENTO QUEIMADO) (INCLUSO EXECUCAO)</v>
          </cell>
          <cell r="C3696" t="str">
            <v xml:space="preserve">M2    </v>
          </cell>
          <cell r="D3696">
            <v>111.32</v>
          </cell>
        </row>
        <row r="3697">
          <cell r="A3697">
            <v>40653</v>
          </cell>
          <cell r="B3697" t="str">
            <v>PISO KORODUR (INCLUSO EXECUCAO)</v>
          </cell>
          <cell r="C3697" t="str">
            <v xml:space="preserve">M2    </v>
          </cell>
          <cell r="D3697">
            <v>85.2</v>
          </cell>
        </row>
        <row r="3698">
          <cell r="A3698">
            <v>36178</v>
          </cell>
          <cell r="B3698" t="str">
            <v>PISO PODOTATIL DE CONCRETO - DIRECIONAL E ALERTA, *40 X 40 X 2,5* CM</v>
          </cell>
          <cell r="C3698" t="str">
            <v xml:space="preserve">UN    </v>
          </cell>
          <cell r="D3698">
            <v>9.7200000000000006</v>
          </cell>
        </row>
        <row r="3699">
          <cell r="A3699">
            <v>38195</v>
          </cell>
          <cell r="B3699" t="str">
            <v>PISO PORCELANATO, BORDA RETA, EXTRA, FORMATO MAIOR QUE 2025 CM2</v>
          </cell>
          <cell r="C3699" t="str">
            <v xml:space="preserve">M2    </v>
          </cell>
          <cell r="D3699">
            <v>54.52</v>
          </cell>
        </row>
        <row r="3700">
          <cell r="A3700">
            <v>38181</v>
          </cell>
          <cell r="B3700" t="str">
            <v>PISO TATIL ALERTA OU DIRECIONAL, DE BORRACHA, COLORIDO, 25 X 25 CM, E = 5 MM, PARA COLA</v>
          </cell>
          <cell r="C3700" t="str">
            <v xml:space="preserve">M2    </v>
          </cell>
          <cell r="D3700">
            <v>187.4</v>
          </cell>
        </row>
        <row r="3701">
          <cell r="A3701">
            <v>38182</v>
          </cell>
          <cell r="B3701" t="str">
            <v>PISO TATIL DE ALERTA OU DIRECIONAL DE BORRACHA, PRETO, 25 X 25 CM, E = 5 MM, PARA COLA</v>
          </cell>
          <cell r="C3701" t="str">
            <v xml:space="preserve">M2    </v>
          </cell>
          <cell r="D3701">
            <v>178.51</v>
          </cell>
        </row>
        <row r="3702">
          <cell r="A3702">
            <v>38186</v>
          </cell>
          <cell r="B3702" t="str">
            <v>PISO TATIL DE ALERTA OU DIRECIONAL, DE BORRACHA, COLORIDO, 25 X 25 CM, E = 12 MM, PARA ARGAMASSA</v>
          </cell>
          <cell r="C3702" t="str">
            <v xml:space="preserve">M2    </v>
          </cell>
          <cell r="D3702">
            <v>464</v>
          </cell>
        </row>
        <row r="3703">
          <cell r="A3703">
            <v>38185</v>
          </cell>
          <cell r="B3703" t="str">
            <v>PISO TATIL DE ALERTA OU DIRECIONAL, DE BORRACHA, PRETO, 25 X 25 CM, E = 12 MM, PARA ARGAMASSA</v>
          </cell>
          <cell r="C3703" t="str">
            <v xml:space="preserve">M2    </v>
          </cell>
          <cell r="D3703">
            <v>413.12</v>
          </cell>
        </row>
        <row r="3704">
          <cell r="A3704">
            <v>40654</v>
          </cell>
          <cell r="B3704" t="str">
            <v>PISO URETANO, VERSAO REVESTIMENTO AUTONIVELANTE, ESPESSURA VARIÁVEL DE 3 A 4 MM (INCLUSO EXECUCAO)</v>
          </cell>
          <cell r="C3704" t="str">
            <v xml:space="preserve">M2    </v>
          </cell>
          <cell r="D3704">
            <v>132.34</v>
          </cell>
        </row>
        <row r="3705">
          <cell r="A3705">
            <v>25981</v>
          </cell>
          <cell r="B3705" t="str">
            <v>PISO/ REVESTIMENTO EM GRANITO, POLIDO, TIPO ANDORINHA/ QUARTZ/ CASTELO/ CORUMBA OU OUTROS EQUIVALENTES DA REGIAO, FORMATO MAIOR OU IGUAL A 3025 CM2, E = *2* CM</v>
          </cell>
          <cell r="C3705" t="str">
            <v xml:space="preserve">M2    </v>
          </cell>
          <cell r="D3705">
            <v>286.79000000000002</v>
          </cell>
        </row>
        <row r="3706">
          <cell r="A3706">
            <v>4822</v>
          </cell>
          <cell r="B3706" t="str">
            <v>PISO/ REVESTIMENTO EM MARMORE, POLIDO, BRANCO COMUM, FORMATO MAIOR OU IGUAL A 3025 CM2, E = *2* CM</v>
          </cell>
          <cell r="C3706" t="str">
            <v xml:space="preserve">M2    </v>
          </cell>
          <cell r="D3706">
            <v>315.20999999999998</v>
          </cell>
        </row>
        <row r="3707">
          <cell r="A3707">
            <v>4818</v>
          </cell>
          <cell r="B3707" t="str">
            <v>PISO/ REVESTIMENTO EM MARMORE, POLIDO, BRANCO COMUM, FORMATO MENOR OU IGUAL A 3025 CM2, E = *2* CM</v>
          </cell>
          <cell r="C3707" t="str">
            <v xml:space="preserve">M2    </v>
          </cell>
          <cell r="D3707">
            <v>324</v>
          </cell>
        </row>
        <row r="3708">
          <cell r="A3708">
            <v>39567</v>
          </cell>
          <cell r="B3708" t="str">
            <v>PLACA / CHAPA DE GESSO ACARTONADO, ACABAMENTO VINILICO LISO EM UMA DAS FACES, COR BRANCA, BORDA QUADRADA, E = 9,5 MM, 625 X 1250 MM (L X C), PARA FORRO REMOVIVEL</v>
          </cell>
          <cell r="C3708" t="str">
            <v xml:space="preserve">M2    </v>
          </cell>
          <cell r="D3708">
            <v>47.27</v>
          </cell>
        </row>
        <row r="3709">
          <cell r="A3709">
            <v>39566</v>
          </cell>
          <cell r="B3709" t="str">
            <v>PLACA / CHAPA DE GESSO ACARTONADO, ACABAMENTO VINILICO LISO EM UMA DAS FACES, COR BRANCA, BORDA QUADRADA, E = 9,5 MM, 625 X 625 MM (L X C), PARA FORRO REMOVIVEL</v>
          </cell>
          <cell r="C3709" t="str">
            <v xml:space="preserve">M2    </v>
          </cell>
          <cell r="D3709">
            <v>54.59</v>
          </cell>
        </row>
        <row r="3710">
          <cell r="A3710">
            <v>11062</v>
          </cell>
          <cell r="B3710" t="str">
            <v>PLACA CIMENTICIA LISA E = 10 MM, DE 1,20 X 3,00 M (SEM AMIANTO)</v>
          </cell>
          <cell r="C3710" t="str">
            <v xml:space="preserve">M2    </v>
          </cell>
          <cell r="D3710">
            <v>47.59</v>
          </cell>
        </row>
        <row r="3711">
          <cell r="A3711">
            <v>11063</v>
          </cell>
          <cell r="B3711" t="str">
            <v>PLACA CIMENTICIA LISA E = 6 MM, DE 1,20 X 3,00 M (SEM AMIANTO)</v>
          </cell>
          <cell r="C3711" t="str">
            <v xml:space="preserve">M2    </v>
          </cell>
          <cell r="D3711">
            <v>46.08</v>
          </cell>
        </row>
        <row r="3712">
          <cell r="A3712">
            <v>13521</v>
          </cell>
          <cell r="B3712" t="str">
            <v>PLACA DE ACO ESMALTADA PARA  IDENTIFICACAO DE RUA, *45 CM X 20* CM</v>
          </cell>
          <cell r="C3712" t="str">
            <v xml:space="preserve">UN    </v>
          </cell>
          <cell r="D3712">
            <v>99</v>
          </cell>
        </row>
        <row r="3713">
          <cell r="A3713">
            <v>10851</v>
          </cell>
          <cell r="B3713" t="str">
            <v>PLACA DE ACRILICO TRANSPARENTE ADESIVADA PARA SINALIZACAO DE PORTAS, BORDA POLIDA, DE *25 X 8*, E = 6 MM (NAO INCLUI ACESSORIOS PARA FIXACAO)</v>
          </cell>
          <cell r="C3713" t="str">
            <v xml:space="preserve">UN    </v>
          </cell>
          <cell r="D3713">
            <v>51.8</v>
          </cell>
        </row>
        <row r="3714">
          <cell r="A3714">
            <v>39515</v>
          </cell>
          <cell r="B3714" t="str">
            <v>PLACA DE FIBRA MINERAL PARA FORRO, DE 1250 X 625 MM, E = 15 MM, BORDA RETA, COM PINTURA ANTIMOFO (NAO INCLUI PERFIS)</v>
          </cell>
          <cell r="C3714" t="str">
            <v xml:space="preserve">UN    </v>
          </cell>
          <cell r="D3714">
            <v>44.11</v>
          </cell>
        </row>
        <row r="3715">
          <cell r="A3715">
            <v>39516</v>
          </cell>
          <cell r="B3715" t="str">
            <v>PLACA DE FIBRA MINERAL PARA FORRO, DE 625 X 625 MM, E = 15 MM, BORDA REBAIXADA PARA PERFIL 24 MM, COM PINTURA ANTIMOFO (NAO INCLUI PERFIS)</v>
          </cell>
          <cell r="C3715" t="str">
            <v xml:space="preserve">UN    </v>
          </cell>
          <cell r="D3715">
            <v>37.19</v>
          </cell>
        </row>
        <row r="3716">
          <cell r="A3716">
            <v>39514</v>
          </cell>
          <cell r="B3716" t="str">
            <v>PLACA DE FIBRA MINERAL PARA FORRO, DE 625 X 625 MM, E = 15 MM, BORDA RETA, COM PINTURA ANTIMOFO (NAO INCLUI PERFIS)</v>
          </cell>
          <cell r="C3716" t="str">
            <v xml:space="preserve">UN    </v>
          </cell>
          <cell r="D3716">
            <v>23.14</v>
          </cell>
        </row>
        <row r="3717">
          <cell r="A3717">
            <v>4812</v>
          </cell>
          <cell r="B3717" t="str">
            <v>PLACA DE GESSO PARA FORRO, DE  *60 X 60* CM E ESPESSURA DE 12 MM (30 MM NAS BORDAS) SEM COLOCACAO</v>
          </cell>
          <cell r="C3717" t="str">
            <v xml:space="preserve">M2    </v>
          </cell>
          <cell r="D3717">
            <v>13.06</v>
          </cell>
        </row>
        <row r="3718">
          <cell r="A3718">
            <v>10849</v>
          </cell>
          <cell r="B3718" t="str">
            <v>PLACA DE INAUGURACAO EM BRONZE *35X 50*CM</v>
          </cell>
          <cell r="C3718" t="str">
            <v xml:space="preserve">UN    </v>
          </cell>
          <cell r="D3718">
            <v>1440.01</v>
          </cell>
        </row>
        <row r="3719">
          <cell r="A3719">
            <v>10848</v>
          </cell>
          <cell r="B3719" t="str">
            <v>PLACA DE INAUGURACAO METALICA, *40* CM X *60* CM</v>
          </cell>
          <cell r="C3719" t="str">
            <v xml:space="preserve">UN    </v>
          </cell>
          <cell r="D3719">
            <v>904.5</v>
          </cell>
        </row>
        <row r="3720">
          <cell r="A3720">
            <v>4813</v>
          </cell>
          <cell r="B3720" t="str">
            <v>PLACA DE OBRA (PARA CONSTRUCAO CIVIL) EM CHAPA GALVANIZADA *N. 22*, ADESIVADA, DE *2,0 X 1,125* M</v>
          </cell>
          <cell r="C3720" t="str">
            <v xml:space="preserve">M2    </v>
          </cell>
          <cell r="D3720">
            <v>300</v>
          </cell>
        </row>
        <row r="3721">
          <cell r="A3721">
            <v>37560</v>
          </cell>
          <cell r="B3721" t="str">
            <v>PLACA DE SINALIZACAO DE SEGURANCA CONTRA INCENDIO - ALERTA, TRIANGULAR, BASE DE *30* CM, EM PVC *2* MM ANTI-CHAMAS (SIMBOLOS, CORES E PICTOGRAMAS CONFORME NBR 13434)</v>
          </cell>
          <cell r="C3721" t="str">
            <v xml:space="preserve">UN    </v>
          </cell>
          <cell r="D3721">
            <v>19.68</v>
          </cell>
        </row>
        <row r="3722">
          <cell r="A3722">
            <v>37557</v>
          </cell>
          <cell r="B3722" t="str">
            <v>PLACA DE SINALIZACAO DE SEGURANCA CONTRA INCENDIO, FOTOLUMINESCENTE, QUADRADA, *14 X 14* CM, EM PVC *2* MM ANTI-CHAMAS (SIMBOLOS, CORES E PICTOGRAMAS CONFORME NBR 13434)</v>
          </cell>
          <cell r="C3722" t="str">
            <v xml:space="preserve">UN    </v>
          </cell>
          <cell r="D3722">
            <v>5.97</v>
          </cell>
        </row>
        <row r="3723">
          <cell r="A3723">
            <v>37556</v>
          </cell>
          <cell r="B3723" t="str">
            <v>PLACA DE SINALIZACAO DE SEGURANCA CONTRA INCENDIO, FOTOLUMINESCENTE, QUADRADA, *20 X 20* CM, EM PVC *2* MM ANTI-CHAMAS (SIMBOLOS, CORES E PICTOGRAMAS CONFORME NBR 13434)</v>
          </cell>
          <cell r="C3723" t="str">
            <v xml:space="preserve">UN    </v>
          </cell>
          <cell r="D3723">
            <v>11.56</v>
          </cell>
        </row>
        <row r="3724">
          <cell r="A3724">
            <v>37559</v>
          </cell>
          <cell r="B3724" t="str">
            <v>PLACA DE SINALIZACAO DE SEGURANCA CONTRA INCENDIO, FOTOLUMINESCENTE, RETANGULAR, *12 X 40* CM, EM PVC *2* MM ANTI-CHAMAS (SIMBOLOS, CORES E PICTOGRAMAS CONFORME NBR 13434)</v>
          </cell>
          <cell r="C3724" t="str">
            <v xml:space="preserve">UN    </v>
          </cell>
          <cell r="D3724">
            <v>14.18</v>
          </cell>
        </row>
        <row r="3725">
          <cell r="A3725">
            <v>37539</v>
          </cell>
          <cell r="B3725" t="str">
            <v>PLACA DE SINALIZACAO DE SEGURANCA CONTRA INCENDIO, FOTOLUMINESCENTE, RETANGULAR, *13 X 26* CM, EM PVC *2* MM ANTI-CHAMAS (SIMBOLOS, CORES E PICTOGRAMAS CONFORME NBR 13434)</v>
          </cell>
          <cell r="C3725" t="str">
            <v xml:space="preserve">UN    </v>
          </cell>
          <cell r="D3725">
            <v>10</v>
          </cell>
        </row>
        <row r="3726">
          <cell r="A3726">
            <v>37558</v>
          </cell>
          <cell r="B3726" t="str">
            <v>PLACA DE SINALIZACAO DE SEGURANCA CONTRA INCENDIO, FOTOLUMINESCENTE, RETANGULAR, *20 X 40* CM, EM PVC *2* MM ANTI-CHAMAS (SIMBOLOS, CORES E PICTOGRAMAS CONFORME NBR 13434)</v>
          </cell>
          <cell r="C3726" t="str">
            <v xml:space="preserve">UN    </v>
          </cell>
          <cell r="D3726">
            <v>18.64</v>
          </cell>
        </row>
        <row r="3727">
          <cell r="A3727">
            <v>34723</v>
          </cell>
          <cell r="B3727" t="str">
            <v>PLACA DE SINALIZACAO EM CHAPA DE ACO NUM 16 COM PINTURA REFLETIVA</v>
          </cell>
          <cell r="C3727" t="str">
            <v xml:space="preserve">M2    </v>
          </cell>
          <cell r="D3727">
            <v>693</v>
          </cell>
        </row>
        <row r="3728">
          <cell r="A3728">
            <v>34721</v>
          </cell>
          <cell r="B3728" t="str">
            <v>PLACA DE SINALIZACAO EM CHAPA DE ALUMINIO COM PINTURA REFLETIVA, E = 2 MM</v>
          </cell>
          <cell r="C3728" t="str">
            <v xml:space="preserve">M2    </v>
          </cell>
          <cell r="D3728">
            <v>864</v>
          </cell>
        </row>
        <row r="3729">
          <cell r="A3729">
            <v>4309</v>
          </cell>
          <cell r="B3729" t="str">
            <v>PLACA DE VENTILACAO PARA TELHA DE FIBROCIMENTO CANALETE 49 KALHETA</v>
          </cell>
          <cell r="C3729" t="str">
            <v xml:space="preserve">UN    </v>
          </cell>
          <cell r="D3729">
            <v>4.38</v>
          </cell>
        </row>
        <row r="3730">
          <cell r="A3730">
            <v>4307</v>
          </cell>
          <cell r="B3730" t="str">
            <v>PLACA DE VENTILACAO PARA TELHA DE FIBROCIMENTO, CANALETE 90 OU KALHETAO</v>
          </cell>
          <cell r="C3730" t="str">
            <v xml:space="preserve">UN    </v>
          </cell>
          <cell r="D3730">
            <v>7.49</v>
          </cell>
        </row>
        <row r="3731">
          <cell r="A3731">
            <v>10850</v>
          </cell>
          <cell r="B3731" t="str">
            <v>PLACA NUMERACAO RESIDENCIAL EM CHAPA GALVANIZADA ESMALTADA 12 X 18 CM</v>
          </cell>
          <cell r="C3731" t="str">
            <v xml:space="preserve">UN    </v>
          </cell>
          <cell r="D3731">
            <v>45</v>
          </cell>
        </row>
        <row r="3732">
          <cell r="A3732">
            <v>42438</v>
          </cell>
          <cell r="B3732" t="str">
            <v>PLACA ORIENTATIVA SOBRE EXERCÍCIOS, 2,00M X 1,00M, EM TUBO DE ACO CARBONO, PINTURA NO PROCESSO ELETROSTATICO - PARA ACADEMIA AO AR LIVRE / ACADEMIA DA TERCEIRA IDADE - ATI</v>
          </cell>
          <cell r="C3732" t="str">
            <v xml:space="preserve">UN    </v>
          </cell>
          <cell r="D3732">
            <v>1163.67</v>
          </cell>
        </row>
        <row r="3733">
          <cell r="A3733">
            <v>4792</v>
          </cell>
          <cell r="B3733" t="str">
            <v>PLACA VINILICA SEMIFLEXIVEL PARA PISOS, E = 3,2 MM, 30 X 30 CM (SEM COLOCACAO)</v>
          </cell>
          <cell r="C3733" t="str">
            <v xml:space="preserve">M2    </v>
          </cell>
          <cell r="D3733">
            <v>131.78</v>
          </cell>
        </row>
        <row r="3734">
          <cell r="A3734">
            <v>4790</v>
          </cell>
          <cell r="B3734" t="str">
            <v>PLACA VINILICA SEMIFLEXIVEL PARA REVESTIMENTO DE PISOS E PAREDES, E = 2 MM (SEM COLOCACAO)</v>
          </cell>
          <cell r="C3734" t="str">
            <v xml:space="preserve">M2    </v>
          </cell>
          <cell r="D3734">
            <v>79.23</v>
          </cell>
        </row>
        <row r="3735">
          <cell r="A3735">
            <v>40671</v>
          </cell>
          <cell r="B3735" t="str">
            <v>PLACA/PISO DE CONCRETO POROSO/ PAVIMENTO PERMEAVEL/BLOCO DRENANTE DE CONCRETO, 40 CM X 40 CM, E = 6 CM, COR NATURAL</v>
          </cell>
          <cell r="C3735" t="str">
            <v xml:space="preserve">M2    </v>
          </cell>
          <cell r="D3735">
            <v>63.82</v>
          </cell>
        </row>
        <row r="3736">
          <cell r="A3736">
            <v>7552</v>
          </cell>
          <cell r="B3736" t="str">
            <v>PLACA/TAMPA CEGA EM LATAO ESCOVADO PARA CONDULETE EM LIGA DE ALUMINIO 4 X 4"</v>
          </cell>
          <cell r="C3736" t="str">
            <v xml:space="preserve">UN    </v>
          </cell>
          <cell r="D3736">
            <v>23.12</v>
          </cell>
        </row>
        <row r="3737">
          <cell r="A3737">
            <v>4893</v>
          </cell>
          <cell r="B3737" t="str">
            <v>PLUG OU BUJAO DE FERRO GALVANIZADO, DE 1 1/2"</v>
          </cell>
          <cell r="C3737" t="str">
            <v xml:space="preserve">UN    </v>
          </cell>
          <cell r="D3737">
            <v>7.89</v>
          </cell>
        </row>
        <row r="3738">
          <cell r="A3738">
            <v>4894</v>
          </cell>
          <cell r="B3738" t="str">
            <v>PLUG OU BUJAO DE FERRO GALVANIZADO, DE 1 1/4"</v>
          </cell>
          <cell r="C3738" t="str">
            <v xml:space="preserve">UN    </v>
          </cell>
          <cell r="D3738">
            <v>6.77</v>
          </cell>
        </row>
        <row r="3739">
          <cell r="A3739">
            <v>4888</v>
          </cell>
          <cell r="B3739" t="str">
            <v>PLUG OU BUJAO DE FERRO GALVANIZADO, DE 1/2"</v>
          </cell>
          <cell r="C3739" t="str">
            <v xml:space="preserve">UN    </v>
          </cell>
          <cell r="D3739">
            <v>2.2999999999999998</v>
          </cell>
        </row>
        <row r="3740">
          <cell r="A3740">
            <v>4890</v>
          </cell>
          <cell r="B3740" t="str">
            <v>PLUG OU BUJAO DE FERRO GALVANIZADO, DE 1"</v>
          </cell>
          <cell r="C3740" t="str">
            <v xml:space="preserve">UN    </v>
          </cell>
          <cell r="D3740">
            <v>4.33</v>
          </cell>
        </row>
        <row r="3741">
          <cell r="A3741">
            <v>12411</v>
          </cell>
          <cell r="B3741" t="str">
            <v>PLUG OU BUJAO DE FERRO GALVANIZADO, DE 2 1/2"</v>
          </cell>
          <cell r="C3741" t="str">
            <v xml:space="preserve">UN    </v>
          </cell>
          <cell r="D3741">
            <v>23.33</v>
          </cell>
        </row>
        <row r="3742">
          <cell r="A3742">
            <v>4891</v>
          </cell>
          <cell r="B3742" t="str">
            <v>PLUG OU BUJAO DE FERRO GALVANIZADO, DE 2"</v>
          </cell>
          <cell r="C3742" t="str">
            <v xml:space="preserve">UN    </v>
          </cell>
          <cell r="D3742">
            <v>11.66</v>
          </cell>
        </row>
        <row r="3743">
          <cell r="A3743">
            <v>4889</v>
          </cell>
          <cell r="B3743" t="str">
            <v>PLUG OU BUJAO DE FERRO GALVANIZADO, DE 3/4"</v>
          </cell>
          <cell r="C3743" t="str">
            <v xml:space="preserve">UN    </v>
          </cell>
          <cell r="D3743">
            <v>3.11</v>
          </cell>
        </row>
        <row r="3744">
          <cell r="A3744">
            <v>4892</v>
          </cell>
          <cell r="B3744" t="str">
            <v>PLUG OU BUJAO DE FERRO GALVANIZADO, DE 3"</v>
          </cell>
          <cell r="C3744" t="str">
            <v xml:space="preserve">UN    </v>
          </cell>
          <cell r="D3744">
            <v>32.67</v>
          </cell>
        </row>
        <row r="3745">
          <cell r="A3745">
            <v>12412</v>
          </cell>
          <cell r="B3745" t="str">
            <v>PLUG OU BUJAO DE FERRO GALVANIZADO, DE 4"</v>
          </cell>
          <cell r="C3745" t="str">
            <v xml:space="preserve">UN    </v>
          </cell>
          <cell r="D3745">
            <v>60.72</v>
          </cell>
        </row>
        <row r="3746">
          <cell r="A3746">
            <v>11073</v>
          </cell>
          <cell r="B3746" t="str">
            <v>PLUG PVC P/ ESG PREDIAL  75MM</v>
          </cell>
          <cell r="C3746" t="str">
            <v xml:space="preserve">UN    </v>
          </cell>
          <cell r="D3746">
            <v>3.91</v>
          </cell>
        </row>
        <row r="3747">
          <cell r="A3747">
            <v>11071</v>
          </cell>
          <cell r="B3747" t="str">
            <v>PLUG PVC P/ ESG PREDIAL 100MM</v>
          </cell>
          <cell r="C3747" t="str">
            <v xml:space="preserve">UN    </v>
          </cell>
          <cell r="D3747">
            <v>6.34</v>
          </cell>
        </row>
        <row r="3748">
          <cell r="A3748">
            <v>11072</v>
          </cell>
          <cell r="B3748" t="str">
            <v>PLUG PVC P/ ESG PREDIAL 50MM</v>
          </cell>
          <cell r="C3748" t="str">
            <v xml:space="preserve">UN    </v>
          </cell>
          <cell r="D3748">
            <v>2.21</v>
          </cell>
        </row>
        <row r="3749">
          <cell r="A3749">
            <v>4895</v>
          </cell>
          <cell r="B3749" t="str">
            <v>PLUG PVC ROSCAVEL,  1/2",  AGUA FRIA PREDIAL (NBR 5648)</v>
          </cell>
          <cell r="C3749" t="str">
            <v xml:space="preserve">UN    </v>
          </cell>
          <cell r="D3749">
            <v>0.41</v>
          </cell>
        </row>
        <row r="3750">
          <cell r="A3750">
            <v>4907</v>
          </cell>
          <cell r="B3750" t="str">
            <v>PLUG PVC,  JE, DN 100 MM, PARA REDE COLETORA ESGOTO (NBR 10569)</v>
          </cell>
          <cell r="C3750" t="str">
            <v xml:space="preserve">UN    </v>
          </cell>
          <cell r="D3750">
            <v>15.76</v>
          </cell>
        </row>
        <row r="3751">
          <cell r="A3751">
            <v>4902</v>
          </cell>
          <cell r="B3751" t="str">
            <v>PLUG PVC, JE, DN 150 MM, PARA REDE COLETORA ESGOTO (NBR 10569)</v>
          </cell>
          <cell r="C3751" t="str">
            <v xml:space="preserve">UN    </v>
          </cell>
          <cell r="D3751">
            <v>35.69</v>
          </cell>
        </row>
        <row r="3752">
          <cell r="A3752">
            <v>4908</v>
          </cell>
          <cell r="B3752" t="str">
            <v>PLUG PVC, JE, DN 200 MM, PARA REDE COLETORA ESGOTO (NBR 10569)</v>
          </cell>
          <cell r="C3752" t="str">
            <v xml:space="preserve">UN    </v>
          </cell>
          <cell r="D3752">
            <v>72.47</v>
          </cell>
        </row>
        <row r="3753">
          <cell r="A3753">
            <v>4909</v>
          </cell>
          <cell r="B3753" t="str">
            <v>PLUG PVC, JE, DN 250 MM, PARA REDE COLETORA ESGOTO (NBR 10569)</v>
          </cell>
          <cell r="C3753" t="str">
            <v xml:space="preserve">UN    </v>
          </cell>
          <cell r="D3753">
            <v>139.94999999999999</v>
          </cell>
        </row>
        <row r="3754">
          <cell r="A3754">
            <v>4903</v>
          </cell>
          <cell r="B3754" t="str">
            <v>PLUG PVC, JE, DN 350 MM, PARA REDE COLETORA ESGOTO (NBR 10569)</v>
          </cell>
          <cell r="C3754" t="str">
            <v xml:space="preserve">UN    </v>
          </cell>
          <cell r="D3754">
            <v>411.52</v>
          </cell>
        </row>
        <row r="3755">
          <cell r="A3755">
            <v>4897</v>
          </cell>
          <cell r="B3755" t="str">
            <v>PLUG PVC, ROSCAVEL 1", PARA AGUA FRIA PREDIAL</v>
          </cell>
          <cell r="C3755" t="str">
            <v xml:space="preserve">UN    </v>
          </cell>
          <cell r="D3755">
            <v>1.75</v>
          </cell>
        </row>
        <row r="3756">
          <cell r="A3756">
            <v>4896</v>
          </cell>
          <cell r="B3756" t="str">
            <v>PLUG PVC, ROSCAVEL 3/4", PARA  AGUA FRIA PREDIAL</v>
          </cell>
          <cell r="C3756" t="str">
            <v xml:space="preserve">UN    </v>
          </cell>
          <cell r="D3756">
            <v>0.62</v>
          </cell>
        </row>
        <row r="3757">
          <cell r="A3757">
            <v>4900</v>
          </cell>
          <cell r="B3757" t="str">
            <v>PLUG PVC, ROSCAVEL, 1 1/2",  AGUA FRIA PREDIAL</v>
          </cell>
          <cell r="C3757" t="str">
            <v xml:space="preserve">UN    </v>
          </cell>
          <cell r="D3757">
            <v>5.23</v>
          </cell>
        </row>
        <row r="3758">
          <cell r="A3758">
            <v>4898</v>
          </cell>
          <cell r="B3758" t="str">
            <v>PLUG PVC, ROSCAVEL, 1 1/4",  AGUA FRIA PREDIAL</v>
          </cell>
          <cell r="C3758" t="str">
            <v xml:space="preserve">UN    </v>
          </cell>
          <cell r="D3758">
            <v>1.95</v>
          </cell>
        </row>
        <row r="3759">
          <cell r="A3759">
            <v>4899</v>
          </cell>
          <cell r="B3759" t="str">
            <v>PLUG PVC, ROSCAVEL, 2",  AGUA FRIA PREDIAL</v>
          </cell>
          <cell r="C3759" t="str">
            <v xml:space="preserve">UN    </v>
          </cell>
          <cell r="D3759">
            <v>7.17</v>
          </cell>
        </row>
        <row r="3760">
          <cell r="A3760">
            <v>11096</v>
          </cell>
          <cell r="B3760" t="str">
            <v>PO DE MARMORE (POSTO PEDREIRA/FORNECEDOR, SEM FRETE)</v>
          </cell>
          <cell r="C3760" t="str">
            <v xml:space="preserve">KG    </v>
          </cell>
          <cell r="D3760">
            <v>0.41</v>
          </cell>
        </row>
        <row r="3761">
          <cell r="A3761">
            <v>4741</v>
          </cell>
          <cell r="B3761" t="str">
            <v>PO DE PEDRA (POSTO PEDREIRA/FORNECEDOR, SEM FRETE)</v>
          </cell>
          <cell r="C3761" t="str">
            <v xml:space="preserve">M3    </v>
          </cell>
          <cell r="D3761">
            <v>76.37</v>
          </cell>
        </row>
        <row r="3762">
          <cell r="A3762">
            <v>4752</v>
          </cell>
          <cell r="B3762" t="str">
            <v>POCEIRO / ESCAVADOR DE VALAS E TUBULOES</v>
          </cell>
          <cell r="C3762" t="str">
            <v xml:space="preserve">H     </v>
          </cell>
          <cell r="D3762">
            <v>10.29</v>
          </cell>
        </row>
        <row r="3763">
          <cell r="A3763">
            <v>41091</v>
          </cell>
          <cell r="B3763" t="str">
            <v>POCEIRO / ESCAVADOR DE VALAS E TUBULOES (MENSALISTA)</v>
          </cell>
          <cell r="C3763" t="str">
            <v xml:space="preserve">MES   </v>
          </cell>
          <cell r="D3763">
            <v>1826.74</v>
          </cell>
        </row>
        <row r="3764">
          <cell r="A3764">
            <v>13954</v>
          </cell>
          <cell r="B3764" t="str">
            <v>POLIDORA DE PISO (POLITRIZ) ELETRICA, MOTOR MONOFASICO DE 4 HP, PESO DE 100 KG, DIAMETRO DO TRABALHO DE 450 MM</v>
          </cell>
          <cell r="C3764" t="str">
            <v xml:space="preserve">UN    </v>
          </cell>
          <cell r="D3764">
            <v>6387.96</v>
          </cell>
        </row>
        <row r="3765">
          <cell r="A3765">
            <v>3411</v>
          </cell>
          <cell r="B3765" t="str">
            <v>POLIESTIRENO EXPANDIDO/EPS (ISOPOR), PEROLAS, PARA CONCRETO LEVE</v>
          </cell>
          <cell r="C3765" t="str">
            <v xml:space="preserve">KG    </v>
          </cell>
          <cell r="D3765">
            <v>38.659999999999997</v>
          </cell>
        </row>
        <row r="3766">
          <cell r="A3766">
            <v>39995</v>
          </cell>
          <cell r="B3766" t="str">
            <v>POLIESTIRENO EXPANDIDO/EPS (ISOPOR), TIPO 2F, BLOCO</v>
          </cell>
          <cell r="C3766" t="str">
            <v xml:space="preserve">M3    </v>
          </cell>
          <cell r="D3766">
            <v>297.42</v>
          </cell>
        </row>
        <row r="3767">
          <cell r="A3767">
            <v>11615</v>
          </cell>
          <cell r="B3767" t="str">
            <v>POLIESTIRENO EXPANDIDO/EPS (ISOPOR), TIPO 2F, PLACA, ISOLAMENTO TERMOACUSTICO, E = 10 MM, 1000 X 500 MM</v>
          </cell>
          <cell r="C3767" t="str">
            <v xml:space="preserve">M2    </v>
          </cell>
          <cell r="D3767">
            <v>2.52</v>
          </cell>
        </row>
        <row r="3768">
          <cell r="A3768">
            <v>3408</v>
          </cell>
          <cell r="B3768" t="str">
            <v>POLIESTIRENO EXPANDIDO/EPS (ISOPOR), TIPO 2F, PLACA, ISOLAMENTO TERMOACUSTICO, E = 20 MM, 1000 X 500 MM</v>
          </cell>
          <cell r="C3768" t="str">
            <v xml:space="preserve">M2    </v>
          </cell>
          <cell r="D3768">
            <v>6.7</v>
          </cell>
        </row>
        <row r="3769">
          <cell r="A3769">
            <v>3409</v>
          </cell>
          <cell r="B3769" t="str">
            <v>POLIESTIRENO EXPANDIDO/EPS (ISOPOR), TIPO 2F, PLACA, ISOLAMENTO TERMOACUSTICO, E = 50 MM, 1000 X 500 MM</v>
          </cell>
          <cell r="C3769" t="str">
            <v xml:space="preserve">M2    </v>
          </cell>
          <cell r="D3769">
            <v>16.75</v>
          </cell>
        </row>
        <row r="3770">
          <cell r="A3770">
            <v>11427</v>
          </cell>
          <cell r="B3770" t="str">
            <v>POLVORA NEGRA</v>
          </cell>
          <cell r="C3770" t="str">
            <v xml:space="preserve">KG    </v>
          </cell>
          <cell r="D3770">
            <v>76.66</v>
          </cell>
        </row>
        <row r="3771">
          <cell r="A3771">
            <v>4491</v>
          </cell>
          <cell r="B3771" t="str">
            <v>PONTALETE DE MADEIRA NAO APARELHADA *7,5 X 7,5* CM (3 X 3 ") PINUS, MISTA OU EQUIVALENTE DA REGIAO</v>
          </cell>
          <cell r="C3771" t="str">
            <v xml:space="preserve">M     </v>
          </cell>
          <cell r="D3771">
            <v>5.63</v>
          </cell>
        </row>
        <row r="3772">
          <cell r="A3772">
            <v>26022</v>
          </cell>
          <cell r="B3772" t="str">
            <v>PONTEIRO PARA MARTELO ROMPEDOR, DIAMETRO = *28* MM, COMPRIMENTO = *520* MM, ENCAIXE SEXTAVADO</v>
          </cell>
          <cell r="C3772" t="str">
            <v xml:space="preserve">UN    </v>
          </cell>
          <cell r="D3772">
            <v>186.3</v>
          </cell>
        </row>
        <row r="3773">
          <cell r="A3773">
            <v>421</v>
          </cell>
          <cell r="B3773" t="str">
            <v>PORCA OLHAL EM ACO GALVANIZADO, DIAMETRO NOMINAL DE 16 MM</v>
          </cell>
          <cell r="C3773" t="str">
            <v xml:space="preserve">UN    </v>
          </cell>
          <cell r="D3773">
            <v>9.0299999999999994</v>
          </cell>
        </row>
        <row r="3774">
          <cell r="A3774">
            <v>12362</v>
          </cell>
          <cell r="B3774" t="str">
            <v>PORCA OLHAL EM ACO GALVANIZADO, ESPESSURA 16MM, ABERTURA 21MM</v>
          </cell>
          <cell r="C3774" t="str">
            <v xml:space="preserve">UN    </v>
          </cell>
          <cell r="D3774">
            <v>9.73</v>
          </cell>
        </row>
        <row r="3775">
          <cell r="A3775">
            <v>14148</v>
          </cell>
          <cell r="B3775" t="str">
            <v>PORCA UNIAO/JUNCAO ZINCADA SEXTAVADA 1/4 ", CHAVE 7/16 ", COMPRIMENTO = 25 MM</v>
          </cell>
          <cell r="C3775" t="str">
            <v xml:space="preserve">UN    </v>
          </cell>
          <cell r="D3775">
            <v>0.77</v>
          </cell>
        </row>
        <row r="3776">
          <cell r="A3776">
            <v>4341</v>
          </cell>
          <cell r="B3776" t="str">
            <v>PORCA ZINCADA, QUADRADA, DIAMETRO 3/8"</v>
          </cell>
          <cell r="C3776" t="str">
            <v xml:space="preserve">UN    </v>
          </cell>
          <cell r="D3776">
            <v>0.7</v>
          </cell>
        </row>
        <row r="3777">
          <cell r="A3777">
            <v>4337</v>
          </cell>
          <cell r="B3777" t="str">
            <v>PORCA ZINCADA, QUADRADA, DIAMETRO 5/8"</v>
          </cell>
          <cell r="C3777" t="str">
            <v xml:space="preserve">UN    </v>
          </cell>
          <cell r="D3777">
            <v>1.77</v>
          </cell>
        </row>
        <row r="3778">
          <cell r="A3778">
            <v>4339</v>
          </cell>
          <cell r="B3778" t="str">
            <v>PORCA ZINCADA, SEXTAVADA, DIAMETRO 1/2"</v>
          </cell>
          <cell r="C3778" t="str">
            <v xml:space="preserve">UN    </v>
          </cell>
          <cell r="D3778">
            <v>0.37</v>
          </cell>
        </row>
        <row r="3779">
          <cell r="A3779">
            <v>39997</v>
          </cell>
          <cell r="B3779" t="str">
            <v>PORCA ZINCADA, SEXTAVADA, DIAMETRO 1/4"</v>
          </cell>
          <cell r="C3779" t="str">
            <v xml:space="preserve">UN    </v>
          </cell>
          <cell r="D3779">
            <v>0.21</v>
          </cell>
        </row>
        <row r="3780">
          <cell r="A3780">
            <v>11971</v>
          </cell>
          <cell r="B3780" t="str">
            <v>PORCA ZINCADA, SEXTAVADA, DIAMETRO 1"</v>
          </cell>
          <cell r="C3780" t="str">
            <v xml:space="preserve">UN    </v>
          </cell>
          <cell r="D3780">
            <v>2.93</v>
          </cell>
        </row>
        <row r="3781">
          <cell r="A3781">
            <v>4342</v>
          </cell>
          <cell r="B3781" t="str">
            <v>PORCA ZINCADA, SEXTAVADA, DIAMETRO 3/8"</v>
          </cell>
          <cell r="C3781" t="str">
            <v xml:space="preserve">UN    </v>
          </cell>
          <cell r="D3781">
            <v>0.15</v>
          </cell>
        </row>
        <row r="3782">
          <cell r="A3782">
            <v>4330</v>
          </cell>
          <cell r="B3782" t="str">
            <v>PORCA ZINCADA, SEXTAVADA, DIAMETRO 5/16"</v>
          </cell>
          <cell r="C3782" t="str">
            <v xml:space="preserve">UN    </v>
          </cell>
          <cell r="D3782">
            <v>0.1</v>
          </cell>
        </row>
        <row r="3783">
          <cell r="A3783">
            <v>4340</v>
          </cell>
          <cell r="B3783" t="str">
            <v>PORCA ZINCADA, SEXTAVADA, DIAMETRO 5/8"</v>
          </cell>
          <cell r="C3783" t="str">
            <v xml:space="preserve">UN    </v>
          </cell>
          <cell r="D3783">
            <v>0.82</v>
          </cell>
        </row>
        <row r="3784">
          <cell r="A3784">
            <v>5088</v>
          </cell>
          <cell r="B3784" t="str">
            <v>PORTA CADEADO,  3 1/2", EM ACO ZINCADO, PRETO, PARA PORTAO E JANELA</v>
          </cell>
          <cell r="C3784" t="str">
            <v xml:space="preserve">UN    </v>
          </cell>
          <cell r="D3784">
            <v>2.62</v>
          </cell>
        </row>
        <row r="3785">
          <cell r="A3785">
            <v>11154</v>
          </cell>
          <cell r="B3785" t="str">
            <v>PORTA CORTA-FOGO PARA SAIDA DE EMERGENCIA, COM FECHADURA, VAO LUZ DE 90 X 210 CM, CLASSE P-90 (NBR 11742)</v>
          </cell>
          <cell r="C3785" t="str">
            <v xml:space="preserve">UN    </v>
          </cell>
          <cell r="D3785">
            <v>912.78</v>
          </cell>
        </row>
        <row r="3786">
          <cell r="A3786">
            <v>39021</v>
          </cell>
          <cell r="B3786" t="str">
            <v>PORTA DE ABRIR EM ACO COM DIVISAO HORIZONTAL  PARA VIDROS, COM FUNDO ANTICORROSIVO/PRIMER DE PROTECAO, SEM GUARNICAO/ALIZAR/VISTA, VIDROS NAO INCLUSOS, 87 X 210 CM</v>
          </cell>
          <cell r="C3786" t="str">
            <v xml:space="preserve">UN    </v>
          </cell>
          <cell r="D3786">
            <v>410.57</v>
          </cell>
        </row>
        <row r="3787">
          <cell r="A3787">
            <v>39022</v>
          </cell>
          <cell r="B3787" t="str">
            <v>PORTA DE ABRIR EM ACO TIPO VENEZIANA, COM FUNDO ANTICORROSIVO / PRIMER DE PROTECAO, SEM GUARNICAO/ALIZAR/VISTA, 87 X 210 CM</v>
          </cell>
          <cell r="C3787" t="str">
            <v xml:space="preserve">UN    </v>
          </cell>
          <cell r="D3787">
            <v>507.75</v>
          </cell>
        </row>
        <row r="3788">
          <cell r="A3788">
            <v>39024</v>
          </cell>
          <cell r="B3788" t="str">
            <v>PORTA DE ABRIR EM ALUMINIO COM DIVISAO HORIZONTAL  PARA VIDROS,  ACABAMENTO ANODIZADO NATURAL, VIDROS INCLUSOS, SEM GUARNICAO/ALIZAR/VISTA , 87 X 210 CM</v>
          </cell>
          <cell r="C3788" t="str">
            <v xml:space="preserve">UN    </v>
          </cell>
          <cell r="D3788">
            <v>963.53</v>
          </cell>
        </row>
        <row r="3789">
          <cell r="A3789">
            <v>4914</v>
          </cell>
          <cell r="B3789" t="str">
            <v>PORTA DE ABRIR EM ALUMINIO COM LAMBRI HORIZONTAL/LAMINADA, ACABAMENTO ANODIZADO NATURAL, SEM GUARNICAO/ALIZAR/VISTA</v>
          </cell>
          <cell r="C3789" t="str">
            <v xml:space="preserve">M2    </v>
          </cell>
          <cell r="D3789">
            <v>781.25</v>
          </cell>
        </row>
        <row r="3790">
          <cell r="A3790">
            <v>4917</v>
          </cell>
          <cell r="B3790" t="str">
            <v>PORTA DE ABRIR EM ALUMINIO TIPO VENEZIANA, ACABAMENTO ANODIZADO NATURAL, SEM GUARNICAO/ALIZAR/VISTA</v>
          </cell>
          <cell r="C3790" t="str">
            <v xml:space="preserve">M2    </v>
          </cell>
          <cell r="D3790">
            <v>539.54</v>
          </cell>
        </row>
        <row r="3791">
          <cell r="A3791">
            <v>39025</v>
          </cell>
          <cell r="B3791" t="str">
            <v>PORTA DE ABRIR EM ALUMINIO TIPO VENEZIANA, ACABAMENTO ANODIZADO NATURAL, SEM GUARNICAO/ALIZAR/VISTA, 87 X 210 CM</v>
          </cell>
          <cell r="C3791" t="str">
            <v xml:space="preserve">UN    </v>
          </cell>
          <cell r="D3791">
            <v>988</v>
          </cell>
        </row>
        <row r="3792">
          <cell r="A3792">
            <v>4930</v>
          </cell>
          <cell r="B3792" t="str">
            <v>PORTA DE ABRIR EM GRADIL COM BARRA CHATA 3 CM X 1/4", COM REQUADRO E GUARNICAO - COMPLETO - ACABAMENTO NATURAL</v>
          </cell>
          <cell r="C3792" t="str">
            <v xml:space="preserve">M2    </v>
          </cell>
          <cell r="D3792">
            <v>441.24</v>
          </cell>
        </row>
        <row r="3793">
          <cell r="A3793">
            <v>4922</v>
          </cell>
          <cell r="B3793" t="str">
            <v>PORTA DE CORRER EM ALUMINIO, DUAS FOLHAS MOVEIS COM VIDRO, FECHADURA E PUXADOR EMBUTIDO, ACABAMENTO ANODIZADO NATURAL, SEM GUARNICAO/ALIZAR/VISTA</v>
          </cell>
          <cell r="C3793" t="str">
            <v xml:space="preserve">M2    </v>
          </cell>
          <cell r="D3793">
            <v>500.47</v>
          </cell>
        </row>
        <row r="3794">
          <cell r="A3794">
            <v>4911</v>
          </cell>
          <cell r="B3794" t="str">
            <v>PORTA DE ENROLAR MANUAL COMPLETA, ARTICULADA RAIADA LARGA, EM ACO GALVANIZADO NATURAL, CHAPA NUMERO 24 (SEM INSTALACAO)</v>
          </cell>
          <cell r="C3794" t="str">
            <v xml:space="preserve">M2    </v>
          </cell>
          <cell r="D3794">
            <v>280.56</v>
          </cell>
        </row>
        <row r="3795">
          <cell r="A3795">
            <v>37518</v>
          </cell>
          <cell r="B3795" t="str">
            <v>PORTA DE ENROLAR MANUAL COMPLETA, PERFIL MEIA CANA CEGA, EM ACO GALVANIZADO COM PINTURA ELETROSTATICA, CHAPA NUMERO 24 " (SEM INSTALACAO)</v>
          </cell>
          <cell r="C3795" t="str">
            <v xml:space="preserve">M2    </v>
          </cell>
          <cell r="D3795">
            <v>455.91</v>
          </cell>
        </row>
        <row r="3796">
          <cell r="A3796">
            <v>4910</v>
          </cell>
          <cell r="B3796" t="str">
            <v>PORTA DE ENROLAR MANUAL COMPLETA, PERFIL MEIA CANA CEGA, EM ACO GALVANIZADO NATURAL, CHAPA NUMERO 24 (SEM INSTALACAO)</v>
          </cell>
          <cell r="C3796" t="str">
            <v xml:space="preserve">M2    </v>
          </cell>
          <cell r="D3796">
            <v>384.33</v>
          </cell>
        </row>
        <row r="3797">
          <cell r="A3797">
            <v>4943</v>
          </cell>
          <cell r="B3797" t="str">
            <v>PORTA DE ENROLAR MANUAL COMPLETA, PERFIL MEIA CANA VAZADA TIJOLINHO, EM ACO GALVANIZADO NATURAL, CHAPA NUMERO 24 (SEM INSTALACAO)</v>
          </cell>
          <cell r="C3797" t="str">
            <v xml:space="preserve">M2    </v>
          </cell>
          <cell r="D3797">
            <v>572.57000000000005</v>
          </cell>
        </row>
        <row r="3798">
          <cell r="A3798">
            <v>5002</v>
          </cell>
          <cell r="B3798" t="str">
            <v>PORTA DE MADEIRA QUADRICULADA PARA VIDRO, DE CORRER (EUCALIPTO OU EQUIVALENTE REGIONAL), E = *3,5* CM</v>
          </cell>
          <cell r="C3798" t="str">
            <v xml:space="preserve">M2    </v>
          </cell>
          <cell r="D3798">
            <v>273.99</v>
          </cell>
        </row>
        <row r="3799">
          <cell r="A3799">
            <v>4977</v>
          </cell>
          <cell r="B3799" t="str">
            <v>PORTA DE MADEIRA TIPO VENEZIANA (EUCALIPTO OU EQUIVALENTE REGIONAL), E = *3,5* CM</v>
          </cell>
          <cell r="C3799" t="str">
            <v xml:space="preserve">M2    </v>
          </cell>
          <cell r="D3799">
            <v>184.95</v>
          </cell>
        </row>
        <row r="3800">
          <cell r="A3800">
            <v>5028</v>
          </cell>
          <cell r="B3800" t="str">
            <v>PORTA DE MADEIRA-DE-LEI QUADRICULADA PARA VIDRO, DE CORRER (ANGELIM OU EQUIVALENTE REGIONAL), E = *3,5* CM</v>
          </cell>
          <cell r="C3800" t="str">
            <v xml:space="preserve">M2    </v>
          </cell>
          <cell r="D3800">
            <v>452.55</v>
          </cell>
        </row>
        <row r="3801">
          <cell r="A3801">
            <v>4998</v>
          </cell>
          <cell r="B3801" t="str">
            <v>PORTA DE MADEIRA-DE-LEI TIPO MEXICANA SEM EMENDA (ANGELIM OU EQUIVALENTE REGIONAL), E = *3,5* CM</v>
          </cell>
          <cell r="C3801" t="str">
            <v xml:space="preserve">M2    </v>
          </cell>
          <cell r="D3801">
            <v>375.85</v>
          </cell>
        </row>
        <row r="3802">
          <cell r="A3802">
            <v>4969</v>
          </cell>
          <cell r="B3802" t="str">
            <v>PORTA DE MADEIRA-DE-LEI TIPO VENEZIANA (ANGELIM OU EQUIVALENTE REGIONAL), E = *3,5* CM</v>
          </cell>
          <cell r="C3802" t="str">
            <v xml:space="preserve">M2    </v>
          </cell>
          <cell r="D3802">
            <v>261.58</v>
          </cell>
        </row>
        <row r="3803">
          <cell r="A3803">
            <v>11364</v>
          </cell>
          <cell r="B3803" t="str">
            <v>PORTA DE MADEIRA, FOLHA LEVE (NBR 15930) DE 60 X 210 CM, E = *35* MM, NUCLEO COLMEIA, CAPA LISA EM HDF, ACABAMENTO EM PRIMER PARA PINTURA</v>
          </cell>
          <cell r="C3803" t="str">
            <v xml:space="preserve">UN    </v>
          </cell>
          <cell r="D3803">
            <v>127.99</v>
          </cell>
        </row>
        <row r="3804">
          <cell r="A3804">
            <v>11365</v>
          </cell>
          <cell r="B3804" t="str">
            <v>PORTA DE MADEIRA, FOLHA LEVE (NBR 15930) DE 70 X 210 CM, E = *35* MM, NUCLEO COLMEIA, CAPA LISA EM HDF, ACABAMENTO EM PRIMER PARA PINTURA</v>
          </cell>
          <cell r="C3804" t="str">
            <v xml:space="preserve">UN    </v>
          </cell>
          <cell r="D3804">
            <v>137.84</v>
          </cell>
        </row>
        <row r="3805">
          <cell r="A3805">
            <v>11366</v>
          </cell>
          <cell r="B3805" t="str">
            <v>PORTA DE MADEIRA, FOLHA LEVE (NBR 15930) DE 80 X 210 CM, E = *35* MM, NUCLEO COLMEIA, CAPA LISA EM HDF, ACABAMENTO EM PRIMER PARA PINTURA</v>
          </cell>
          <cell r="C3805" t="str">
            <v xml:space="preserve">UN    </v>
          </cell>
          <cell r="D3805">
            <v>145.87</v>
          </cell>
        </row>
        <row r="3806">
          <cell r="A3806">
            <v>4989</v>
          </cell>
          <cell r="B3806" t="str">
            <v>PORTA DE MADEIRA, FOLHA MEDIA (NBR 15930) DE 100 X 210 CM, E = 35 MM, NUCLEO SARRAFEADO, CAPA LISA EM HDF, ACABAMENTO EM LAMINADO NATURAL PARA VERNIZ</v>
          </cell>
          <cell r="C3806" t="str">
            <v xml:space="preserve">UN    </v>
          </cell>
          <cell r="D3806">
            <v>291.57</v>
          </cell>
        </row>
        <row r="3807">
          <cell r="A3807">
            <v>4982</v>
          </cell>
          <cell r="B3807" t="str">
            <v>PORTA DE MADEIRA, FOLHA MEDIA (NBR 15930) DE 100 X 210 CM, E = 35 MM, NUCLEO SARRAFEADO, CAPA LISA EM HDF, ACABAMENTO EM PRIMER PARA PINTURA</v>
          </cell>
          <cell r="C3807" t="str">
            <v xml:space="preserve">UN    </v>
          </cell>
          <cell r="D3807">
            <v>253.13</v>
          </cell>
        </row>
        <row r="3808">
          <cell r="A3808">
            <v>20322</v>
          </cell>
          <cell r="B3808" t="str">
            <v>PORTA DE MADEIRA, FOLHA MEDIA (NBR 15930) DE 60 X 210 CM, E = 35 MM, NUCLEO SARRAFEADO, CAPA FRISADA EM HDF, ACABAMENTO MELAMINICO EM PADRAO MADEIRA</v>
          </cell>
          <cell r="C3808" t="str">
            <v xml:space="preserve">UN    </v>
          </cell>
          <cell r="D3808">
            <v>223.1</v>
          </cell>
        </row>
        <row r="3809">
          <cell r="A3809">
            <v>10553</v>
          </cell>
          <cell r="B3809" t="str">
            <v>PORTA DE MADEIRA, FOLHA MEDIA (NBR 15930) DE 60 X 210 CM, E = 35 MM, NUCLEO SARRAFEADO, CAPA LISA EM HDF, ACABAMENTO EM PRIMER PARA PINTURA</v>
          </cell>
          <cell r="C3809" t="str">
            <v xml:space="preserve">UN    </v>
          </cell>
          <cell r="D3809">
            <v>237.86</v>
          </cell>
        </row>
        <row r="3810">
          <cell r="A3810">
            <v>5020</v>
          </cell>
          <cell r="B3810" t="str">
            <v>PORTA DE MADEIRA, FOLHA MEDIA (NBR 15930) DE 60 X 210 CM, E = 35 MM, NUCLEO SARRAFEADO, CAPA LISA EM HDF, ACABAMENTO LAMINADO NATURAL PARA VERNIZ</v>
          </cell>
          <cell r="C3810" t="str">
            <v xml:space="preserve">UN    </v>
          </cell>
          <cell r="D3810">
            <v>246.61</v>
          </cell>
        </row>
        <row r="3811">
          <cell r="A3811">
            <v>4962</v>
          </cell>
          <cell r="B3811" t="str">
            <v>PORTA DE MADEIRA, FOLHA MEDIA (NBR 15930) DE 70 X 210 CM, E = 35 MM, NUCLEO SARRAFEADO, CAPA FRISADA EM HDF, ACABAMENTO MELAMINICO EM PADRAO MADEIRA</v>
          </cell>
          <cell r="C3811" t="str">
            <v xml:space="preserve">UN    </v>
          </cell>
          <cell r="D3811">
            <v>240.26</v>
          </cell>
        </row>
        <row r="3812">
          <cell r="A3812">
            <v>4981</v>
          </cell>
          <cell r="B3812" t="str">
            <v>PORTA DE MADEIRA, FOLHA MEDIA (NBR 15930) DE 70 X 210 CM, E = 35 MM, NUCLEO SARRAFEADO, CAPA LISA EM HDF, ACABAMENTO EM LAMINADO NATURAL PARA VERNIZ</v>
          </cell>
          <cell r="C3812" t="str">
            <v xml:space="preserve">UN    </v>
          </cell>
          <cell r="D3812">
            <v>169.9</v>
          </cell>
        </row>
        <row r="3813">
          <cell r="A3813">
            <v>10554</v>
          </cell>
          <cell r="B3813" t="str">
            <v>PORTA DE MADEIRA, FOLHA MEDIA (NBR 15930) DE 70 X 210 CM, E = 35 MM, NUCLEO SARRAFEADO, CAPA LISA EM HDF, ACABAMENTO EM PRIMER PARA PINTURA</v>
          </cell>
          <cell r="C3813" t="str">
            <v xml:space="preserve">UN    </v>
          </cell>
          <cell r="D3813">
            <v>265.83</v>
          </cell>
        </row>
        <row r="3814">
          <cell r="A3814">
            <v>4964</v>
          </cell>
          <cell r="B3814" t="str">
            <v>PORTA DE MADEIRA, FOLHA MEDIA (NBR 15930) DE 80 X 210 CM, E = 35 MM, NUCLEO SARRAFEADO, CAPA FRISADA EM HDF, ACABAMENTO MELAMINICO EM PADRAO MADEIRA</v>
          </cell>
          <cell r="C3814" t="str">
            <v xml:space="preserve">UN    </v>
          </cell>
          <cell r="D3814">
            <v>291.74</v>
          </cell>
        </row>
        <row r="3815">
          <cell r="A3815">
            <v>4992</v>
          </cell>
          <cell r="B3815" t="str">
            <v>PORTA DE MADEIRA, FOLHA MEDIA (NBR 15930) DE 80 X 210 CM, E = 35 MM, NUCLEO SARRAFEADO, CAPA LISA EM HDF, ACABAMENTO EM LAMINADO NATURAL PARA VERNIZ</v>
          </cell>
          <cell r="C3815" t="str">
            <v xml:space="preserve">UN    </v>
          </cell>
          <cell r="D3815">
            <v>289.33999999999997</v>
          </cell>
        </row>
        <row r="3816">
          <cell r="A3816">
            <v>10555</v>
          </cell>
          <cell r="B3816" t="str">
            <v>PORTA DE MADEIRA, FOLHA MEDIA (NBR 15930) DE 80 X 210 CM, E = 35 MM, NUCLEO SARRAFEADO, CAPA LISA EM HDF, ACABAMENTO EM PRIMER PARA PINTURA</v>
          </cell>
          <cell r="C3816" t="str">
            <v xml:space="preserve">UN    </v>
          </cell>
          <cell r="D3816">
            <v>256.56</v>
          </cell>
        </row>
        <row r="3817">
          <cell r="A3817">
            <v>4987</v>
          </cell>
          <cell r="B3817" t="str">
            <v>PORTA DE MADEIRA, FOLHA MEDIA (NBR 15930) DE 90 X 210 CM, E = 35 MM, NUCLEO SARRAFEADO, CAPA LISA EM HDF, ACABAMENTO EM LAMINADO NATURAL PARA VERNIZ</v>
          </cell>
          <cell r="C3817" t="str">
            <v xml:space="preserve">UN    </v>
          </cell>
          <cell r="D3817">
            <v>265.83</v>
          </cell>
        </row>
        <row r="3818">
          <cell r="A3818">
            <v>10556</v>
          </cell>
          <cell r="B3818" t="str">
            <v>PORTA DE MADEIRA, FOLHA MEDIA (NBR 15930) DE 90 X 210 CM, E = 35 MM, NUCLEO SARRAFEADO, CAPA LISA EM HDF, ACABAMENTO EM PRIMER PARA PINTURA</v>
          </cell>
          <cell r="C3818" t="str">
            <v xml:space="preserve">UN    </v>
          </cell>
          <cell r="D3818">
            <v>272.56</v>
          </cell>
        </row>
        <row r="3819">
          <cell r="A3819">
            <v>4958</v>
          </cell>
          <cell r="B3819" t="str">
            <v>PORTA DE MADEIRA, FOLHA MEDIA (NBR 15930), E = 35 MM, NUCLEO SARRAFEADO, CAPA FRISADA EM HDF, ACABAMENTO MELAMINICO EM PADRAO MADEIRA</v>
          </cell>
          <cell r="C3819" t="str">
            <v xml:space="preserve">M2    </v>
          </cell>
          <cell r="D3819">
            <v>155.78</v>
          </cell>
        </row>
        <row r="3820">
          <cell r="A3820">
            <v>39502</v>
          </cell>
          <cell r="B3820" t="str">
            <v>PORTA DE MADEIRA, FOLHA PESADA (NBR 15930) DE 80 X 210 CM, E = 35 MM, NUCLEO SOLIDO, CAPA LISA EM HDF, ACABAMENTO EM LAMINADO NATURAL PARA VERNIZ</v>
          </cell>
          <cell r="C3820" t="str">
            <v xml:space="preserve">UN    </v>
          </cell>
          <cell r="D3820">
            <v>377.55</v>
          </cell>
        </row>
        <row r="3821">
          <cell r="A3821">
            <v>39504</v>
          </cell>
          <cell r="B3821" t="str">
            <v>PORTA DE MADEIRA, FOLHA PESADA (NBR 15930) DE 80 X 210 CM, E = 35 MM, NUCLEO SOLIDO, CAPA LISA EM HDF, ACABAMENTO EM PRIMER PARA PINTURA</v>
          </cell>
          <cell r="C3821" t="str">
            <v xml:space="preserve">UN    </v>
          </cell>
          <cell r="D3821">
            <v>267.72000000000003</v>
          </cell>
        </row>
        <row r="3822">
          <cell r="A3822">
            <v>39503</v>
          </cell>
          <cell r="B3822" t="str">
            <v>PORTA DE MADEIRA, FOLHA PESADA (NBR 15930) DE 90 X 210 CM, E = 35 MM, NUCLEO SOLIDO, CAPA LISA EM HDF, ACABAMENTO EM LAMINADO NATURAL PARA VERNIZ</v>
          </cell>
          <cell r="C3822" t="str">
            <v xml:space="preserve">UN    </v>
          </cell>
          <cell r="D3822">
            <v>410.16</v>
          </cell>
        </row>
        <row r="3823">
          <cell r="A3823">
            <v>39505</v>
          </cell>
          <cell r="B3823" t="str">
            <v>PORTA DE MADEIRA, FOLHA PESADA (NBR 15930) DE 90 X 210 CM, E = 35 MM, NUCLEO SOLIDO, CAPA LISA EM HDF, ACABAMENTO EM PRIMER PARA PINTURA</v>
          </cell>
          <cell r="C3823" t="str">
            <v xml:space="preserve">UN    </v>
          </cell>
          <cell r="D3823">
            <v>291.74</v>
          </cell>
        </row>
        <row r="3824">
          <cell r="A3824">
            <v>25969</v>
          </cell>
          <cell r="B3824" t="str">
            <v>PORTA DENTE PARA FRESADORA</v>
          </cell>
          <cell r="C3824" t="str">
            <v xml:space="preserve">UN    </v>
          </cell>
          <cell r="D3824">
            <v>386.63</v>
          </cell>
        </row>
        <row r="3825">
          <cell r="A3825">
            <v>4944</v>
          </cell>
          <cell r="B3825" t="str">
            <v>PORTA GRADE DE ENROLAR MANUAL COMPLETA, PERFIL TUBULAR TIJOLINHO 3/4 ", EM ACO GALVANIZADO NATURAL (SEM INSTALACAO)</v>
          </cell>
          <cell r="C3825" t="str">
            <v xml:space="preserve">M2    </v>
          </cell>
          <cell r="D3825">
            <v>855.99</v>
          </cell>
        </row>
        <row r="3826">
          <cell r="A3826">
            <v>21102</v>
          </cell>
          <cell r="B3826" t="str">
            <v>PORTA TOALHA BANHO EM METAL CROMADO, TIPO BARRA</v>
          </cell>
          <cell r="C3826" t="str">
            <v xml:space="preserve">UN    </v>
          </cell>
          <cell r="D3826">
            <v>27.55</v>
          </cell>
        </row>
        <row r="3827">
          <cell r="A3827">
            <v>21101</v>
          </cell>
          <cell r="B3827" t="str">
            <v>PORTA TOALHA ROSTO EM METAL CROMADO, TIPO ARGOLA</v>
          </cell>
          <cell r="C3827" t="str">
            <v xml:space="preserve">UN    </v>
          </cell>
          <cell r="D3827">
            <v>17.690000000000001</v>
          </cell>
        </row>
        <row r="3828">
          <cell r="A3828">
            <v>34713</v>
          </cell>
          <cell r="B3828" t="str">
            <v>PORTA VIDRO TEMPERADO INCOLOR, 2 FOLHAS DE CORRER, E = 10 MM (SEM FERRAGENS E SEM COLOCACAO)</v>
          </cell>
          <cell r="C3828" t="str">
            <v xml:space="preserve">M2    </v>
          </cell>
          <cell r="D3828">
            <v>347.91</v>
          </cell>
        </row>
        <row r="3829">
          <cell r="A3829">
            <v>4947</v>
          </cell>
          <cell r="B3829" t="str">
            <v>PORTAO BASCULANTE MANUAL EM ACO GALVANIZADO NATURAL, TIPO LAMBRIL COM REQUADRO/BATENTE, CHAPA NUMERO 26, INCLUI FECHADURA (SEM INSTALACAO)</v>
          </cell>
          <cell r="C3829" t="str">
            <v xml:space="preserve">M2    </v>
          </cell>
          <cell r="D3829">
            <v>567.03</v>
          </cell>
        </row>
        <row r="3830">
          <cell r="A3830">
            <v>37563</v>
          </cell>
          <cell r="B3830" t="str">
            <v>PORTAO BASCULANTE, MANUAL, EM CHAPA TIPO LAMBRIL QUADRADO, COM REQUADRO, ACABAMENTO NATURAL</v>
          </cell>
          <cell r="C3830" t="str">
            <v xml:space="preserve">M2    </v>
          </cell>
          <cell r="D3830">
            <v>435.39</v>
          </cell>
        </row>
        <row r="3831">
          <cell r="A3831">
            <v>4948</v>
          </cell>
          <cell r="B3831" t="str">
            <v>PORTAO DE ABRIR EM GRADIL DE METALON REDONDO DE 3/4"  VERTICAL, COM REQUADRO, ACABAMENTO NATURAL - COMPLETO</v>
          </cell>
          <cell r="C3831" t="str">
            <v xml:space="preserve">M2    </v>
          </cell>
          <cell r="D3831">
            <v>395.13</v>
          </cell>
        </row>
        <row r="3832">
          <cell r="A3832">
            <v>37561</v>
          </cell>
          <cell r="B3832" t="str">
            <v>PORTAO DE CORRER EM CHAPA TIPO PAINEL LAMBRIL QUADRADO, COM PORTA SOCIAL COMPLETA INCLUIDA, COM REQUADRO, ACABAMENTO NATURAL, COM TRILHOS E ROLDANAS</v>
          </cell>
          <cell r="C3832" t="str">
            <v xml:space="preserve">M2    </v>
          </cell>
          <cell r="D3832">
            <v>812.76</v>
          </cell>
        </row>
        <row r="3833">
          <cell r="A3833">
            <v>37562</v>
          </cell>
          <cell r="B3833" t="str">
            <v>PORTAO DE CORRER EM GRADIL FIXO DE BARRA DE FERRO CHATA DE 3 X 1/4" NA VERTICAL, SEM REQUADRO, ACABAMENTO NATURAL, COM TRILHOS E ROLDANAS</v>
          </cell>
          <cell r="C3833" t="str">
            <v xml:space="preserve">M2    </v>
          </cell>
          <cell r="D3833">
            <v>521.29999999999995</v>
          </cell>
        </row>
        <row r="3834">
          <cell r="A3834">
            <v>37585</v>
          </cell>
          <cell r="B3834" t="str">
            <v>PORTINHOLA DE ABRIR EM ALUMINIO DE 60 X 80 CM, VENEZIANA VENTILADA 1 FOLHA, ACABAMENTO ANODIZADO NATURAL</v>
          </cell>
          <cell r="C3834" t="str">
            <v xml:space="preserve">UN    </v>
          </cell>
          <cell r="D3834">
            <v>269.01</v>
          </cell>
        </row>
        <row r="3835">
          <cell r="A3835">
            <v>14164</v>
          </cell>
          <cell r="B3835" t="str">
            <v>POSTE CONICO CONTINUO EM ACO GALVANIZADO, CURVO, BRACO DUPLO, ENGASTADO,  H = 9 M, DIAMETRO INFERIOR = *135* MM</v>
          </cell>
          <cell r="C3835" t="str">
            <v xml:space="preserve">UN    </v>
          </cell>
          <cell r="D3835">
            <v>958.07</v>
          </cell>
        </row>
        <row r="3836">
          <cell r="A3836">
            <v>14163</v>
          </cell>
          <cell r="B3836" t="str">
            <v>POSTE CONICO CONTINUO EM ACO GALVANIZADO, CURVO, BRACO DUPLO, FLANGEADO,  H = 9 M, DIAMETRO INFERIOR = *135* MM</v>
          </cell>
          <cell r="C3836" t="str">
            <v xml:space="preserve">UN    </v>
          </cell>
          <cell r="D3836">
            <v>1088.9100000000001</v>
          </cell>
        </row>
        <row r="3837">
          <cell r="A3837">
            <v>5051</v>
          </cell>
          <cell r="B3837" t="str">
            <v>POSTE CONICO CONTINUO EM ACO GALVANIZADO, CURVO, BRACO SIMPLES, ENGASTADO,  H = 9 M, DIAMETRO INFERIOR = *135* MM</v>
          </cell>
          <cell r="C3837" t="str">
            <v xml:space="preserve">UN    </v>
          </cell>
          <cell r="D3837">
            <v>926.1</v>
          </cell>
        </row>
        <row r="3838">
          <cell r="A3838">
            <v>14162</v>
          </cell>
          <cell r="B3838" t="str">
            <v>POSTE CONICO CONTINUO EM ACO GALVANIZADO, CURVO, BRACO SIMPLES, FLANGEADO,  H = 9 M, DIAMETRO INFERIOR = *135* MM</v>
          </cell>
          <cell r="C3838" t="str">
            <v xml:space="preserve">UN    </v>
          </cell>
          <cell r="D3838">
            <v>924.76</v>
          </cell>
        </row>
        <row r="3839">
          <cell r="A3839">
            <v>5052</v>
          </cell>
          <cell r="B3839" t="str">
            <v>POSTE CONICO CONTINUO EM ACO GALVANIZADO, CURVO, BRACO SIMPLES, FLANGEADO, H = 7 M, DIAMETRO INFERIOR = *125* MM</v>
          </cell>
          <cell r="C3839" t="str">
            <v xml:space="preserve">UN    </v>
          </cell>
          <cell r="D3839">
            <v>690</v>
          </cell>
        </row>
        <row r="3840">
          <cell r="A3840">
            <v>14166</v>
          </cell>
          <cell r="B3840" t="str">
            <v>POSTE CONICO CONTINUO EM ACO GALVANIZADO, RETO, ENGASTADO,  H = 7 M, DIAMETRO INFERIOR = *125* MM</v>
          </cell>
          <cell r="C3840" t="str">
            <v xml:space="preserve">UN    </v>
          </cell>
          <cell r="D3840">
            <v>698.76</v>
          </cell>
        </row>
        <row r="3841">
          <cell r="A3841">
            <v>14165</v>
          </cell>
          <cell r="B3841" t="str">
            <v>POSTE CONICO CONTINUO EM ACO GALVANIZADO, RETO, ENGASTADO,  H = 9 M, DIAMETRO INFERIOR = *145* MM</v>
          </cell>
          <cell r="C3841" t="str">
            <v xml:space="preserve">UN    </v>
          </cell>
          <cell r="D3841">
            <v>968.03</v>
          </cell>
        </row>
        <row r="3842">
          <cell r="A3842">
            <v>5050</v>
          </cell>
          <cell r="B3842" t="str">
            <v>POSTE CONICO CONTINUO EM ACO GALVANIZADO, RETO, FLANGEADO,  H = 3 M, DIAMETRO INFERIOR = *95* MM</v>
          </cell>
          <cell r="C3842" t="str">
            <v xml:space="preserve">UN    </v>
          </cell>
          <cell r="D3842">
            <v>238.25</v>
          </cell>
        </row>
        <row r="3843">
          <cell r="A3843">
            <v>12378</v>
          </cell>
          <cell r="B3843" t="str">
            <v>POSTE CONICO CONTINUO EM ACO GALVANIZADO, RETO, FLANGEADO, H = 6 M, DIAMETRO INFERIOR = *90* CM</v>
          </cell>
          <cell r="C3843" t="str">
            <v xml:space="preserve">UN    </v>
          </cell>
          <cell r="D3843">
            <v>566.32000000000005</v>
          </cell>
        </row>
        <row r="3844">
          <cell r="A3844">
            <v>12366</v>
          </cell>
          <cell r="B3844" t="str">
            <v>POSTE DE CONCRETO CIRCULAR, 150 KG, H = 10 M (NBR 8451)</v>
          </cell>
          <cell r="C3844" t="str">
            <v xml:space="preserve">UN    </v>
          </cell>
          <cell r="D3844">
            <v>540.11</v>
          </cell>
        </row>
        <row r="3845">
          <cell r="A3845">
            <v>5045</v>
          </cell>
          <cell r="B3845" t="str">
            <v>POSTE DE CONCRETO CIRCULAR, 200 KG, H = 11 M (NBR 8451)</v>
          </cell>
          <cell r="C3845" t="str">
            <v xml:space="preserve">UN    </v>
          </cell>
          <cell r="D3845">
            <v>752.13</v>
          </cell>
        </row>
        <row r="3846">
          <cell r="A3846">
            <v>5044</v>
          </cell>
          <cell r="B3846" t="str">
            <v>POSTE DE CONCRETO CIRCULAR, 200 KG, H = 9 M (NBR 8451)</v>
          </cell>
          <cell r="C3846" t="str">
            <v xml:space="preserve">UN    </v>
          </cell>
          <cell r="D3846">
            <v>530.64</v>
          </cell>
        </row>
        <row r="3847">
          <cell r="A3847">
            <v>5055</v>
          </cell>
          <cell r="B3847" t="str">
            <v>POSTE DE CONCRETO CIRCULAR, 300 KG, H = 11 M (NBR 8451)</v>
          </cell>
          <cell r="C3847" t="str">
            <v xml:space="preserve">UN    </v>
          </cell>
          <cell r="D3847">
            <v>754.43</v>
          </cell>
        </row>
        <row r="3848">
          <cell r="A3848">
            <v>5053</v>
          </cell>
          <cell r="B3848" t="str">
            <v>POSTE DE CONCRETO CIRCULAR, 300 KG, H = 9 M (NBR 8451)</v>
          </cell>
          <cell r="C3848" t="str">
            <v xml:space="preserve">UN    </v>
          </cell>
          <cell r="D3848">
            <v>587.19000000000005</v>
          </cell>
        </row>
        <row r="3849">
          <cell r="A3849">
            <v>5035</v>
          </cell>
          <cell r="B3849" t="str">
            <v>POSTE DE CONCRETO CIRCULAR, 400 KG, H = 11 M (NBR 8451)</v>
          </cell>
          <cell r="C3849" t="str">
            <v xml:space="preserve">UN    </v>
          </cell>
          <cell r="D3849">
            <v>960.05</v>
          </cell>
        </row>
        <row r="3850">
          <cell r="A3850">
            <v>5036</v>
          </cell>
          <cell r="B3850" t="str">
            <v>POSTE DE CONCRETO CIRCULAR, 400 KG, H = 14 M (NBR 8451)</v>
          </cell>
          <cell r="C3850" t="str">
            <v xml:space="preserve">UN    </v>
          </cell>
          <cell r="D3850">
            <v>1602.64</v>
          </cell>
        </row>
        <row r="3851">
          <cell r="A3851">
            <v>5059</v>
          </cell>
          <cell r="B3851" t="str">
            <v>POSTE DE CONCRETO CIRCULAR, 400 KG, H = 9 M (NBR 8451)</v>
          </cell>
          <cell r="C3851" t="str">
            <v xml:space="preserve">UN    </v>
          </cell>
          <cell r="D3851">
            <v>750.85</v>
          </cell>
        </row>
        <row r="3852">
          <cell r="A3852">
            <v>5034</v>
          </cell>
          <cell r="B3852" t="str">
            <v>POSTE DE CONCRETO CIRCULAR, 600 KG, H = 10 M (NBR 8451)</v>
          </cell>
          <cell r="C3852" t="str">
            <v xml:space="preserve">UN    </v>
          </cell>
          <cell r="D3852">
            <v>1036.0999999999999</v>
          </cell>
        </row>
        <row r="3853">
          <cell r="A3853">
            <v>5056</v>
          </cell>
          <cell r="B3853" t="str">
            <v>POSTE DE CONCRETO DUPLO T ,TIPO B, 500 KG, H = 9 M (NBR 8451)</v>
          </cell>
          <cell r="C3853" t="str">
            <v xml:space="preserve">UN    </v>
          </cell>
          <cell r="D3853">
            <v>805.07</v>
          </cell>
        </row>
        <row r="3854">
          <cell r="A3854">
            <v>5057</v>
          </cell>
          <cell r="B3854" t="str">
            <v>POSTE DE CONCRETO DUPLO T, TIPO B, 300 KG, H = 10 M (NBR 8451)</v>
          </cell>
          <cell r="C3854" t="str">
            <v xml:space="preserve">UN    </v>
          </cell>
          <cell r="D3854">
            <v>645.66</v>
          </cell>
        </row>
        <row r="3855">
          <cell r="A3855">
            <v>5033</v>
          </cell>
          <cell r="B3855" t="str">
            <v>POSTE DE CONCRETO DUPLO T, TIPO B, 300 KG, H = 9 M (NBR 8451)</v>
          </cell>
          <cell r="C3855" t="str">
            <v xml:space="preserve">UN    </v>
          </cell>
          <cell r="D3855">
            <v>536</v>
          </cell>
        </row>
        <row r="3856">
          <cell r="A3856">
            <v>5038</v>
          </cell>
          <cell r="B3856" t="str">
            <v>POSTE DE CONCRETO DUPLO T, TIPO D, 200 KG, H = 9 M (NBR 8451)</v>
          </cell>
          <cell r="C3856" t="str">
            <v xml:space="preserve">UN    </v>
          </cell>
          <cell r="D3856">
            <v>436.84</v>
          </cell>
        </row>
        <row r="3857">
          <cell r="A3857">
            <v>12372</v>
          </cell>
          <cell r="B3857" t="str">
            <v>POSTE DE CONCRETO DUPLO T, 200 KG, H = 11 M (NBR 8451)</v>
          </cell>
          <cell r="C3857" t="str">
            <v xml:space="preserve">UN    </v>
          </cell>
          <cell r="D3857">
            <v>575.66</v>
          </cell>
        </row>
        <row r="3858">
          <cell r="A3858">
            <v>13339</v>
          </cell>
          <cell r="B3858" t="str">
            <v>POSTE DE CONCRETO DUPLO T, 300 KG, H = 12 M (NBR 8451)</v>
          </cell>
          <cell r="C3858" t="str">
            <v xml:space="preserve">UN    </v>
          </cell>
          <cell r="D3858">
            <v>855.78</v>
          </cell>
        </row>
        <row r="3859">
          <cell r="A3859">
            <v>12373</v>
          </cell>
          <cell r="B3859" t="str">
            <v>POSTE DE CONCRETO DUPLO T, 400 KG,H = 12 M (NBR 8451)</v>
          </cell>
          <cell r="C3859" t="str">
            <v xml:space="preserve">UN    </v>
          </cell>
          <cell r="D3859">
            <v>896.19</v>
          </cell>
        </row>
        <row r="3860">
          <cell r="A3860">
            <v>12388</v>
          </cell>
          <cell r="B3860" t="str">
            <v>POSTE DECORATIVO PARA JARDIM EM ACO TUBULAR, SEM LUMINARIA, H = *2,5* M</v>
          </cell>
          <cell r="C3860" t="str">
            <v xml:space="preserve">UN    </v>
          </cell>
          <cell r="D3860">
            <v>141.03</v>
          </cell>
        </row>
        <row r="3861">
          <cell r="A3861">
            <v>34695</v>
          </cell>
          <cell r="B3861" t="str">
            <v>POSTE PADRAO SUBTERRANEO 100 A, H = 2,5 M</v>
          </cell>
          <cell r="C3861" t="str">
            <v xml:space="preserve">UN    </v>
          </cell>
          <cell r="D3861">
            <v>616.4</v>
          </cell>
        </row>
        <row r="3862">
          <cell r="A3862">
            <v>34692</v>
          </cell>
          <cell r="B3862" t="str">
            <v>POSTE PADRAO SUBTERRANEO 200 A, H = 2,5 M</v>
          </cell>
          <cell r="C3862" t="str">
            <v xml:space="preserve">UN    </v>
          </cell>
          <cell r="D3862">
            <v>1479.36</v>
          </cell>
        </row>
        <row r="3863">
          <cell r="A3863">
            <v>26028</v>
          </cell>
          <cell r="B3863" t="str">
            <v>POZOLANA DE CLASSE C</v>
          </cell>
          <cell r="C3863" t="str">
            <v xml:space="preserve">T     </v>
          </cell>
          <cell r="D3863">
            <v>245.45</v>
          </cell>
        </row>
        <row r="3864">
          <cell r="A3864">
            <v>11844</v>
          </cell>
          <cell r="B3864" t="str">
            <v>PRANCHA DE MADEIRA APARELHADA *4 X 30* CM, MACARANDUBA, ANGELIM OU EQUIVALENTE DA REGIAO</v>
          </cell>
          <cell r="C3864" t="str">
            <v xml:space="preserve">M     </v>
          </cell>
          <cell r="D3864">
            <v>29</v>
          </cell>
        </row>
        <row r="3865">
          <cell r="A3865">
            <v>4465</v>
          </cell>
          <cell r="B3865" t="str">
            <v>PRANCHA DE MADEIRA NAO APARELHADA *6 X 25* CM, MACARANDUBA, ANGELIM OU EQUIVALENTE DA REGIAO</v>
          </cell>
          <cell r="C3865" t="str">
            <v xml:space="preserve">M     </v>
          </cell>
          <cell r="D3865">
            <v>27.79</v>
          </cell>
        </row>
        <row r="3866">
          <cell r="A3866">
            <v>35273</v>
          </cell>
          <cell r="B3866" t="str">
            <v>PRANCHA DE MADEIRA NAO APARELHADA *6 X 30* CM, MACARANDUBA, ANGELIM OU EQUIVALENTE DA REGIAO</v>
          </cell>
          <cell r="C3866" t="str">
            <v xml:space="preserve">M     </v>
          </cell>
          <cell r="D3866">
            <v>30.71</v>
          </cell>
        </row>
        <row r="3867">
          <cell r="A3867">
            <v>4470</v>
          </cell>
          <cell r="B3867" t="str">
            <v>PRANCHA DE MADEIRA NAO APARELHADA *6 X 40* CM, MACARANDUBA, ANGELIM OU EQUIVALENTE DA REGIAO</v>
          </cell>
          <cell r="C3867" t="str">
            <v xml:space="preserve">M     </v>
          </cell>
          <cell r="D3867">
            <v>45.88</v>
          </cell>
        </row>
        <row r="3868">
          <cell r="A3868">
            <v>20204</v>
          </cell>
          <cell r="B3868" t="str">
            <v>PRANCHAO DE MADEIRA APARELHADA *7,5 X 23* CM (3 X 9 ") MACARANDUBA, ANGELIM OU EQUIVALENTE DA REGIAO</v>
          </cell>
          <cell r="C3868" t="str">
            <v xml:space="preserve">M     </v>
          </cell>
          <cell r="D3868">
            <v>40.950000000000003</v>
          </cell>
        </row>
        <row r="3869">
          <cell r="A3869">
            <v>20208</v>
          </cell>
          <cell r="B3869" t="str">
            <v>PRANCHAO DE MADEIRA APARELHADA *8 X 30* CM, MACARANDUBA, ANGELIM OU EQUIVALENTE DA REGIAO</v>
          </cell>
          <cell r="C3869" t="str">
            <v xml:space="preserve">M     </v>
          </cell>
          <cell r="D3869">
            <v>48.08</v>
          </cell>
        </row>
        <row r="3870">
          <cell r="A3870">
            <v>4437</v>
          </cell>
          <cell r="B3870" t="str">
            <v>PRANCHAO DE MADEIRA NAO APARELHADA *7,5 X 23* CM (3 x 9 ") MACARANDUBA, ANGELIM OU EQUIVALENTE DA REGIAO</v>
          </cell>
          <cell r="C3870" t="str">
            <v xml:space="preserve">M     </v>
          </cell>
          <cell r="D3870">
            <v>33.229999999999997</v>
          </cell>
        </row>
        <row r="3871">
          <cell r="A3871">
            <v>14580</v>
          </cell>
          <cell r="B3871" t="str">
            <v>PRANCHAO DE MADEIRA NAO APARELHADA *8 X 30* CM, MACARANDUBA, ANGELIM OU EQUIVALENTE DA REGIAO</v>
          </cell>
          <cell r="C3871" t="str">
            <v xml:space="preserve">M     </v>
          </cell>
          <cell r="D3871">
            <v>36.19</v>
          </cell>
        </row>
        <row r="3872">
          <cell r="A3872">
            <v>40304</v>
          </cell>
          <cell r="B3872" t="str">
            <v>PREGO DE ACO POLIDO COM CABECA DUPLA 17 X 27 (2 1/2 X 11)</v>
          </cell>
          <cell r="C3872" t="str">
            <v xml:space="preserve">KG    </v>
          </cell>
          <cell r="D3872">
            <v>13.8</v>
          </cell>
        </row>
        <row r="3873">
          <cell r="A3873">
            <v>5065</v>
          </cell>
          <cell r="B3873" t="str">
            <v>PREGO DE ACO POLIDO COM CABECA 10 X 10 (7/8 X 17)</v>
          </cell>
          <cell r="C3873" t="str">
            <v xml:space="preserve">KG    </v>
          </cell>
          <cell r="D3873">
            <v>21.26</v>
          </cell>
        </row>
        <row r="3874">
          <cell r="A3874">
            <v>5072</v>
          </cell>
          <cell r="B3874" t="str">
            <v>PREGO DE ACO POLIDO COM CABECA 10 X 11 (1 X 17)</v>
          </cell>
          <cell r="C3874" t="str">
            <v xml:space="preserve">KG    </v>
          </cell>
          <cell r="D3874">
            <v>19.670000000000002</v>
          </cell>
        </row>
        <row r="3875">
          <cell r="A3875">
            <v>5066</v>
          </cell>
          <cell r="B3875" t="str">
            <v>PREGO DE ACO POLIDO COM CABECA 12 X 12</v>
          </cell>
          <cell r="C3875" t="str">
            <v xml:space="preserve">KG    </v>
          </cell>
          <cell r="D3875">
            <v>14.73</v>
          </cell>
        </row>
        <row r="3876">
          <cell r="A3876">
            <v>5063</v>
          </cell>
          <cell r="B3876" t="str">
            <v>PREGO DE ACO POLIDO COM CABECA 14 X 18 (1 1/2 X 14)</v>
          </cell>
          <cell r="C3876" t="str">
            <v xml:space="preserve">KG    </v>
          </cell>
          <cell r="D3876">
            <v>13.34</v>
          </cell>
        </row>
        <row r="3877">
          <cell r="A3877">
            <v>20247</v>
          </cell>
          <cell r="B3877" t="str">
            <v>PREGO DE ACO POLIDO COM CABECA 15 X 15 (1 1/4 X 13)</v>
          </cell>
          <cell r="C3877" t="str">
            <v xml:space="preserve">KG    </v>
          </cell>
          <cell r="D3877">
            <v>12.38</v>
          </cell>
        </row>
        <row r="3878">
          <cell r="A3878">
            <v>5074</v>
          </cell>
          <cell r="B3878" t="str">
            <v>PREGO DE ACO POLIDO COM CABECA 15 X 18 (1 1/2 X 13)</v>
          </cell>
          <cell r="C3878" t="str">
            <v xml:space="preserve">KG    </v>
          </cell>
          <cell r="D3878">
            <v>12.52</v>
          </cell>
        </row>
        <row r="3879">
          <cell r="A3879">
            <v>5067</v>
          </cell>
          <cell r="B3879" t="str">
            <v>PREGO DE ACO POLIDO COM CABECA 16 X 24 (2 1/4 X 12)</v>
          </cell>
          <cell r="C3879" t="str">
            <v xml:space="preserve">KG    </v>
          </cell>
          <cell r="D3879">
            <v>11.91</v>
          </cell>
        </row>
        <row r="3880">
          <cell r="A3880">
            <v>5078</v>
          </cell>
          <cell r="B3880" t="str">
            <v>PREGO DE ACO POLIDO COM CABECA 16 X 27 (2 1/2 X 12)</v>
          </cell>
          <cell r="C3880" t="str">
            <v xml:space="preserve">KG    </v>
          </cell>
          <cell r="D3880">
            <v>11.78</v>
          </cell>
        </row>
        <row r="3881">
          <cell r="A3881">
            <v>5068</v>
          </cell>
          <cell r="B3881" t="str">
            <v>PREGO DE ACO POLIDO COM CABECA 17 X 21 (2 X 11)</v>
          </cell>
          <cell r="C3881" t="str">
            <v xml:space="preserve">KG    </v>
          </cell>
          <cell r="D3881">
            <v>11.18</v>
          </cell>
        </row>
        <row r="3882">
          <cell r="A3882">
            <v>5073</v>
          </cell>
          <cell r="B3882" t="str">
            <v>PREGO DE ACO POLIDO COM CABECA 17 X 24 (2 1/4 X 11)</v>
          </cell>
          <cell r="C3882" t="str">
            <v xml:space="preserve">KG    </v>
          </cell>
          <cell r="D3882">
            <v>11.39</v>
          </cell>
        </row>
        <row r="3883">
          <cell r="A3883">
            <v>5069</v>
          </cell>
          <cell r="B3883" t="str">
            <v>PREGO DE ACO POLIDO COM CABECA 17 X 27 (2 1/2 X 11)</v>
          </cell>
          <cell r="C3883" t="str">
            <v xml:space="preserve">KG    </v>
          </cell>
          <cell r="D3883">
            <v>11.39</v>
          </cell>
        </row>
        <row r="3884">
          <cell r="A3884">
            <v>5070</v>
          </cell>
          <cell r="B3884" t="str">
            <v>PREGO DE ACO POLIDO COM CABECA 17 X 30 (2 3/4 X 11)</v>
          </cell>
          <cell r="C3884" t="str">
            <v xml:space="preserve">KG    </v>
          </cell>
          <cell r="D3884">
            <v>11.52</v>
          </cell>
        </row>
        <row r="3885">
          <cell r="A3885">
            <v>5071</v>
          </cell>
          <cell r="B3885" t="str">
            <v>PREGO DE ACO POLIDO COM CABECA 18 X 24 (2 1/4 X 10)</v>
          </cell>
          <cell r="C3885" t="str">
            <v xml:space="preserve">KG    </v>
          </cell>
          <cell r="D3885">
            <v>11.18</v>
          </cell>
        </row>
        <row r="3886">
          <cell r="A3886">
            <v>5061</v>
          </cell>
          <cell r="B3886" t="str">
            <v>PREGO DE ACO POLIDO COM CABECA 18 X 27 (2 1/2 X 10)</v>
          </cell>
          <cell r="C3886" t="str">
            <v xml:space="preserve">KG    </v>
          </cell>
          <cell r="D3886">
            <v>10.99</v>
          </cell>
        </row>
        <row r="3887">
          <cell r="A3887">
            <v>5075</v>
          </cell>
          <cell r="B3887" t="str">
            <v>PREGO DE ACO POLIDO COM CABECA 18 X 30 (2 3/4 X 10)</v>
          </cell>
          <cell r="C3887" t="str">
            <v xml:space="preserve">KG    </v>
          </cell>
          <cell r="D3887">
            <v>11.18</v>
          </cell>
        </row>
        <row r="3888">
          <cell r="A3888">
            <v>39027</v>
          </cell>
          <cell r="B3888" t="str">
            <v>PREGO DE ACO POLIDO COM CABECA 19  X 36 (3 1/4  X  9)</v>
          </cell>
          <cell r="C3888" t="str">
            <v xml:space="preserve">KG    </v>
          </cell>
          <cell r="D3888">
            <v>11.17</v>
          </cell>
        </row>
        <row r="3889">
          <cell r="A3889">
            <v>5062</v>
          </cell>
          <cell r="B3889" t="str">
            <v>PREGO DE ACO POLIDO COM CABECA 19 X 33 (3 X 9)</v>
          </cell>
          <cell r="C3889" t="str">
            <v xml:space="preserve">KG    </v>
          </cell>
          <cell r="D3889">
            <v>11.32</v>
          </cell>
        </row>
        <row r="3890">
          <cell r="A3890">
            <v>40568</v>
          </cell>
          <cell r="B3890" t="str">
            <v>PREGO DE ACO POLIDO COM CABECA 22 X 48 (4 1/4 X 5)</v>
          </cell>
          <cell r="C3890" t="str">
            <v xml:space="preserve">KG    </v>
          </cell>
          <cell r="D3890">
            <v>11.26</v>
          </cell>
        </row>
        <row r="3891">
          <cell r="A3891">
            <v>39026</v>
          </cell>
          <cell r="B3891" t="str">
            <v>PREGO DE ACO POLIDO SEM CABECA 15 X 15 (1 1/4 X 13)</v>
          </cell>
          <cell r="C3891" t="str">
            <v xml:space="preserve">KG    </v>
          </cell>
          <cell r="D3891">
            <v>12.57</v>
          </cell>
        </row>
        <row r="3892">
          <cell r="A3892">
            <v>11572</v>
          </cell>
          <cell r="B3892" t="str">
            <v>PRENDEDOR / TRAVA DE PORTA, MONTAGEM PISO / PORTA, EM LATAO / ZAMAC, CROMADO</v>
          </cell>
          <cell r="C3892" t="str">
            <v xml:space="preserve">UN    </v>
          </cell>
          <cell r="D3892">
            <v>16.45</v>
          </cell>
        </row>
        <row r="3893">
          <cell r="A3893">
            <v>42431</v>
          </cell>
          <cell r="B3893" t="str">
            <v>PRESSAO DE PERNAS TRIPLO, EM TUBO DE ACO CARBONO, PINTURA NO PROCESSO ELETROSTATICO - EQUIPAMENTO DE GINASTICA PARA ACADEMIA AO AR LIVRE / ACADEMIA DA TERCEIRA IDADE - ATI</v>
          </cell>
          <cell r="C3893" t="str">
            <v xml:space="preserve">UN    </v>
          </cell>
          <cell r="D3893">
            <v>2202.87</v>
          </cell>
        </row>
        <row r="3894">
          <cell r="A3894">
            <v>11149</v>
          </cell>
          <cell r="B3894" t="str">
            <v>PRIMER EPOXI</v>
          </cell>
          <cell r="C3894" t="str">
            <v xml:space="preserve">GL    </v>
          </cell>
          <cell r="D3894">
            <v>175.7</v>
          </cell>
        </row>
        <row r="3895">
          <cell r="A3895">
            <v>511</v>
          </cell>
          <cell r="B3895" t="str">
            <v>PRIMER PARA MANTA ASFALTICA A BASE DE ASFALTO MODIFICADO DILUIDO EM SOLVENTE, APLICACAO A FRIO</v>
          </cell>
          <cell r="C3895" t="str">
            <v xml:space="preserve">L     </v>
          </cell>
          <cell r="D3895">
            <v>15.79</v>
          </cell>
        </row>
        <row r="3896">
          <cell r="A3896">
            <v>11174</v>
          </cell>
          <cell r="B3896" t="str">
            <v>PRIMER UNIVERSAL, FUNDO ANTICORROSIVO TIPO ZARCAO</v>
          </cell>
          <cell r="C3896" t="str">
            <v xml:space="preserve">18L   </v>
          </cell>
          <cell r="D3896">
            <v>498.87</v>
          </cell>
        </row>
        <row r="3897">
          <cell r="A3897">
            <v>37540</v>
          </cell>
          <cell r="B3897" t="str">
            <v>PROJETOR DE ARGAMASSA, CAPACIDADE DE PROJECAO 1,5 M3/H, ALCANCE DA PROJECAO 30 ATE 60 M, MOTOR ELETRICO TRIFASICO</v>
          </cell>
          <cell r="C3897" t="str">
            <v xml:space="preserve">UN    </v>
          </cell>
          <cell r="D3897">
            <v>59049.78</v>
          </cell>
        </row>
        <row r="3898">
          <cell r="A3898">
            <v>37548</v>
          </cell>
          <cell r="B3898" t="str">
            <v>PROJETOR DE ARGAMASSA, CAPACIDADE DE PROJECAO 2,0 M3/H, ALCANCE DA PROJECAO ATE 50 M, MOTOR ELETRICO TRIFASICO</v>
          </cell>
          <cell r="C3898" t="str">
            <v xml:space="preserve">UN    </v>
          </cell>
          <cell r="D3898">
            <v>78270.19</v>
          </cell>
        </row>
        <row r="3899">
          <cell r="A3899">
            <v>39828</v>
          </cell>
          <cell r="B3899" t="str">
            <v>PROJETOR PNEUMATICO DE ARGAMASSA PARA CHAPISCO E REBOCO COM RECIPIENTE ACOPLADO, TIPO CANEQUNHA, COM VOLUME DE 1,50 L, SEM COMPRESSOR</v>
          </cell>
          <cell r="C3899" t="str">
            <v xml:space="preserve">UN    </v>
          </cell>
          <cell r="D3899">
            <v>469.54</v>
          </cell>
        </row>
        <row r="3900">
          <cell r="A3900">
            <v>12273</v>
          </cell>
          <cell r="B3900" t="str">
            <v>PROJETOR RETANGULAR FECHADO PARA LAMPADA VAPOR DE MERCURIO/SODIO 250 W A 500 W, CABECEIRAS EM ALUMINIO FUNDIDO, CORPO EM ALUMINIO ANODIZADO, PARA LAMPADA E40 FECHAMENTO EM VIDRO TEMPERADO.</v>
          </cell>
          <cell r="C3900" t="str">
            <v xml:space="preserve">UN    </v>
          </cell>
          <cell r="D3900">
            <v>56.59</v>
          </cell>
        </row>
        <row r="3901">
          <cell r="A3901">
            <v>38392</v>
          </cell>
          <cell r="B3901" t="str">
            <v>PROLONGADOR/EXTENSOR PARA ROLO DE PINTURA 3 M</v>
          </cell>
          <cell r="C3901" t="str">
            <v xml:space="preserve">UN    </v>
          </cell>
          <cell r="D3901">
            <v>51.73</v>
          </cell>
        </row>
        <row r="3902">
          <cell r="A3902">
            <v>11735</v>
          </cell>
          <cell r="B3902" t="str">
            <v>PROLONGAMENTO PVC PARA CAIXA SIFONADA  100 MM X 200 MM (NBR 5688)</v>
          </cell>
          <cell r="C3902" t="str">
            <v xml:space="preserve">UN    </v>
          </cell>
          <cell r="D3902">
            <v>3.98</v>
          </cell>
        </row>
        <row r="3903">
          <cell r="A3903">
            <v>11733</v>
          </cell>
          <cell r="B3903" t="str">
            <v>PROLONGAMENTO PVC PARA CAIXA SIFONADA 100 MM X 100 MM (NBR 5688)</v>
          </cell>
          <cell r="C3903" t="str">
            <v xml:space="preserve">UN    </v>
          </cell>
          <cell r="D3903">
            <v>1.95</v>
          </cell>
        </row>
        <row r="3904">
          <cell r="A3904">
            <v>11734</v>
          </cell>
          <cell r="B3904" t="str">
            <v>PROLONGAMENTO PVC PARA CAIXA SIFONADA, 100 MM X 150 MM (NBR 5688)</v>
          </cell>
          <cell r="C3904" t="str">
            <v xml:space="preserve">UN    </v>
          </cell>
          <cell r="D3904">
            <v>3</v>
          </cell>
        </row>
        <row r="3905">
          <cell r="A3905">
            <v>11737</v>
          </cell>
          <cell r="B3905" t="str">
            <v>PROLONGAMENTO PVC PARA CAIXA SIFONADA, 150 MM X 150 MM (NBR 5688)</v>
          </cell>
          <cell r="C3905" t="str">
            <v xml:space="preserve">UN    </v>
          </cell>
          <cell r="D3905">
            <v>5.31</v>
          </cell>
        </row>
        <row r="3906">
          <cell r="A3906">
            <v>11738</v>
          </cell>
          <cell r="B3906" t="str">
            <v>PROLONGAMENTO PVC PARA CAIXA SIFONADA, 150 MM X 200 MM (NBR 5688)</v>
          </cell>
          <cell r="C3906" t="str">
            <v xml:space="preserve">UN    </v>
          </cell>
          <cell r="D3906">
            <v>8.64</v>
          </cell>
        </row>
        <row r="3907">
          <cell r="A3907">
            <v>36143</v>
          </cell>
          <cell r="B3907" t="str">
            <v>PROTETOR AUDITIVO TIPO CONCHA COM ABAFADOR DE RUIDOS, ATENUACAO ACIMA DE 22 DB</v>
          </cell>
          <cell r="C3907" t="str">
            <v xml:space="preserve">UN    </v>
          </cell>
          <cell r="D3907">
            <v>24.7</v>
          </cell>
        </row>
        <row r="3908">
          <cell r="A3908">
            <v>36142</v>
          </cell>
          <cell r="B3908" t="str">
            <v>PROTETOR AUDITIVO TIPO PLUG DE INSERCAO COM CORDAO, ATENUACAO SUPERIOR A 15 DB</v>
          </cell>
          <cell r="C3908" t="str">
            <v xml:space="preserve">UN    </v>
          </cell>
          <cell r="D3908">
            <v>1.8</v>
          </cell>
        </row>
        <row r="3909">
          <cell r="A3909">
            <v>36146</v>
          </cell>
          <cell r="B3909" t="str">
            <v>PROTETOR SOLAR FPS 30, EMBALAGEM 2 LITROS</v>
          </cell>
          <cell r="C3909" t="str">
            <v xml:space="preserve">UN    </v>
          </cell>
          <cell r="D3909">
            <v>204.85</v>
          </cell>
        </row>
        <row r="3910">
          <cell r="A3910">
            <v>39015</v>
          </cell>
          <cell r="B3910" t="str">
            <v>PROTETOR/PONTEIRA PLASTICA PARA PONTA DE VERGALHAO DE ATE 1", TIPO PROTETOR DE ESPERA</v>
          </cell>
          <cell r="C3910" t="str">
            <v xml:space="preserve">UN    </v>
          </cell>
          <cell r="D3910">
            <v>0.6</v>
          </cell>
        </row>
        <row r="3911">
          <cell r="A3911">
            <v>38377</v>
          </cell>
          <cell r="B3911" t="str">
            <v>PRUMO DE CENTRO EM ACO *400* G</v>
          </cell>
          <cell r="C3911" t="str">
            <v xml:space="preserve">UN    </v>
          </cell>
          <cell r="D3911">
            <v>24.12</v>
          </cell>
        </row>
        <row r="3912">
          <cell r="A3912">
            <v>38376</v>
          </cell>
          <cell r="B3912" t="str">
            <v>PRUMO DE PAREDE EM ACO 700 A 750 G</v>
          </cell>
          <cell r="C3912" t="str">
            <v xml:space="preserve">UN    </v>
          </cell>
          <cell r="D3912">
            <v>27.5</v>
          </cell>
        </row>
        <row r="3913">
          <cell r="A3913">
            <v>38116</v>
          </cell>
          <cell r="B3913" t="str">
            <v>PULSADOR CAMPAINHA 10A, 250V (APENAS MODULO)</v>
          </cell>
          <cell r="C3913" t="str">
            <v xml:space="preserve">UN    </v>
          </cell>
          <cell r="D3913">
            <v>3.45</v>
          </cell>
        </row>
        <row r="3914">
          <cell r="A3914">
            <v>38066</v>
          </cell>
          <cell r="B3914" t="str">
            <v>PULSADOR CAMPAINHA 10A, 250V, CONJUNTO MONTADO PARA EMBUTIR 4" X 2" (PLACA + SUPORTE + MODULO)</v>
          </cell>
          <cell r="C3914" t="str">
            <v xml:space="preserve">UN    </v>
          </cell>
          <cell r="D3914">
            <v>5.7</v>
          </cell>
        </row>
        <row r="3915">
          <cell r="A3915">
            <v>38117</v>
          </cell>
          <cell r="B3915" t="str">
            <v>PULSADOR MINUTERIA 10A, 250V (APENAS MODULO)</v>
          </cell>
          <cell r="C3915" t="str">
            <v xml:space="preserve">UN    </v>
          </cell>
          <cell r="D3915">
            <v>5.88</v>
          </cell>
        </row>
        <row r="3916">
          <cell r="A3916">
            <v>38067</v>
          </cell>
          <cell r="B3916" t="str">
            <v>PULSADOR MINUTERIA 10A, 250V, CONJUNTO MONTADO PARA EMBUTIR 4" X 2" (PLACA + SUPORTE + MODULO)</v>
          </cell>
          <cell r="C3916" t="str">
            <v xml:space="preserve">UN    </v>
          </cell>
          <cell r="D3916">
            <v>8.02</v>
          </cell>
        </row>
        <row r="3917">
          <cell r="A3917">
            <v>41757</v>
          </cell>
          <cell r="B3917" t="str">
            <v>PULVERIZADOR DE TINTA ELETRICO / MAQUINA DE PINTURA AIRLESS, VAZAO *2* L/MIN (COLETADO CAIXA)</v>
          </cell>
          <cell r="C3917" t="str">
            <v xml:space="preserve">UN    </v>
          </cell>
          <cell r="D3917">
            <v>6337.15</v>
          </cell>
        </row>
        <row r="3918">
          <cell r="A3918">
            <v>5080</v>
          </cell>
          <cell r="B3918" t="str">
            <v>PUXADOR CENTRAL, TIPO ALCA, EM ZAMAC CROMADO, COM ROSETAS, COMPRIMENTO *100* MM, PARA PORTA / JANELA EM MADEIRA OU METALICA - INCLUI PARAFUSOS</v>
          </cell>
          <cell r="C3918" t="str">
            <v xml:space="preserve">UN    </v>
          </cell>
          <cell r="D3918">
            <v>11.66</v>
          </cell>
        </row>
        <row r="3919">
          <cell r="A3919">
            <v>11522</v>
          </cell>
          <cell r="B3919" t="str">
            <v>PUXADOR CONCHA DE EMBUTIR PARA JANELA / PORTA DE CORRER, EM LATAO CROMADO, COM FURO CENTRAL PARA CHAVE E FUROS PARA PARAFUSOS, *40 X 100* MM  (LARGURA X ALTURA) - SEM FECHADURA</v>
          </cell>
          <cell r="C3919" t="str">
            <v xml:space="preserve">UN    </v>
          </cell>
          <cell r="D3919">
            <v>14.58</v>
          </cell>
        </row>
        <row r="3920">
          <cell r="A3920">
            <v>38168</v>
          </cell>
          <cell r="B3920" t="str">
            <v>PUXADOR TUBULAR RETO, DUPLO, EM ALUMINIO POLIDO, DIAMETRO APROX.DE 1", COMPRIMENTO APROX. DE 400 MM, PARA PORTAS DE MADEIRA OU VIDRO</v>
          </cell>
          <cell r="C3920" t="str">
            <v xml:space="preserve">UN    </v>
          </cell>
          <cell r="D3920">
            <v>135.62</v>
          </cell>
        </row>
        <row r="3921">
          <cell r="A3921">
            <v>13393</v>
          </cell>
          <cell r="B3921" t="str">
            <v>QUADRO DE DISTRIBUICAO COM BARRAMENTO TRIFASICO, DE EMBUTIR, EM CHAPA DE ACO GALVANIZADO, PARA 12 DISJUNTORES DIN, 100 A</v>
          </cell>
          <cell r="C3921" t="str">
            <v xml:space="preserve">UN    </v>
          </cell>
          <cell r="D3921">
            <v>291.10000000000002</v>
          </cell>
        </row>
        <row r="3922">
          <cell r="A3922">
            <v>13395</v>
          </cell>
          <cell r="B3922" t="str">
            <v>QUADRO DE DISTRIBUICAO COM BARRAMENTO TRIFASICO, DE EMBUTIR, EM CHAPA DE ACO GALVANIZADO, PARA 18 DISJUNTORES DIN, 100 A, INCLUINDO BARRAMENTO</v>
          </cell>
          <cell r="C3922" t="str">
            <v xml:space="preserve">UN    </v>
          </cell>
          <cell r="D3922">
            <v>407.95</v>
          </cell>
        </row>
        <row r="3923">
          <cell r="A3923">
            <v>12039</v>
          </cell>
          <cell r="B3923" t="str">
            <v>QUADRO DE DISTRIBUICAO COM BARRAMENTO TRIFASICO, DE EMBUTIR, EM CHAPA DE ACO GALVANIZADO, PARA 24 DISJUNTORES DIN, 100 A</v>
          </cell>
          <cell r="C3923" t="str">
            <v xml:space="preserve">UN    </v>
          </cell>
          <cell r="D3923">
            <v>428.72</v>
          </cell>
        </row>
        <row r="3924">
          <cell r="A3924">
            <v>13396</v>
          </cell>
          <cell r="B3924" t="str">
            <v>QUADRO DE DISTRIBUICAO COM BARRAMENTO TRIFASICO, DE EMBUTIR, EM CHAPA DE ACO GALVANIZADO, PARA 28 DISJUNTORES DIN, 100 A</v>
          </cell>
          <cell r="C3924" t="str">
            <v xml:space="preserve">UN    </v>
          </cell>
          <cell r="D3924">
            <v>602.1</v>
          </cell>
        </row>
        <row r="3925">
          <cell r="A3925">
            <v>12041</v>
          </cell>
          <cell r="B3925" t="str">
            <v>QUADRO DE DISTRIBUICAO COM BARRAMENTO TRIFASICO, DE EMBUTIR, EM CHAPA DE ACO GALVANIZADO, PARA 30 DISJUNTORES DIN, 150 A</v>
          </cell>
          <cell r="C3925" t="str">
            <v xml:space="preserve">UN    </v>
          </cell>
          <cell r="D3925">
            <v>491.65</v>
          </cell>
        </row>
        <row r="3926">
          <cell r="A3926">
            <v>12043</v>
          </cell>
          <cell r="B3926" t="str">
            <v>QUADRO DE DISTRIBUICAO COM BARRAMENTO TRIFASICO, DE EMBUTIR, EM CHAPA DE ACO GALVANIZADO, PARA 30 DISJUNTORES DIN, 225 A</v>
          </cell>
          <cell r="C3926" t="str">
            <v xml:space="preserve">UN    </v>
          </cell>
          <cell r="D3926">
            <v>1038.05</v>
          </cell>
        </row>
        <row r="3927">
          <cell r="A3927">
            <v>39762</v>
          </cell>
          <cell r="B3927" t="str">
            <v>QUADRO DE DISTRIBUICAO COM BARRAMENTO TRIFASICO, DE EMBUTIR, EM CHAPA DE ACO GALVANIZADO, PARA 36 DISJUNTORES DIN, 100 A</v>
          </cell>
          <cell r="C3927" t="str">
            <v xml:space="preserve">UN    </v>
          </cell>
          <cell r="D3927">
            <v>494.14</v>
          </cell>
        </row>
        <row r="3928">
          <cell r="A3928">
            <v>12042</v>
          </cell>
          <cell r="B3928" t="str">
            <v>QUADRO DE DISTRIBUICAO COM BARRAMENTO TRIFASICO, DE EMBUTIR, EM CHAPA DE ACO GALVANIZADO, PARA 40 DISJUNTORES DIN, 100 A</v>
          </cell>
          <cell r="C3928" t="str">
            <v xml:space="preserve">UN    </v>
          </cell>
          <cell r="D3928">
            <v>721.43</v>
          </cell>
        </row>
        <row r="3929">
          <cell r="A3929">
            <v>39763</v>
          </cell>
          <cell r="B3929" t="str">
            <v>QUADRO DE DISTRIBUICAO COM BARRAMENTO TRIFASICO, DE EMBUTIR, EM CHAPA DE ACO GALVANIZADO, PARA 48 DISJUNTORES DIN, 100 A</v>
          </cell>
          <cell r="C3929" t="str">
            <v xml:space="preserve">UN    </v>
          </cell>
          <cell r="D3929">
            <v>844.34</v>
          </cell>
        </row>
        <row r="3930">
          <cell r="A3930">
            <v>39760</v>
          </cell>
          <cell r="B3930" t="str">
            <v>QUADRO DE DISTRIBUICAO COM BARRAMENTO TRIFASICO, DE SOBREPOR, EM CHAPA DE ACO GALVANIZADO, PARA *42* DISJUNTORES DIN, 100 A</v>
          </cell>
          <cell r="C3930" t="str">
            <v xml:space="preserve">UN    </v>
          </cell>
          <cell r="D3930">
            <v>841.56</v>
          </cell>
        </row>
        <row r="3931">
          <cell r="A3931">
            <v>39756</v>
          </cell>
          <cell r="B3931" t="str">
            <v>QUADRO DE DISTRIBUICAO COM BARRAMENTO TRIFASICO, DE SOBREPOR, EM CHAPA DE ACO GALVANIZADO, PARA 12 DISJUNTORES DIN, 100 A</v>
          </cell>
          <cell r="C3931" t="str">
            <v xml:space="preserve">UN    </v>
          </cell>
          <cell r="D3931">
            <v>302.17</v>
          </cell>
        </row>
        <row r="3932">
          <cell r="A3932">
            <v>12038</v>
          </cell>
          <cell r="B3932" t="str">
            <v>QUADRO DE DISTRIBUICAO COM BARRAMENTO TRIFASICO, DE SOBREPOR, EM CHAPA DE ACO GALVANIZADO, PARA 18 DISJUNTORES DIN, 100 A</v>
          </cell>
          <cell r="C3932" t="str">
            <v xml:space="preserve">UN    </v>
          </cell>
          <cell r="D3932">
            <v>377.57</v>
          </cell>
        </row>
        <row r="3933">
          <cell r="A3933">
            <v>39757</v>
          </cell>
          <cell r="B3933" t="str">
            <v>QUADRO DE DISTRIBUICAO COM BARRAMENTO TRIFASICO, DE SOBREPOR, EM CHAPA DE ACO GALVANIZADO, PARA 28 DISJUNTORES DIN, 100 A</v>
          </cell>
          <cell r="C3933" t="str">
            <v xml:space="preserve">UN    </v>
          </cell>
          <cell r="D3933">
            <v>349.13</v>
          </cell>
        </row>
        <row r="3934">
          <cell r="A3934">
            <v>39758</v>
          </cell>
          <cell r="B3934" t="str">
            <v>QUADRO DE DISTRIBUICAO COM BARRAMENTO TRIFASICO, DE SOBREPOR, EM CHAPA DE ACO GALVANIZADO, PARA 30 DISJUNTORES DIN, 100 A</v>
          </cell>
          <cell r="C3934" t="str">
            <v xml:space="preserve">UN    </v>
          </cell>
          <cell r="D3934">
            <v>508.82</v>
          </cell>
        </row>
        <row r="3935">
          <cell r="A3935">
            <v>39759</v>
          </cell>
          <cell r="B3935" t="str">
            <v>QUADRO DE DISTRIBUICAO COM BARRAMENTO TRIFASICO, DE SOBREPOR, EM CHAPA DE ACO GALVANIZADO, PARA 36 DISJUNTORES DIN, 100 A</v>
          </cell>
          <cell r="C3935" t="str">
            <v xml:space="preserve">UN    </v>
          </cell>
          <cell r="D3935">
            <v>628.39</v>
          </cell>
        </row>
        <row r="3936">
          <cell r="A3936">
            <v>39761</v>
          </cell>
          <cell r="B3936" t="str">
            <v>QUADRO DE DISTRIBUICAO COM BARRAMENTO TRIFASICO, DE SOBREPOR, EM CHAPA DE ACO GALVANIZADO, PARA 48 DISJUNTORES DIN, 100 A</v>
          </cell>
          <cell r="C3936" t="str">
            <v xml:space="preserve">UN    </v>
          </cell>
          <cell r="D3936">
            <v>755.35</v>
          </cell>
        </row>
        <row r="3937">
          <cell r="A3937">
            <v>39805</v>
          </cell>
          <cell r="B3937" t="str">
            <v>QUADRO DE DISTRIBUICAO, EM PVC, DE EMBUTIR, COM BARRAMENTO TERRA / NEUTRO, PARA 12 DISJUNTORES NEMA OU 16 DISJUNTORES DIN</v>
          </cell>
          <cell r="C3937" t="str">
            <v xml:space="preserve">UN    </v>
          </cell>
          <cell r="D3937">
            <v>107.36</v>
          </cell>
        </row>
        <row r="3938">
          <cell r="A3938">
            <v>39806</v>
          </cell>
          <cell r="B3938" t="str">
            <v>QUADRO DE DISTRIBUICAO, EM PVC, DE EMBUTIR, COM BARRAMENTO TERRA / NEUTRO, PARA 18 DISJUNTORES NEMA OU 24 DISJUNTORES DIN</v>
          </cell>
          <cell r="C3938" t="str">
            <v xml:space="preserve">UN    </v>
          </cell>
          <cell r="D3938">
            <v>198.91</v>
          </cell>
        </row>
        <row r="3939">
          <cell r="A3939">
            <v>39807</v>
          </cell>
          <cell r="B3939" t="str">
            <v>QUADRO DE DISTRIBUICAO, EM PVC, DE EMBUTIR, COM BARRAMENTO TERRA / NEUTRO, PARA 27 DISJUNTORES NEMA OU 36 DISJUNTORES DIN</v>
          </cell>
          <cell r="C3939" t="str">
            <v xml:space="preserve">UN    </v>
          </cell>
          <cell r="D3939">
            <v>431.08</v>
          </cell>
        </row>
        <row r="3940">
          <cell r="A3940">
            <v>43100</v>
          </cell>
          <cell r="B3940" t="str">
            <v>QUADRO DE DISTRIBUICAO, EM PVC, DE EMBUTIR, COM BARRAMENTO TERRA / NEUTRO, PARA 48 DISJUNTORES DIN</v>
          </cell>
          <cell r="C3940" t="str">
            <v xml:space="preserve">UN    </v>
          </cell>
          <cell r="D3940">
            <v>337.01</v>
          </cell>
        </row>
        <row r="3941">
          <cell r="A3941">
            <v>39804</v>
          </cell>
          <cell r="B3941" t="str">
            <v>QUADRO DE DISTRIBUICAO, EM PVC, DE EMBUTIR, COM BARRAMENTO TERRA / NEUTRO, PARA 6 DISJUNTORES NEMA OU 8 DISJUNTORES DIN</v>
          </cell>
          <cell r="C3941" t="str">
            <v xml:space="preserve">UN    </v>
          </cell>
          <cell r="D3941">
            <v>63.04</v>
          </cell>
        </row>
        <row r="3942">
          <cell r="A3942">
            <v>39796</v>
          </cell>
          <cell r="B3942" t="str">
            <v>QUADRO DE DISTRIBUICAO, SEM BARRAMENTO, EM PVC, DE EMBUTIR, PARA 12 DISJUNTORES NEMA OU 16 DISJUNTORES DIN</v>
          </cell>
          <cell r="C3942" t="str">
            <v xml:space="preserve">UN    </v>
          </cell>
          <cell r="D3942">
            <v>65.290000000000006</v>
          </cell>
        </row>
        <row r="3943">
          <cell r="A3943">
            <v>39797</v>
          </cell>
          <cell r="B3943" t="str">
            <v>QUADRO DE DISTRIBUICAO, SEM BARRAMENTO, EM PVC, DE EMBUTIR, PARA 18 DISJUNTORES NEMA OU 24 DISJUNTORES DIN</v>
          </cell>
          <cell r="C3943" t="str">
            <v xml:space="preserve">UN    </v>
          </cell>
          <cell r="D3943">
            <v>102.5</v>
          </cell>
        </row>
        <row r="3944">
          <cell r="A3944">
            <v>39798</v>
          </cell>
          <cell r="B3944" t="str">
            <v>QUADRO DE DISTRIBUICAO, SEM BARRAMENTO, EM PVC, DE EMBUTIR, PARA 27 DISJUNTORES NEMA OU 36 DISJUNTORES DIN</v>
          </cell>
          <cell r="C3944" t="str">
            <v xml:space="preserve">UN    </v>
          </cell>
          <cell r="D3944">
            <v>175.82</v>
          </cell>
        </row>
        <row r="3945">
          <cell r="A3945">
            <v>39794</v>
          </cell>
          <cell r="B3945" t="str">
            <v>QUADRO DE DISTRIBUICAO, SEM BARRAMENTO, EM PVC, DE EMBUTIR, PARA 3 DISJUNTORES NEMA OU 4 DISJUNTORES DIN</v>
          </cell>
          <cell r="C3945" t="str">
            <v xml:space="preserve">UN    </v>
          </cell>
          <cell r="D3945">
            <v>27.71</v>
          </cell>
        </row>
        <row r="3946">
          <cell r="A3946">
            <v>39795</v>
          </cell>
          <cell r="B3946" t="str">
            <v>QUADRO DE DISTRIBUICAO, SEM BARRAMENTO, EM PVC, DE EMBUTIR, PARA 6 DISJUNTORES NEMA OU 8 DISJUNTORES DIN</v>
          </cell>
          <cell r="C3946" t="str">
            <v xml:space="preserve">UN    </v>
          </cell>
          <cell r="D3946">
            <v>43.78</v>
          </cell>
        </row>
        <row r="3947">
          <cell r="A3947">
            <v>39799</v>
          </cell>
          <cell r="B3947" t="str">
            <v>QUADRO DE DISTRIBUICAO, SEM BARRAMENTO, EM PVC, DE SOBREPOR,  PARA 3 DISJUNTORES NEMA OU 4 DISJUNTORES DIN</v>
          </cell>
          <cell r="C3947" t="str">
            <v xml:space="preserve">UN    </v>
          </cell>
          <cell r="D3947">
            <v>32.299999999999997</v>
          </cell>
        </row>
        <row r="3948">
          <cell r="A3948">
            <v>39801</v>
          </cell>
          <cell r="B3948" t="str">
            <v>QUADRO DE DISTRIBUICAO, SEM BARRAMENTO, EM PVC, DE SOBREPOR, PARA 12 DISJUNTORES NEMA OU 16 DISJUNTORES DIN</v>
          </cell>
          <cell r="C3948" t="str">
            <v xml:space="preserve">UN    </v>
          </cell>
          <cell r="D3948">
            <v>92.46</v>
          </cell>
        </row>
        <row r="3949">
          <cell r="A3949">
            <v>39802</v>
          </cell>
          <cell r="B3949" t="str">
            <v>QUADRO DE DISTRIBUICAO, SEM BARRAMENTO, EM PVC, DE SOBREPOR, PARA 18 DISJUNTORES NEMA OU 24 DISJUNTORES DIN</v>
          </cell>
          <cell r="C3949" t="str">
            <v xml:space="preserve">UN    </v>
          </cell>
          <cell r="D3949">
            <v>135.53</v>
          </cell>
        </row>
        <row r="3950">
          <cell r="A3950">
            <v>39803</v>
          </cell>
          <cell r="B3950" t="str">
            <v>QUADRO DE DISTRIBUICAO, SEM BARRAMENTO, EM PVC, DE SOBREPOR, PARA 27 DISJUNTORES NEMA OU 36 DISJUNTORES DIN</v>
          </cell>
          <cell r="C3950" t="str">
            <v xml:space="preserve">UN    </v>
          </cell>
          <cell r="D3950">
            <v>189.07</v>
          </cell>
        </row>
        <row r="3951">
          <cell r="A3951">
            <v>39800</v>
          </cell>
          <cell r="B3951" t="str">
            <v>QUADRO DE DISTRIBUICAO, SEM BARRAMENTO, EM PVC, DE SOBREPOR, PARA 6 DISJUNTORES NEMA OU 8 DISJUNTORES DIN</v>
          </cell>
          <cell r="C3951" t="str">
            <v xml:space="preserve">UN    </v>
          </cell>
          <cell r="D3951">
            <v>55.03</v>
          </cell>
        </row>
        <row r="3952">
          <cell r="A3952">
            <v>4224</v>
          </cell>
          <cell r="B3952" t="str">
            <v>QUEROSENE</v>
          </cell>
          <cell r="C3952" t="str">
            <v xml:space="preserve">L     </v>
          </cell>
          <cell r="D3952">
            <v>13.06</v>
          </cell>
        </row>
        <row r="3953">
          <cell r="A3953">
            <v>21059</v>
          </cell>
          <cell r="B3953" t="str">
            <v>RALO FOFO COM REQUADRO, QUADRADO 150 X 150 MM</v>
          </cell>
          <cell r="C3953" t="str">
            <v xml:space="preserve">UN    </v>
          </cell>
          <cell r="D3953">
            <v>39.47</v>
          </cell>
        </row>
        <row r="3954">
          <cell r="A3954">
            <v>11234</v>
          </cell>
          <cell r="B3954" t="str">
            <v>RALO FOFO COM REQUADRO, QUADRADO 200 X 200 MM</v>
          </cell>
          <cell r="C3954" t="str">
            <v xml:space="preserve">UN    </v>
          </cell>
          <cell r="D3954">
            <v>59.49</v>
          </cell>
        </row>
        <row r="3955">
          <cell r="A3955">
            <v>21060</v>
          </cell>
          <cell r="B3955" t="str">
            <v>RALO FOFO COM REQUADRO, QUADRADO 250 X 250 MM</v>
          </cell>
          <cell r="C3955" t="str">
            <v xml:space="preserve">UN    </v>
          </cell>
          <cell r="D3955">
            <v>73.22</v>
          </cell>
        </row>
        <row r="3956">
          <cell r="A3956">
            <v>21061</v>
          </cell>
          <cell r="B3956" t="str">
            <v>RALO FOFO COM REQUADRO, QUADRADO 300 X 300 MM</v>
          </cell>
          <cell r="C3956" t="str">
            <v xml:space="preserve">UN    </v>
          </cell>
          <cell r="D3956">
            <v>91.53</v>
          </cell>
        </row>
        <row r="3957">
          <cell r="A3957">
            <v>21062</v>
          </cell>
          <cell r="B3957" t="str">
            <v>RALO FOFO COM REQUADRO, QUADRADO 400 X 400 MM</v>
          </cell>
          <cell r="C3957" t="str">
            <v xml:space="preserve">UN    </v>
          </cell>
          <cell r="D3957">
            <v>144.16</v>
          </cell>
        </row>
        <row r="3958">
          <cell r="A3958">
            <v>11708</v>
          </cell>
          <cell r="B3958" t="str">
            <v>RALO FOFO SEMIESFERICO, 100 MM, PARA LAJES/ CALHAS</v>
          </cell>
          <cell r="C3958" t="str">
            <v xml:space="preserve">UN    </v>
          </cell>
          <cell r="D3958">
            <v>15.73</v>
          </cell>
        </row>
        <row r="3959">
          <cell r="A3959">
            <v>11709</v>
          </cell>
          <cell r="B3959" t="str">
            <v>RALO FOFO SEMIESFERICO, 150 MM, PARA LAJES/ CALHAS</v>
          </cell>
          <cell r="C3959" t="str">
            <v xml:space="preserve">UN    </v>
          </cell>
          <cell r="D3959">
            <v>36.950000000000003</v>
          </cell>
        </row>
        <row r="3960">
          <cell r="A3960">
            <v>11710</v>
          </cell>
          <cell r="B3960" t="str">
            <v>RALO FOFO SEMIESFERICO, 200 MM, PARA LAJES/ CALHAS</v>
          </cell>
          <cell r="C3960" t="str">
            <v xml:space="preserve">UN    </v>
          </cell>
          <cell r="D3960">
            <v>84.95</v>
          </cell>
        </row>
        <row r="3961">
          <cell r="A3961">
            <v>11707</v>
          </cell>
          <cell r="B3961" t="str">
            <v>RALO FOFO SEMIESFERICO, 75 MM, PARA LAJES/ CALHAS</v>
          </cell>
          <cell r="C3961" t="str">
            <v xml:space="preserve">UN    </v>
          </cell>
          <cell r="D3961">
            <v>11.78</v>
          </cell>
        </row>
        <row r="3962">
          <cell r="A3962">
            <v>11739</v>
          </cell>
          <cell r="B3962" t="str">
            <v>RALO SECO PVC CONICO, 100 X 40 MM,  COM GRELHA REDONDA BRANCA</v>
          </cell>
          <cell r="C3962" t="str">
            <v xml:space="preserve">UN    </v>
          </cell>
          <cell r="D3962">
            <v>5.79</v>
          </cell>
        </row>
        <row r="3963">
          <cell r="A3963">
            <v>11711</v>
          </cell>
          <cell r="B3963" t="str">
            <v>RALO SECO PVC CONICO, 100 X 40 MM, COM GRELHA QUADRADA</v>
          </cell>
          <cell r="C3963" t="str">
            <v xml:space="preserve">UN    </v>
          </cell>
          <cell r="D3963">
            <v>8.48</v>
          </cell>
        </row>
        <row r="3964">
          <cell r="A3964">
            <v>5102</v>
          </cell>
          <cell r="B3964" t="str">
            <v>RALO SECO PVC QUADRADO, 100 X 100 X 53 MM, SAIDA 40 MM, COM GRELHA BRANCA</v>
          </cell>
          <cell r="C3964" t="str">
            <v xml:space="preserve">UN    </v>
          </cell>
          <cell r="D3964">
            <v>8.1999999999999993</v>
          </cell>
        </row>
        <row r="3965">
          <cell r="A3965">
            <v>11741</v>
          </cell>
          <cell r="B3965" t="str">
            <v>RALO SIFONADO PVC CILINDRICO, 100 X 40 MM,  COM GRELHA REDONDA BRANCA</v>
          </cell>
          <cell r="C3965" t="str">
            <v xml:space="preserve">UN    </v>
          </cell>
          <cell r="D3965">
            <v>5.97</v>
          </cell>
        </row>
        <row r="3966">
          <cell r="A3966">
            <v>11743</v>
          </cell>
          <cell r="B3966" t="str">
            <v>RALO SIFONADO PVC REDONDO CONICO, 100 X 40 MM, COM GRELHA  BRANCA REDONDA</v>
          </cell>
          <cell r="C3966" t="str">
            <v xml:space="preserve">UN    </v>
          </cell>
          <cell r="D3966">
            <v>5.42</v>
          </cell>
        </row>
        <row r="3967">
          <cell r="A3967">
            <v>11745</v>
          </cell>
          <cell r="B3967" t="str">
            <v>RALO SIFONADO PVC, QUADRADO, 100 X 100 X 53 MM, SAIDA 40 MM, COM GRELHA BRANCA</v>
          </cell>
          <cell r="C3967" t="str">
            <v xml:space="preserve">UN    </v>
          </cell>
          <cell r="D3967">
            <v>7.7</v>
          </cell>
        </row>
        <row r="3968">
          <cell r="A3968">
            <v>25961</v>
          </cell>
          <cell r="B3968" t="str">
            <v>RASTELEIRO</v>
          </cell>
          <cell r="C3968" t="str">
            <v xml:space="preserve">H     </v>
          </cell>
          <cell r="D3968">
            <v>9.27</v>
          </cell>
        </row>
        <row r="3969">
          <cell r="A3969">
            <v>40985</v>
          </cell>
          <cell r="B3969" t="str">
            <v>RASTELEIRO (MENSALISTA)</v>
          </cell>
          <cell r="C3969" t="str">
            <v xml:space="preserve">MES   </v>
          </cell>
          <cell r="D3969">
            <v>1646.51</v>
          </cell>
        </row>
        <row r="3970">
          <cell r="A3970">
            <v>1088</v>
          </cell>
          <cell r="B3970" t="str">
            <v>REATOR ELETRONICO BIVOLT PARA 1 LAMPADA FLUORESCENTE DE 18/20 W</v>
          </cell>
          <cell r="C3970" t="str">
            <v xml:space="preserve">UN    </v>
          </cell>
          <cell r="D3970">
            <v>15.03</v>
          </cell>
        </row>
        <row r="3971">
          <cell r="A3971">
            <v>1087</v>
          </cell>
          <cell r="B3971" t="str">
            <v>REATOR ELETRONICO BIVOLT PARA 1 LAMPADA FLUORESCENTE DE 36/40 W</v>
          </cell>
          <cell r="C3971" t="str">
            <v xml:space="preserve">UN    </v>
          </cell>
          <cell r="D3971">
            <v>18.78</v>
          </cell>
        </row>
        <row r="3972">
          <cell r="A3972">
            <v>38777</v>
          </cell>
          <cell r="B3972" t="str">
            <v>REATOR ELETRONICO BIVOLT PARA 2 LAMPADAS FLUORESCENTES DE 14 W</v>
          </cell>
          <cell r="C3972" t="str">
            <v xml:space="preserve">UN    </v>
          </cell>
          <cell r="D3972">
            <v>37.4</v>
          </cell>
        </row>
        <row r="3973">
          <cell r="A3973">
            <v>1086</v>
          </cell>
          <cell r="B3973" t="str">
            <v>REATOR ELETRONICO BIVOLT PARA 2 LAMPADAS FLUORESCENTES DE 18/20 W</v>
          </cell>
          <cell r="C3973" t="str">
            <v xml:space="preserve">UN    </v>
          </cell>
          <cell r="D3973">
            <v>19.739999999999998</v>
          </cell>
        </row>
        <row r="3974">
          <cell r="A3974">
            <v>1079</v>
          </cell>
          <cell r="B3974" t="str">
            <v>REATOR ELETRONICO BIVOLT PARA 2 LAMPADAS FLUORESCENTES DE 36/40 W</v>
          </cell>
          <cell r="C3974" t="str">
            <v xml:space="preserve">UN    </v>
          </cell>
          <cell r="D3974">
            <v>20.399999999999999</v>
          </cell>
        </row>
        <row r="3975">
          <cell r="A3975">
            <v>39374</v>
          </cell>
          <cell r="B3975" t="str">
            <v>REATOR INTERNO/INTEGRADO PARA LAMPADA VAPOR METALICO 400 W, ALTO FATOR DE POTENCIA</v>
          </cell>
          <cell r="C3975" t="str">
            <v xml:space="preserve">UN    </v>
          </cell>
          <cell r="D3975">
            <v>97.54</v>
          </cell>
        </row>
        <row r="3976">
          <cell r="A3976">
            <v>1082</v>
          </cell>
          <cell r="B3976" t="str">
            <v>REATOR P/ LAMPADA VAPOR DE SODIO 250W USO EXT</v>
          </cell>
          <cell r="C3976" t="str">
            <v xml:space="preserve">UN    </v>
          </cell>
          <cell r="D3976">
            <v>128.27000000000001</v>
          </cell>
        </row>
        <row r="3977">
          <cell r="A3977">
            <v>12316</v>
          </cell>
          <cell r="B3977" t="str">
            <v>REATOR P/ 1 LAMPADA VAPOR DE MERCURIO 125W USO EXT</v>
          </cell>
          <cell r="C3977" t="str">
            <v xml:space="preserve">UN    </v>
          </cell>
          <cell r="D3977">
            <v>58.79</v>
          </cell>
        </row>
        <row r="3978">
          <cell r="A3978">
            <v>12317</v>
          </cell>
          <cell r="B3978" t="str">
            <v>REATOR P/ 1 LAMPADA VAPOR DE MERCURIO 250W USO EXT</v>
          </cell>
          <cell r="C3978" t="str">
            <v xml:space="preserve">UN    </v>
          </cell>
          <cell r="D3978">
            <v>70.11</v>
          </cell>
        </row>
        <row r="3979">
          <cell r="A3979">
            <v>12318</v>
          </cell>
          <cell r="B3979" t="str">
            <v>REATOR P/ 1 LAMPADA VAPOR DE MERCURIO 400W USO EXT</v>
          </cell>
          <cell r="C3979" t="str">
            <v xml:space="preserve">UN    </v>
          </cell>
          <cell r="D3979">
            <v>80.77</v>
          </cell>
        </row>
        <row r="3980">
          <cell r="A3980">
            <v>5104</v>
          </cell>
          <cell r="B3980" t="str">
            <v>REBITE DE ALUMINIO VAZADO DE REPUXO, 3,2 X 8 MM (1KG = 1025 UNIDADES)</v>
          </cell>
          <cell r="C3980" t="str">
            <v xml:space="preserve">KG    </v>
          </cell>
          <cell r="D3980">
            <v>48.31</v>
          </cell>
        </row>
        <row r="3981">
          <cell r="A3981">
            <v>26023</v>
          </cell>
          <cell r="B3981" t="str">
            <v>REBOLO ABRASIVO RETO DE USO GERAL GRAO 36, DE 6 X 1 " (DIAMETRO X ALTURA)</v>
          </cell>
          <cell r="C3981" t="str">
            <v xml:space="preserve">UN    </v>
          </cell>
          <cell r="D3981">
            <v>66.180000000000007</v>
          </cell>
        </row>
        <row r="3982">
          <cell r="A3982">
            <v>2710</v>
          </cell>
          <cell r="B3982" t="str">
            <v>REBOLO ABRASIVO RETO DE USO GERAL GRAO 36, DE 6 X 3/4 " (DIAMETRO X ALTURA)</v>
          </cell>
          <cell r="C3982" t="str">
            <v xml:space="preserve">UN    </v>
          </cell>
          <cell r="D3982">
            <v>52.85</v>
          </cell>
        </row>
        <row r="3983">
          <cell r="A3983">
            <v>14575</v>
          </cell>
          <cell r="B3983" t="str">
            <v>RECICLADORA DE ASFALTO A FRIO SOBRE RODAS, LARG. FRESAGEM 2,00 M, POT. 315 KW/422 HP</v>
          </cell>
          <cell r="C3983" t="str">
            <v xml:space="preserve">UN    </v>
          </cell>
          <cell r="D3983">
            <v>3905271.1</v>
          </cell>
        </row>
        <row r="3984">
          <cell r="A3984">
            <v>20034</v>
          </cell>
          <cell r="B3984" t="str">
            <v>REDUCAO EXCENTRICA PVC NBR 10569 P/REDE COLET ESG PB JE 150 X 100MM</v>
          </cell>
          <cell r="C3984" t="str">
            <v xml:space="preserve">UN    </v>
          </cell>
          <cell r="D3984">
            <v>51.56</v>
          </cell>
        </row>
        <row r="3985">
          <cell r="A3985">
            <v>20036</v>
          </cell>
          <cell r="B3985" t="str">
            <v>REDUCAO EXCENTRICA PVC NBR 10569 P/REDE COLET ESG PB JE 200 X 150MM</v>
          </cell>
          <cell r="C3985" t="str">
            <v xml:space="preserve">UN    </v>
          </cell>
          <cell r="D3985">
            <v>99.17</v>
          </cell>
        </row>
        <row r="3986">
          <cell r="A3986">
            <v>20037</v>
          </cell>
          <cell r="B3986" t="str">
            <v>REDUCAO EXCENTRICA PVC NBR 10569 P/REDE COLET ESG PB JE 250 X 200MM</v>
          </cell>
          <cell r="C3986" t="str">
            <v xml:space="preserve">UN    </v>
          </cell>
          <cell r="D3986">
            <v>187.06</v>
          </cell>
        </row>
        <row r="3987">
          <cell r="A3987">
            <v>20043</v>
          </cell>
          <cell r="B3987" t="str">
            <v>REDUCAO EXCENTRICA PVC P/ ESG PREDIAL DN 100 X 50MM</v>
          </cell>
          <cell r="C3987" t="str">
            <v xml:space="preserve">UN    </v>
          </cell>
          <cell r="D3987">
            <v>5.32</v>
          </cell>
        </row>
        <row r="3988">
          <cell r="A3988">
            <v>20044</v>
          </cell>
          <cell r="B3988" t="str">
            <v>REDUCAO EXCENTRICA PVC P/ ESG PREDIAL DN 100 X 75MM</v>
          </cell>
          <cell r="C3988" t="str">
            <v xml:space="preserve">UN    </v>
          </cell>
          <cell r="D3988">
            <v>6.21</v>
          </cell>
        </row>
        <row r="3989">
          <cell r="A3989">
            <v>20042</v>
          </cell>
          <cell r="B3989" t="str">
            <v>REDUCAO EXCENTRICA PVC P/ ESG PREDIAL DN 75 X 50MM</v>
          </cell>
          <cell r="C3989" t="str">
            <v xml:space="preserve">UN    </v>
          </cell>
          <cell r="D3989">
            <v>4.5</v>
          </cell>
        </row>
        <row r="3990">
          <cell r="A3990">
            <v>20046</v>
          </cell>
          <cell r="B3990" t="str">
            <v>REDUCAO EXCENTRICA PVC, SERIE R, DN 100 X 75 MM, PARA ESGOTO PREDIAL</v>
          </cell>
          <cell r="C3990" t="str">
            <v xml:space="preserve">UN    </v>
          </cell>
          <cell r="D3990">
            <v>13.18</v>
          </cell>
        </row>
        <row r="3991">
          <cell r="A3991">
            <v>20047</v>
          </cell>
          <cell r="B3991" t="str">
            <v>REDUCAO EXCENTRICA PVC, SERIE R, DN 150 X 100 MM, PARA ESGOTO PREDIAL</v>
          </cell>
          <cell r="C3991" t="str">
            <v xml:space="preserve">UN    </v>
          </cell>
          <cell r="D3991">
            <v>36.03</v>
          </cell>
        </row>
        <row r="3992">
          <cell r="A3992">
            <v>20045</v>
          </cell>
          <cell r="B3992" t="str">
            <v>REDUCAO EXCENTRICA PVC, SERIE R, DN 75 X 50 MM, PARA ESGOTO PREDIAL</v>
          </cell>
          <cell r="C3992" t="str">
            <v xml:space="preserve">UN    </v>
          </cell>
          <cell r="D3992">
            <v>5.42</v>
          </cell>
        </row>
        <row r="3993">
          <cell r="A3993">
            <v>20972</v>
          </cell>
          <cell r="B3993" t="str">
            <v>REDUCAO FIXA TIPO STORZ, ENGATE RAPIDO 2.1/2" X 1.1/2", EM LATAO, PARA INSTALACAO PREDIAL COMBATE A INCENDIO PREDIAL</v>
          </cell>
          <cell r="C3993" t="str">
            <v xml:space="preserve">UN    </v>
          </cell>
          <cell r="D3993">
            <v>93.04</v>
          </cell>
        </row>
        <row r="3994">
          <cell r="A3994">
            <v>20032</v>
          </cell>
          <cell r="B3994" t="str">
            <v>REDUCAO PVC PBA, JE, BB, DN 75 X 50 / DE 85 X 60 MM, PARA REDE DE AGUA</v>
          </cell>
          <cell r="C3994" t="str">
            <v xml:space="preserve">UN    </v>
          </cell>
          <cell r="D3994">
            <v>47.4</v>
          </cell>
        </row>
        <row r="3995">
          <cell r="A3995">
            <v>11321</v>
          </cell>
          <cell r="B3995" t="str">
            <v>REDUCAO PVC PBA, JE, PB, DN 100 X 50 / DE 110 X 60 MM, PARA REDE DE AGUA</v>
          </cell>
          <cell r="C3995" t="str">
            <v xml:space="preserve">UN    </v>
          </cell>
          <cell r="D3995">
            <v>21.61</v>
          </cell>
        </row>
        <row r="3996">
          <cell r="A3996">
            <v>11323</v>
          </cell>
          <cell r="B3996" t="str">
            <v>REDUCAO PVC PBA, JE, PB, DN 100 X 75 / DE 110 X 85 MM, PARA REDE DE AGUA</v>
          </cell>
          <cell r="C3996" t="str">
            <v xml:space="preserve">UN    </v>
          </cell>
          <cell r="D3996">
            <v>24.85</v>
          </cell>
        </row>
        <row r="3997">
          <cell r="A3997">
            <v>20327</v>
          </cell>
          <cell r="B3997" t="str">
            <v>REDUCAO PVC PBA, JE, PB, DN 75 X 50 / DE 85 X 60 MM, PARA REDE DE AGUA</v>
          </cell>
          <cell r="C3997" t="str">
            <v xml:space="preserve">UN    </v>
          </cell>
          <cell r="D3997">
            <v>14.1</v>
          </cell>
        </row>
        <row r="3998">
          <cell r="A3998">
            <v>25966</v>
          </cell>
          <cell r="B3998" t="str">
            <v>REDUTOR TIPO THINNER PARA ACABAMENTO</v>
          </cell>
          <cell r="C3998" t="str">
            <v xml:space="preserve">L     </v>
          </cell>
          <cell r="D3998">
            <v>16.690000000000001</v>
          </cell>
        </row>
        <row r="3999">
          <cell r="A3999">
            <v>13390</v>
          </cell>
          <cell r="B3999" t="str">
            <v>REFLETOR REDONDO EM ALUMINIO ANODIZADO PARA LAMPADA VAPOR DE MERCURIO/SODIO, CORPO EM ALUMINIO COM PINTURA EPOXI, PARA LAMPADA E-27 DE 300 W, COM SUPORTE REDONDO E ALCA REGULAVEL PARA FIXACAO.</v>
          </cell>
          <cell r="C3999" t="str">
            <v xml:space="preserve">UN    </v>
          </cell>
          <cell r="D3999">
            <v>74.19</v>
          </cell>
        </row>
        <row r="4000">
          <cell r="A4000">
            <v>6034</v>
          </cell>
          <cell r="B4000" t="str">
            <v>REGISTRO DE ESFERA DE PASSEIO, PVC PARA POLIETILENO, 20 MM</v>
          </cell>
          <cell r="C4000" t="str">
            <v xml:space="preserve">UN    </v>
          </cell>
          <cell r="D4000">
            <v>4.84</v>
          </cell>
        </row>
        <row r="4001">
          <cell r="A4001">
            <v>6036</v>
          </cell>
          <cell r="B4001" t="str">
            <v>REGISTRO DE ESFERA PVC, COM BORBOLETA, COM ROSCA EXTERNA, DE 1/2"</v>
          </cell>
          <cell r="C4001" t="str">
            <v xml:space="preserve">UN    </v>
          </cell>
          <cell r="D4001">
            <v>6.59</v>
          </cell>
        </row>
        <row r="4002">
          <cell r="A4002">
            <v>6031</v>
          </cell>
          <cell r="B4002" t="str">
            <v>REGISTRO DE ESFERA PVC, COM BORBOLETA, COM ROSCA EXTERNA, DE 3/4"</v>
          </cell>
          <cell r="C4002" t="str">
            <v xml:space="preserve">UN    </v>
          </cell>
          <cell r="D4002">
            <v>7.75</v>
          </cell>
        </row>
        <row r="4003">
          <cell r="A4003">
            <v>6029</v>
          </cell>
          <cell r="B4003" t="str">
            <v>REGISTRO DE ESFERA PVC, COM CABECA QUADRADA, COM ROSCA EXTERNA, 1/2"</v>
          </cell>
          <cell r="C4003" t="str">
            <v xml:space="preserve">UN    </v>
          </cell>
          <cell r="D4003">
            <v>7.83</v>
          </cell>
        </row>
        <row r="4004">
          <cell r="A4004">
            <v>6033</v>
          </cell>
          <cell r="B4004" t="str">
            <v>REGISTRO DE ESFERA PVC, COM CABECA QUADRADA, COM ROSCA EXTERNA, 3/4"</v>
          </cell>
          <cell r="C4004" t="str">
            <v xml:space="preserve">UN    </v>
          </cell>
          <cell r="D4004">
            <v>10.32</v>
          </cell>
        </row>
        <row r="4005">
          <cell r="A4005">
            <v>11672</v>
          </cell>
          <cell r="B4005" t="str">
            <v>REGISTRO DE ESFERA, PVC, COM VOLANTE, VS, ROSCAVEL, DN 1 1/2", COM CORPO DIVIDIDO</v>
          </cell>
          <cell r="C4005" t="str">
            <v xml:space="preserve">UN    </v>
          </cell>
          <cell r="D4005">
            <v>22.45</v>
          </cell>
        </row>
        <row r="4006">
          <cell r="A4006">
            <v>11669</v>
          </cell>
          <cell r="B4006" t="str">
            <v>REGISTRO DE ESFERA, PVC, COM VOLANTE, VS, ROSCAVEL, DN 1 1/4", COM CORPO DIVIDIDO</v>
          </cell>
          <cell r="C4006" t="str">
            <v xml:space="preserve">UN    </v>
          </cell>
          <cell r="D4006">
            <v>21.38</v>
          </cell>
        </row>
        <row r="4007">
          <cell r="A4007">
            <v>11670</v>
          </cell>
          <cell r="B4007" t="str">
            <v>REGISTRO DE ESFERA, PVC, COM VOLANTE, VS, ROSCAVEL, DN 1/2", COM CORPO DIVIDIDO</v>
          </cell>
          <cell r="C4007" t="str">
            <v xml:space="preserve">UN    </v>
          </cell>
          <cell r="D4007">
            <v>8.19</v>
          </cell>
        </row>
        <row r="4008">
          <cell r="A4008">
            <v>20055</v>
          </cell>
          <cell r="B4008" t="str">
            <v>REGISTRO DE ESFERA, PVC, COM VOLANTE, VS, ROSCAVEL, DN 1", COM CORPO DIVIDIDO</v>
          </cell>
          <cell r="C4008" t="str">
            <v xml:space="preserve">UN    </v>
          </cell>
          <cell r="D4008">
            <v>16.010000000000002</v>
          </cell>
        </row>
        <row r="4009">
          <cell r="A4009">
            <v>11671</v>
          </cell>
          <cell r="B4009" t="str">
            <v>REGISTRO DE ESFERA, PVC, COM VOLANTE, VS, ROSCAVEL, DN 2", COM CORPO DIVIDIDO</v>
          </cell>
          <cell r="C4009" t="str">
            <v xml:space="preserve">UN    </v>
          </cell>
          <cell r="D4009">
            <v>34.36</v>
          </cell>
        </row>
        <row r="4010">
          <cell r="A4010">
            <v>6032</v>
          </cell>
          <cell r="B4010" t="str">
            <v>REGISTRO DE ESFERA, PVC, COM VOLANTE, VS, ROSCAVEL, DN 3/4", COM CORPO DIVIDIDO</v>
          </cell>
          <cell r="C4010" t="str">
            <v xml:space="preserve">UN    </v>
          </cell>
          <cell r="D4010">
            <v>9.81</v>
          </cell>
        </row>
        <row r="4011">
          <cell r="A4011">
            <v>11673</v>
          </cell>
          <cell r="B4011" t="str">
            <v>REGISTRO DE ESFERA, PVC, COM VOLANTE, VS, SOLDAVEL, DN 20 MM, COM CORPO DIVIDIDO</v>
          </cell>
          <cell r="C4011" t="str">
            <v xml:space="preserve">UN    </v>
          </cell>
          <cell r="D4011">
            <v>7.73</v>
          </cell>
        </row>
        <row r="4012">
          <cell r="A4012">
            <v>11674</v>
          </cell>
          <cell r="B4012" t="str">
            <v>REGISTRO DE ESFERA, PVC, COM VOLANTE, VS, SOLDAVEL, DN 25 MM, COM CORPO DIVIDIDO</v>
          </cell>
          <cell r="C4012" t="str">
            <v xml:space="preserve">UN    </v>
          </cell>
          <cell r="D4012">
            <v>9.9499999999999993</v>
          </cell>
        </row>
        <row r="4013">
          <cell r="A4013">
            <v>11675</v>
          </cell>
          <cell r="B4013" t="str">
            <v>REGISTRO DE ESFERA, PVC, COM VOLANTE, VS, SOLDAVEL, DN 32 MM, COM CORPO DIVIDIDO</v>
          </cell>
          <cell r="C4013" t="str">
            <v xml:space="preserve">UN    </v>
          </cell>
          <cell r="D4013">
            <v>15.8</v>
          </cell>
        </row>
        <row r="4014">
          <cell r="A4014">
            <v>11676</v>
          </cell>
          <cell r="B4014" t="str">
            <v>REGISTRO DE ESFERA, PVC, COM VOLANTE, VS, SOLDAVEL, DN 40 MM, COM CORPO DIVIDIDO</v>
          </cell>
          <cell r="C4014" t="str">
            <v xml:space="preserve">UN    </v>
          </cell>
          <cell r="D4014">
            <v>21.13</v>
          </cell>
        </row>
        <row r="4015">
          <cell r="A4015">
            <v>11677</v>
          </cell>
          <cell r="B4015" t="str">
            <v>REGISTRO DE ESFERA, PVC, COM VOLANTE, VS, SOLDAVEL, DN 50 MM, COM CORPO DIVIDIDO</v>
          </cell>
          <cell r="C4015" t="str">
            <v xml:space="preserve">UN    </v>
          </cell>
          <cell r="D4015">
            <v>21.82</v>
          </cell>
        </row>
        <row r="4016">
          <cell r="A4016">
            <v>11678</v>
          </cell>
          <cell r="B4016" t="str">
            <v>REGISTRO DE ESFERA, PVC, COM VOLANTE, VS, SOLDAVEL, DN 60 MM, COM CORPO DIVIDIDO</v>
          </cell>
          <cell r="C4016" t="str">
            <v xml:space="preserve">UN    </v>
          </cell>
          <cell r="D4016">
            <v>39.97</v>
          </cell>
        </row>
        <row r="4017">
          <cell r="A4017">
            <v>6038</v>
          </cell>
          <cell r="B4017" t="str">
            <v>REGISTRO DE PRESSAO PVC, ROSCAVEL, VOLANTE SIMPLES, DE 1/2"</v>
          </cell>
          <cell r="C4017" t="str">
            <v xml:space="preserve">UN    </v>
          </cell>
          <cell r="D4017">
            <v>2.5299999999999998</v>
          </cell>
        </row>
        <row r="4018">
          <cell r="A4018">
            <v>11718</v>
          </cell>
          <cell r="B4018" t="str">
            <v>REGISTRO DE PRESSAO PVC, ROSCAVEL, VOLANTE SIMPLES, DE 3/4"</v>
          </cell>
          <cell r="C4018" t="str">
            <v xml:space="preserve">UN    </v>
          </cell>
          <cell r="D4018">
            <v>7.23</v>
          </cell>
        </row>
        <row r="4019">
          <cell r="A4019">
            <v>6037</v>
          </cell>
          <cell r="B4019" t="str">
            <v>REGISTRO DE PRESSAO PVC, SOLDAVEL, VOLANTE SIMPLES, DE 20 MM</v>
          </cell>
          <cell r="C4019" t="str">
            <v xml:space="preserve">UN    </v>
          </cell>
          <cell r="D4019">
            <v>5.27</v>
          </cell>
        </row>
        <row r="4020">
          <cell r="A4020">
            <v>11719</v>
          </cell>
          <cell r="B4020" t="str">
            <v>REGISTRO DE PRESSAO PVC, SOLDAVEL, VOLANTE SIMPLES, DE 25 MM</v>
          </cell>
          <cell r="C4020" t="str">
            <v xml:space="preserve">UN    </v>
          </cell>
          <cell r="D4020">
            <v>5.86</v>
          </cell>
        </row>
        <row r="4021">
          <cell r="A4021">
            <v>6019</v>
          </cell>
          <cell r="B4021" t="str">
            <v>REGISTRO GAVETA BRUTO EM LATAO FORJADO, BITOLA 1 " (REF 1509)</v>
          </cell>
          <cell r="C4021" t="str">
            <v xml:space="preserve">UN    </v>
          </cell>
          <cell r="D4021">
            <v>32.020000000000003</v>
          </cell>
        </row>
        <row r="4022">
          <cell r="A4022">
            <v>6010</v>
          </cell>
          <cell r="B4022" t="str">
            <v>REGISTRO GAVETA BRUTO EM LATAO FORJADO, BITOLA 1 1/2 " (REF 1509)</v>
          </cell>
          <cell r="C4022" t="str">
            <v xml:space="preserve">UN    </v>
          </cell>
          <cell r="D4022">
            <v>55.1</v>
          </cell>
        </row>
        <row r="4023">
          <cell r="A4023">
            <v>6017</v>
          </cell>
          <cell r="B4023" t="str">
            <v>REGISTRO GAVETA BRUTO EM LATAO FORJADO, BITOLA 1 1/4 " (REF 1509)</v>
          </cell>
          <cell r="C4023" t="str">
            <v xml:space="preserve">UN    </v>
          </cell>
          <cell r="D4023">
            <v>43.65</v>
          </cell>
        </row>
        <row r="4024">
          <cell r="A4024">
            <v>6020</v>
          </cell>
          <cell r="B4024" t="str">
            <v>REGISTRO GAVETA BRUTO EM LATAO FORJADO, BITOLA 1/2 " (REF 1509)</v>
          </cell>
          <cell r="C4024" t="str">
            <v xml:space="preserve">UN    </v>
          </cell>
          <cell r="D4024">
            <v>19.23</v>
          </cell>
        </row>
        <row r="4025">
          <cell r="A4025">
            <v>6028</v>
          </cell>
          <cell r="B4025" t="str">
            <v>REGISTRO GAVETA BRUTO EM LATAO FORJADO, BITOLA 2 " (REF 1509)</v>
          </cell>
          <cell r="C4025" t="str">
            <v xml:space="preserve">UN    </v>
          </cell>
          <cell r="D4025">
            <v>76.75</v>
          </cell>
        </row>
        <row r="4026">
          <cell r="A4026">
            <v>6011</v>
          </cell>
          <cell r="B4026" t="str">
            <v>REGISTRO GAVETA BRUTO EM LATAO FORJADO, BITOLA 2 1/2 " (REF 1509)</v>
          </cell>
          <cell r="C4026" t="str">
            <v xml:space="preserve">UN    </v>
          </cell>
          <cell r="D4026">
            <v>159.18</v>
          </cell>
        </row>
        <row r="4027">
          <cell r="A4027">
            <v>6012</v>
          </cell>
          <cell r="B4027" t="str">
            <v>REGISTRO GAVETA BRUTO EM LATAO FORJADO, BITOLA 3 " (REF 1509)</v>
          </cell>
          <cell r="C4027" t="str">
            <v xml:space="preserve">UN    </v>
          </cell>
          <cell r="D4027">
            <v>192.72</v>
          </cell>
        </row>
        <row r="4028">
          <cell r="A4028">
            <v>6016</v>
          </cell>
          <cell r="B4028" t="str">
            <v>REGISTRO GAVETA BRUTO EM LATAO FORJADO, BITOLA 3/4 " (REF 1509)</v>
          </cell>
          <cell r="C4028" t="str">
            <v xml:space="preserve">UN    </v>
          </cell>
          <cell r="D4028">
            <v>20.29</v>
          </cell>
        </row>
        <row r="4029">
          <cell r="A4029">
            <v>6027</v>
          </cell>
          <cell r="B4029" t="str">
            <v>REGISTRO GAVETA BRUTO EM LATAO FORJADO, BITOLA 4 " (REF 1509)</v>
          </cell>
          <cell r="C4029" t="str">
            <v xml:space="preserve">UN    </v>
          </cell>
          <cell r="D4029">
            <v>401.56</v>
          </cell>
        </row>
        <row r="4030">
          <cell r="A4030">
            <v>6013</v>
          </cell>
          <cell r="B4030" t="str">
            <v>REGISTRO GAVETA COM ACABAMENTO E CANOPLA CROMADOS, SIMPLES, BITOLA 1 " (REF 1509)</v>
          </cell>
          <cell r="C4030" t="str">
            <v xml:space="preserve">UN    </v>
          </cell>
          <cell r="D4030">
            <v>60.59</v>
          </cell>
        </row>
        <row r="4031">
          <cell r="A4031">
            <v>6015</v>
          </cell>
          <cell r="B4031" t="str">
            <v>REGISTRO GAVETA COM ACABAMENTO E CANOPLA CROMADOS, SIMPLES, BITOLA 1 1/2 " (REF 1509)</v>
          </cell>
          <cell r="C4031" t="str">
            <v xml:space="preserve">UN    </v>
          </cell>
          <cell r="D4031">
            <v>88.11</v>
          </cell>
        </row>
        <row r="4032">
          <cell r="A4032">
            <v>6014</v>
          </cell>
          <cell r="B4032" t="str">
            <v>REGISTRO GAVETA COM ACABAMENTO E CANOPLA CROMADOS, SIMPLES, BITOLA 1 1/4 " (REF 1509)</v>
          </cell>
          <cell r="C4032" t="str">
            <v xml:space="preserve">UN    </v>
          </cell>
          <cell r="D4032">
            <v>84.24</v>
          </cell>
        </row>
        <row r="4033">
          <cell r="A4033">
            <v>6006</v>
          </cell>
          <cell r="B4033" t="str">
            <v>REGISTRO GAVETA COM ACABAMENTO E CANOPLA CROMADOS, SIMPLES, BITOLA 1/2 " (REF 1509)</v>
          </cell>
          <cell r="C4033" t="str">
            <v xml:space="preserve">UN    </v>
          </cell>
          <cell r="D4033">
            <v>43.88</v>
          </cell>
        </row>
        <row r="4034">
          <cell r="A4034">
            <v>6005</v>
          </cell>
          <cell r="B4034" t="str">
            <v>REGISTRO GAVETA COM ACABAMENTO E CANOPLA CROMADOS, SIMPLES, BITOLA 3/4 " (REF 1509)</v>
          </cell>
          <cell r="C4034" t="str">
            <v xml:space="preserve">UN    </v>
          </cell>
          <cell r="D4034">
            <v>49.5</v>
          </cell>
        </row>
        <row r="4035">
          <cell r="A4035">
            <v>11756</v>
          </cell>
          <cell r="B4035" t="str">
            <v>REGISTRO OU REGULADOR DE GAS COZINHA, VAZAO DE 2 KG/H, 2,8 KPA</v>
          </cell>
          <cell r="C4035" t="str">
            <v xml:space="preserve">UN    </v>
          </cell>
          <cell r="D4035">
            <v>23.64</v>
          </cell>
        </row>
        <row r="4036">
          <cell r="A4036">
            <v>10904</v>
          </cell>
          <cell r="B4036" t="str">
            <v>REGISTRO OU VALVULA GLOBO ANGULAR EM LATAO, PARA HIDRANTES EM INSTALACAO PREDIAL DE INCENDIO, 45 GRAUS, DIAMETRO DE 2 1/2", COM VOLANTE, CLASSE DE PRESSAO DE ATE 200 PSI</v>
          </cell>
          <cell r="C4036" t="str">
            <v xml:space="preserve">UN    </v>
          </cell>
          <cell r="D4036">
            <v>130.26</v>
          </cell>
        </row>
        <row r="4037">
          <cell r="A4037">
            <v>11752</v>
          </cell>
          <cell r="B4037" t="str">
            <v>REGISTRO PRESSAO BRUTO EM LATAO FORJADO, BITOLA 1/2 " (REF 1400)</v>
          </cell>
          <cell r="C4037" t="str">
            <v xml:space="preserve">UN    </v>
          </cell>
          <cell r="D4037">
            <v>13.63</v>
          </cell>
        </row>
        <row r="4038">
          <cell r="A4038">
            <v>11753</v>
          </cell>
          <cell r="B4038" t="str">
            <v>REGISTRO PRESSAO BRUTO EM LATAO FORJADO, BITOLA 3/4 " (REF 1400)</v>
          </cell>
          <cell r="C4038" t="str">
            <v xml:space="preserve">UN    </v>
          </cell>
          <cell r="D4038">
            <v>16.27</v>
          </cell>
        </row>
        <row r="4039">
          <cell r="A4039">
            <v>6021</v>
          </cell>
          <cell r="B4039" t="str">
            <v>REGISTRO PRESSAO COM ACABAMENTO E CANOPLA CROMADA, SIMPLES, BITOLA 1/2 " (REF 1416)</v>
          </cell>
          <cell r="C4039" t="str">
            <v xml:space="preserve">UN    </v>
          </cell>
          <cell r="D4039">
            <v>45.16</v>
          </cell>
        </row>
        <row r="4040">
          <cell r="A4040">
            <v>6024</v>
          </cell>
          <cell r="B4040" t="str">
            <v>REGISTRO PRESSAO COM ACABAMENTO E CANOPLA CROMADA, SIMPLES, BITOLA 3/4 " (REF 1416)</v>
          </cell>
          <cell r="C4040" t="str">
            <v xml:space="preserve">UN    </v>
          </cell>
          <cell r="D4040">
            <v>46.68</v>
          </cell>
        </row>
        <row r="4041">
          <cell r="A4041">
            <v>38379</v>
          </cell>
          <cell r="B4041" t="str">
            <v>REGUA DE ALUMINIO PARA PEDREIRO 2 X 1 "</v>
          </cell>
          <cell r="C4041" t="str">
            <v xml:space="preserve">M     </v>
          </cell>
          <cell r="D4041">
            <v>32.270000000000003</v>
          </cell>
        </row>
        <row r="4042">
          <cell r="A4042">
            <v>13897</v>
          </cell>
          <cell r="B4042" t="str">
            <v>REGUA VIBRADORA DUPLA PARA CONCRETO A GASOLINA 5,5 HP, PESO DE 60 KG, COMPRIMENTO 4 M</v>
          </cell>
          <cell r="C4042" t="str">
            <v xml:space="preserve">UN    </v>
          </cell>
          <cell r="D4042">
            <v>5825.82</v>
          </cell>
        </row>
        <row r="4043">
          <cell r="A4043">
            <v>10640</v>
          </cell>
          <cell r="B4043" t="str">
            <v>REGUA VIBRATORIA DE CONCRETO TRELICADA, EQUIPADA COM MOTOR A GASOLINA DE 9 HP</v>
          </cell>
          <cell r="C4043" t="str">
            <v xml:space="preserve">UN    </v>
          </cell>
          <cell r="D4043">
            <v>12617.51</v>
          </cell>
        </row>
        <row r="4044">
          <cell r="A4044">
            <v>11086</v>
          </cell>
          <cell r="B4044" t="str">
            <v>REJEITO DE MINERIO DE FERRO PARA PAVIMENTACAO (POSTO PEDREIRA/FORNECEDOR, SEM FRETE)</v>
          </cell>
          <cell r="C4044" t="str">
            <v xml:space="preserve">M3    </v>
          </cell>
          <cell r="D4044">
            <v>71.92</v>
          </cell>
        </row>
        <row r="4045">
          <cell r="A4045">
            <v>34357</v>
          </cell>
          <cell r="B4045" t="str">
            <v>REJUNTE CIMENTICIO, QUALQUER COR</v>
          </cell>
          <cell r="C4045" t="str">
            <v xml:space="preserve">KG    </v>
          </cell>
          <cell r="D4045">
            <v>3.81</v>
          </cell>
        </row>
        <row r="4046">
          <cell r="A4046">
            <v>37329</v>
          </cell>
          <cell r="B4046" t="str">
            <v>REJUNTE EPOXI, QUALQUER COR</v>
          </cell>
          <cell r="C4046" t="str">
            <v xml:space="preserve">KG    </v>
          </cell>
          <cell r="D4046">
            <v>80.38</v>
          </cell>
        </row>
        <row r="4047">
          <cell r="A4047">
            <v>2510</v>
          </cell>
          <cell r="B4047" t="str">
            <v>RELE FOTOELETRICO INTERNO E EXTERNO BIVOLT 1000 W, DE CONECTOR, SEM BASE</v>
          </cell>
          <cell r="C4047" t="str">
            <v xml:space="preserve">UN    </v>
          </cell>
          <cell r="D4047">
            <v>18.579999999999998</v>
          </cell>
        </row>
        <row r="4048">
          <cell r="A4048">
            <v>12359</v>
          </cell>
          <cell r="B4048" t="str">
            <v>RELE TERMICO BIMETAL PARA USO EM MOTORES TRIFASICOS, TENSAO 380 V, POTENCIA ATE 15 CV, CORRENTE NOMINAL MAXIMA 22 A</v>
          </cell>
          <cell r="C4048" t="str">
            <v xml:space="preserve">UN    </v>
          </cell>
          <cell r="D4048">
            <v>111.66</v>
          </cell>
        </row>
        <row r="4049">
          <cell r="A4049">
            <v>5320</v>
          </cell>
          <cell r="B4049" t="str">
            <v>REMOVEDOR DE TINTA OLEO/ESMALTE VERNIZ</v>
          </cell>
          <cell r="C4049" t="str">
            <v xml:space="preserve">L     </v>
          </cell>
          <cell r="D4049">
            <v>33.39</v>
          </cell>
        </row>
        <row r="4050">
          <cell r="A4050">
            <v>7353</v>
          </cell>
          <cell r="B4050" t="str">
            <v>RESINA ACRILICA BASE AGUA - COR BRANCA</v>
          </cell>
          <cell r="C4050" t="str">
            <v xml:space="preserve">L     </v>
          </cell>
          <cell r="D4050">
            <v>23.07</v>
          </cell>
        </row>
        <row r="4051">
          <cell r="A4051">
            <v>36144</v>
          </cell>
          <cell r="B4051" t="str">
            <v>RESPIRADOR DESCARTAVEL SEM VALVULA DE EXALACAO, PFF 1</v>
          </cell>
          <cell r="C4051" t="str">
            <v xml:space="preserve">UN    </v>
          </cell>
          <cell r="D4051">
            <v>1.34</v>
          </cell>
        </row>
        <row r="4052">
          <cell r="A4052">
            <v>10518</v>
          </cell>
          <cell r="B4052" t="str">
            <v>RETARDO PARA CORDEL DETONANTE</v>
          </cell>
          <cell r="C4052" t="str">
            <v xml:space="preserve">UN    </v>
          </cell>
          <cell r="D4052">
            <v>70.08</v>
          </cell>
        </row>
        <row r="4053">
          <cell r="A4053">
            <v>36530</v>
          </cell>
          <cell r="B4053" t="str">
            <v>RETROESCAVADEIRA SOBRE RODAS COM CARREGADEIRA, TRACAO 4 X 2, POTENCIA LIQUIDA 79 HP, PESO OPERACIONAL MINIMO DE 6570 KG, CAPACIDADE DA CARREGADEIRA DE 1,00 M3 E DA  RETROESCAVADEIRA MINIMA DE 0,20 M3, PROFUNDIDADE DE ESCAVACAO MAXIMA DE 4,37 M</v>
          </cell>
          <cell r="C4053" t="str">
            <v xml:space="preserve">UN    </v>
          </cell>
          <cell r="D4053">
            <v>231074.55</v>
          </cell>
        </row>
        <row r="4054">
          <cell r="A4054">
            <v>6046</v>
          </cell>
          <cell r="B4054" t="str">
            <v>RETROESCAVADEIRA SOBRE RODAS COM CARREGADEIRA, TRACAO 4 X 4, POTENCIA LIQUIDA 72 HP, PESO OPERACIONAL MINIMO DE 7140 KG, CAPACIDADE MINIMA DA CARREGADEIRA DE 0,79 M3 E DA RETROESCAVADEIRA MINIMA DE 0,18 M3, PROFUNDIDADE DE ESCAVACAO MAXIMA DE 4,50 M</v>
          </cell>
          <cell r="C4054" t="str">
            <v xml:space="preserve">UN    </v>
          </cell>
          <cell r="D4054">
            <v>250636.43</v>
          </cell>
        </row>
        <row r="4055">
          <cell r="A4055">
            <v>36531</v>
          </cell>
          <cell r="B4055" t="str">
            <v>RETROESCAVADEIRA SOBRE RODAS COM CARREGADEIRA, TRACAO 4 X 4, POTENCIA LIQUIDA 88 HP, PESO OPERACIONAL MINIMO DE 6674 KG, CAPACIDADE DA CARREGADEIRA DE 1,00 M3 E DA  RETROESCAVADEIRA MINIMA DE 0,26 M3, PROFUNDIDADE DE ESCAVACAO MAXIMA DE 4,37 M</v>
          </cell>
          <cell r="C4055" t="str">
            <v xml:space="preserve">UN    </v>
          </cell>
          <cell r="D4055">
            <v>259806.03</v>
          </cell>
        </row>
        <row r="4056">
          <cell r="A4056">
            <v>34684</v>
          </cell>
          <cell r="B4056" t="str">
            <v>REVESTIMENTO DE PAREDE EM GRANILITE, MARMORITE OU GRANITINA - ESP = 5 MM (INCLUSO EXECUCAO)</v>
          </cell>
          <cell r="C4056" t="str">
            <v xml:space="preserve">M2    </v>
          </cell>
          <cell r="D4056">
            <v>167.93</v>
          </cell>
        </row>
        <row r="4057">
          <cell r="A4057">
            <v>34683</v>
          </cell>
          <cell r="B4057" t="str">
            <v>REVESTIMENTO DE PAREDE EM GRANILITE, MARMORITE OU GRANITINA COLORIDO - ESP = 5 MM (INCLUSO EXECUCAO)</v>
          </cell>
          <cell r="C4057" t="str">
            <v xml:space="preserve">M2    </v>
          </cell>
          <cell r="D4057">
            <v>104.95</v>
          </cell>
        </row>
        <row r="4058">
          <cell r="A4058">
            <v>533</v>
          </cell>
          <cell r="B4058" t="str">
            <v>REVESTIMENTO EM CERAMICA ESMALTADA COMERCIAL, PEI MENOR OU IGUAL A 3, FORMATO MENOR OU IGUAL A 2025 CM2</v>
          </cell>
          <cell r="C4058" t="str">
            <v xml:space="preserve">M2    </v>
          </cell>
          <cell r="D4058">
            <v>10.56</v>
          </cell>
        </row>
        <row r="4059">
          <cell r="A4059">
            <v>10515</v>
          </cell>
          <cell r="B4059" t="str">
            <v>REVESTIMENTO EM CERAMICA ESMALTADA EXTRA, PEI MAIOR OU IGUAL 4, FORMATO MAIOR A 2025 CM2</v>
          </cell>
          <cell r="C4059" t="str">
            <v xml:space="preserve">M2    </v>
          </cell>
          <cell r="D4059">
            <v>27.24</v>
          </cell>
        </row>
        <row r="4060">
          <cell r="A4060">
            <v>536</v>
          </cell>
          <cell r="B4060" t="str">
            <v>REVESTIMENTO EM CERAMICA ESMALTADA EXTRA, PEI MENOR OU IGUAL A 3, FORMATO MENOR OU IGUAL A 2025 CM2</v>
          </cell>
          <cell r="C4060" t="str">
            <v xml:space="preserve">M2    </v>
          </cell>
          <cell r="D4060">
            <v>17.899999999999999</v>
          </cell>
        </row>
        <row r="4061">
          <cell r="A4061">
            <v>153</v>
          </cell>
          <cell r="B4061" t="str">
            <v>REVESTIMENTO EPOXI DE ALTA RESISTENCIA QUIMICA, ISENTO DE SOLVENTES, BICOMPONENTE</v>
          </cell>
          <cell r="C4061" t="str">
            <v xml:space="preserve">L     </v>
          </cell>
          <cell r="D4061">
            <v>67.98</v>
          </cell>
        </row>
        <row r="4062">
          <cell r="A4062">
            <v>34682</v>
          </cell>
          <cell r="B4062" t="str">
            <v>REVESTIMENTO PARA ESCADA EM GRANILITE, MARMORITE OU GRANITINA ESP = 8 MM (INCLUSO EXECUCAO)</v>
          </cell>
          <cell r="C4062" t="str">
            <v xml:space="preserve">M2    </v>
          </cell>
          <cell r="D4062">
            <v>80.260000000000005</v>
          </cell>
        </row>
        <row r="4063">
          <cell r="A4063">
            <v>20205</v>
          </cell>
          <cell r="B4063" t="str">
            <v>RIPA DE MADEIRA APARELHADA *1,5 X 5* CM, MACARANDUBA, ANGELIM OU EQUIVALENTE DA REGIAO</v>
          </cell>
          <cell r="C4063" t="str">
            <v xml:space="preserve">M     </v>
          </cell>
          <cell r="D4063">
            <v>1.48</v>
          </cell>
        </row>
        <row r="4064">
          <cell r="A4064">
            <v>4412</v>
          </cell>
          <cell r="B4064" t="str">
            <v>RIPA DE MADEIRA NAO APARELHADA *1 X 3* CM, MACARANDUBA, ANGELIM OU EQUIVALENTE DA REGIAO</v>
          </cell>
          <cell r="C4064" t="str">
            <v xml:space="preserve">M     </v>
          </cell>
          <cell r="D4064">
            <v>0.93</v>
          </cell>
        </row>
        <row r="4065">
          <cell r="A4065">
            <v>4408</v>
          </cell>
          <cell r="B4065" t="str">
            <v>RIPA DE MADEIRA NAO APARELHADA *1,5 X 5* CM, MACARANDUBA, ANGELIM OU EQUIVALENTE DA REGIAO</v>
          </cell>
          <cell r="C4065" t="str">
            <v xml:space="preserve">M     </v>
          </cell>
          <cell r="D4065">
            <v>1.26</v>
          </cell>
        </row>
        <row r="4066">
          <cell r="A4066">
            <v>4505</v>
          </cell>
          <cell r="B4066" t="str">
            <v>RIPA DE MADEIRA NAO APARELHADA *2 X 7* CM, PINUS, MISTA OU EQUIVALENTE DA REGIAO</v>
          </cell>
          <cell r="C4066" t="str">
            <v xml:space="preserve">M     </v>
          </cell>
          <cell r="D4066">
            <v>2.5099999999999998</v>
          </cell>
        </row>
        <row r="4067">
          <cell r="A4067">
            <v>10559</v>
          </cell>
          <cell r="B4067" t="str">
            <v>ROCADEIRA COSTAL COM MOTOR A GASOLINA DE *32* CC</v>
          </cell>
          <cell r="C4067" t="str">
            <v xml:space="preserve">UN    </v>
          </cell>
          <cell r="D4067">
            <v>2050</v>
          </cell>
        </row>
        <row r="4068">
          <cell r="A4068">
            <v>10664</v>
          </cell>
          <cell r="B4068" t="str">
            <v>ROCADEIRA DESLOCAVEL, LARGURA DE TRABALHO DE 1,3 M</v>
          </cell>
          <cell r="C4068" t="str">
            <v xml:space="preserve">UN    </v>
          </cell>
          <cell r="D4068">
            <v>5571.46</v>
          </cell>
        </row>
        <row r="4069">
          <cell r="A4069">
            <v>36250</v>
          </cell>
          <cell r="B4069" t="str">
            <v>RODAFORRO EM PVC, PARA FORRO DE PVC, COMPRIMENTO 6 M</v>
          </cell>
          <cell r="C4069" t="str">
            <v xml:space="preserve">M     </v>
          </cell>
          <cell r="D4069">
            <v>2.71</v>
          </cell>
        </row>
        <row r="4070">
          <cell r="A4070">
            <v>10857</v>
          </cell>
          <cell r="B4070" t="str">
            <v>RODAPE ARDOSIA, CINZA, 10 CM, E= *1CM</v>
          </cell>
          <cell r="C4070" t="str">
            <v xml:space="preserve">M     </v>
          </cell>
          <cell r="D4070">
            <v>9.6</v>
          </cell>
        </row>
        <row r="4071">
          <cell r="A4071">
            <v>4803</v>
          </cell>
          <cell r="B4071" t="str">
            <v>RODAPE DE BORRACHA LISO, H = 70 MM, E = *2* MM, PARA ARGAMASSA, PRETO</v>
          </cell>
          <cell r="C4071" t="str">
            <v xml:space="preserve">M     </v>
          </cell>
          <cell r="D4071">
            <v>25.06</v>
          </cell>
        </row>
        <row r="4072">
          <cell r="A4072">
            <v>6186</v>
          </cell>
          <cell r="B4072" t="str">
            <v>RODAPE DE MADEIRA MACICA CUMARU/IPE CHAMPANHE OU EQUIVALENTE DA REGIAO, *1,5 X 7 CM</v>
          </cell>
          <cell r="C4072" t="str">
            <v xml:space="preserve">M     </v>
          </cell>
          <cell r="D4072">
            <v>10.130000000000001</v>
          </cell>
        </row>
        <row r="4073">
          <cell r="A4073">
            <v>4829</v>
          </cell>
          <cell r="B4073" t="str">
            <v>RODAPE EM MARMORE, POLIDO, BRANCO COMUM, L= *7* CM, E=  *2* CM, CORTE RETO</v>
          </cell>
          <cell r="C4073" t="str">
            <v xml:space="preserve">M     </v>
          </cell>
          <cell r="D4073">
            <v>38.57</v>
          </cell>
        </row>
        <row r="4074">
          <cell r="A4074">
            <v>39829</v>
          </cell>
          <cell r="B4074" t="str">
            <v>RODAPE EM POLIESTIRENO, BRANCO, H = *5* CM, E = *1,5* CM</v>
          </cell>
          <cell r="C4074" t="str">
            <v xml:space="preserve">M     </v>
          </cell>
          <cell r="D4074">
            <v>20.37</v>
          </cell>
        </row>
        <row r="4075">
          <cell r="A4075">
            <v>20231</v>
          </cell>
          <cell r="B4075" t="str">
            <v>RODAPE OU RODABANCADA EM GRANITO, POLIDO, TIPO ANDORINHA/ QUARTZ/ CASTELO/ CORUMBA OU OUTROS EQUIVALENTES DA REGIAO, H= 10 CM, E=  *2,0* CM</v>
          </cell>
          <cell r="C4075" t="str">
            <v xml:space="preserve">M     </v>
          </cell>
          <cell r="D4075">
            <v>53.58</v>
          </cell>
        </row>
        <row r="4076">
          <cell r="A4076">
            <v>4804</v>
          </cell>
          <cell r="B4076" t="str">
            <v>RODAPE PLANO PARA PISO VINILICO, H = 5 CM</v>
          </cell>
          <cell r="C4076" t="str">
            <v xml:space="preserve">M     </v>
          </cell>
          <cell r="D4076">
            <v>19.239999999999998</v>
          </cell>
        </row>
        <row r="4077">
          <cell r="A4077">
            <v>34680</v>
          </cell>
          <cell r="B4077" t="str">
            <v>RODAPE PRE-MOLDADO DE GRANILITE, MARMORITE OU GRANITINA L = 10 CM</v>
          </cell>
          <cell r="C4077" t="str">
            <v xml:space="preserve">M     </v>
          </cell>
          <cell r="D4077">
            <v>24.69</v>
          </cell>
        </row>
        <row r="4078">
          <cell r="A4078">
            <v>11573</v>
          </cell>
          <cell r="B4078" t="str">
            <v>RODIZIO PARA TRILHO (TIPO NAPOLEAO),  EM LATAO, COM ROLAMENTO EM ACO, 6 MM, PARA JANELA DE CORRER</v>
          </cell>
          <cell r="C4078" t="str">
            <v xml:space="preserve">UN    </v>
          </cell>
          <cell r="D4078">
            <v>6.6</v>
          </cell>
        </row>
        <row r="4079">
          <cell r="A4079">
            <v>38401</v>
          </cell>
          <cell r="B4079" t="str">
            <v>RODO PARA CHAO 40 CM COM CABO</v>
          </cell>
          <cell r="C4079" t="str">
            <v xml:space="preserve">UN    </v>
          </cell>
          <cell r="D4079">
            <v>12.67</v>
          </cell>
        </row>
        <row r="4080">
          <cell r="A4080">
            <v>38179</v>
          </cell>
          <cell r="B4080" t="str">
            <v>ROLDANA CONCOVA DUPLA, EM CHAPA DE ACO, ROLAMENTO INTERNO BLINDADO DE ACO REVESTIDO EM NYLON, PARA PORTA DE CORRER</v>
          </cell>
          <cell r="C4080" t="str">
            <v xml:space="preserve">UN    </v>
          </cell>
          <cell r="D4080">
            <v>28.92</v>
          </cell>
        </row>
        <row r="4081">
          <cell r="A4081">
            <v>11575</v>
          </cell>
          <cell r="B4081" t="str">
            <v>ROLDANA DUPLA, EM ZAMAC COM CHAPA DE LATAO, ROLAMENTOS EM ACO, PARA PORTA E JANELA DE CORRER</v>
          </cell>
          <cell r="C4081" t="str">
            <v xml:space="preserve">UN    </v>
          </cell>
          <cell r="D4081">
            <v>31.21</v>
          </cell>
        </row>
        <row r="4082">
          <cell r="A4082">
            <v>20256</v>
          </cell>
          <cell r="B4082" t="str">
            <v>ROLDANA PLASTICA COM PREGO, TAMANHO 30 X 30 MM, PARA INSTALACAO ELETRICA APARENTE</v>
          </cell>
          <cell r="C4082" t="str">
            <v xml:space="preserve">UN    </v>
          </cell>
          <cell r="D4082">
            <v>0.31</v>
          </cell>
        </row>
        <row r="4083">
          <cell r="A4083">
            <v>14511</v>
          </cell>
          <cell r="B4083" t="str">
            <v>ROLO COMPACTADOR DE PNEUS, ESTATICO, PRESSAO VARIAVEL, POTENCIA 110 HP, PESO SEM/COM LASTRO 10,8/27 T, LARGURA DE ROLAGEM 2,30 M</v>
          </cell>
          <cell r="C4083" t="str">
            <v xml:space="preserve">UN    </v>
          </cell>
          <cell r="D4083">
            <v>495462.77</v>
          </cell>
        </row>
        <row r="4084">
          <cell r="A4084">
            <v>10642</v>
          </cell>
          <cell r="B4084" t="str">
            <v>ROLO COMPACTADOR DE PNEUS, ESTATICO, PRESSAO VARIAVEL, POTENCIA 111 HP, PESO SEM/COM LASTRO 9,5/26,0 T, LARGURA DE ROLAGEM 1,90 M</v>
          </cell>
          <cell r="C4084" t="str">
            <v xml:space="preserve">UN    </v>
          </cell>
          <cell r="D4084">
            <v>466750</v>
          </cell>
        </row>
        <row r="4085">
          <cell r="A4085">
            <v>14489</v>
          </cell>
          <cell r="B4085" t="str">
            <v>ROLO COMPACTADOR PE DE CARNEIRO VIBRATORIO, POTENCIA 125 HP, PESO OPERACIONAL SEM/COM LASTRO 11,95/13,30 T, IMPACTO DINAMICO 38,5/22,5 T, LARGURA DE TRABALHO 2,15 M</v>
          </cell>
          <cell r="C4085" t="str">
            <v xml:space="preserve">UN    </v>
          </cell>
          <cell r="D4085">
            <v>413998.56</v>
          </cell>
        </row>
        <row r="4086">
          <cell r="A4086">
            <v>14513</v>
          </cell>
          <cell r="B4086" t="str">
            <v>ROLO COMPACTADOR PE DE CARNEIRO VIBRATORIO, POTENCIA 80 HP, PESO OPERACIONAL SEM/COM LASTRO 7,4/8,8 T, LARGURA DE TRABALHO 1,68 M</v>
          </cell>
          <cell r="C4086" t="str">
            <v xml:space="preserve">UN    </v>
          </cell>
          <cell r="D4086">
            <v>310508.75</v>
          </cell>
        </row>
        <row r="4087">
          <cell r="A4087">
            <v>13600</v>
          </cell>
          <cell r="B4087" t="str">
            <v>ROLO COMPACTADOR VIBRATORIO DE UM CILINDRO LISO DE ACO, POTENCIA 125 HP, PESO SEM/COM LASTRO 10,75/12,92 T, IMPACTO DINAMICO 31,5/18,5 T, LARGURA TRABALHO 2,15 M</v>
          </cell>
          <cell r="C4087" t="str">
            <v xml:space="preserve">UN    </v>
          </cell>
          <cell r="D4087">
            <v>400643.73</v>
          </cell>
        </row>
        <row r="4088">
          <cell r="A4088">
            <v>10646</v>
          </cell>
          <cell r="B4088" t="str">
            <v>ROLO COMPACTADOR VIBRATORIO DE UM CILINDRO, ACO LISO, POTENCIA 80 HP, PESO OPERACIONAL MAXIMO 8,1 T, IMPACTO DINAMICO 16,15/9,5 T, LARGURA TRABALHO 1,68 M</v>
          </cell>
          <cell r="C4088" t="str">
            <v xml:space="preserve">UN    </v>
          </cell>
          <cell r="D4088">
            <v>298653.2</v>
          </cell>
        </row>
        <row r="4089">
          <cell r="A4089">
            <v>6070</v>
          </cell>
          <cell r="B4089" t="str">
            <v>ROLO COMPACTADOR VIBRATORIO PE DE CARNEIRO, COM CONTROLE REMOTO POR RADIO, POTENCIA  12,5 KW, PESO OPERACIONAL DE 1,675 T, LARGURA DE TRABALHO 0,85 M</v>
          </cell>
          <cell r="C4089" t="str">
            <v xml:space="preserve">UN    </v>
          </cell>
          <cell r="D4089">
            <v>408072.85</v>
          </cell>
        </row>
        <row r="4090">
          <cell r="A4090">
            <v>6069</v>
          </cell>
          <cell r="B4090" t="str">
            <v>ROLO COMPACTADOR VIBRATORIO REBOCAVEL, CILINDRO DE ACO LISO, POTENCIA DE TRACAO DE 65 CV, PESO DE 4,7 T, IMPACTO DINAMICO TOTAL DE 18,3 T, LARGURA DO ROLO 1,67 M</v>
          </cell>
          <cell r="C4090" t="str">
            <v xml:space="preserve">UN    </v>
          </cell>
          <cell r="D4090">
            <v>90149.440000000002</v>
          </cell>
        </row>
        <row r="4091">
          <cell r="A4091">
            <v>14626</v>
          </cell>
          <cell r="B4091" t="str">
            <v>ROLO COMPACTADOR VIBRATORIO TANDEM, ACO LISO, POTENCIA 125 HP, PESO SEM/COM LASTRO 10,20/11,65 T, LARGURA DE TRABALHO 1,73 M</v>
          </cell>
          <cell r="C4091" t="str">
            <v xml:space="preserve">UN    </v>
          </cell>
          <cell r="D4091">
            <v>446746.44</v>
          </cell>
        </row>
        <row r="4092">
          <cell r="A4092">
            <v>6067</v>
          </cell>
          <cell r="B4092" t="str">
            <v>ROLO COMPACTADOR VIBRATORIO TANDEM, ACO LISO, POTENCIA 58 CV, PESO SEM/COM LASTRO 6,5/9,4 T, LARGURA DE TRABALHO 1,20 M</v>
          </cell>
          <cell r="C4092" t="str">
            <v xml:space="preserve">UN    </v>
          </cell>
          <cell r="D4092">
            <v>366732.14</v>
          </cell>
        </row>
        <row r="4093">
          <cell r="A4093">
            <v>38393</v>
          </cell>
          <cell r="B4093" t="str">
            <v>ROLO DE ESPUMA POLIESTER 23 CM (SEM CABO)</v>
          </cell>
          <cell r="C4093" t="str">
            <v xml:space="preserve">UN    </v>
          </cell>
          <cell r="D4093">
            <v>14.49</v>
          </cell>
        </row>
        <row r="4094">
          <cell r="A4094">
            <v>38390</v>
          </cell>
          <cell r="B4094" t="str">
            <v>ROLO DE LA DE CARNEIRO 23 CM (SEM CABO)</v>
          </cell>
          <cell r="C4094" t="str">
            <v xml:space="preserve">UN    </v>
          </cell>
          <cell r="D4094">
            <v>32.14</v>
          </cell>
        </row>
        <row r="4095">
          <cell r="A4095">
            <v>36532</v>
          </cell>
          <cell r="B4095" t="str">
            <v>ROMPEDOR ELETRICO PESO 26 KG, POTENCIA OPERACIONAL DE 2,5 KW</v>
          </cell>
          <cell r="C4095" t="str">
            <v xml:space="preserve">UN    </v>
          </cell>
          <cell r="D4095">
            <v>27984.39</v>
          </cell>
        </row>
        <row r="4096">
          <cell r="A4096">
            <v>11578</v>
          </cell>
          <cell r="B4096" t="str">
            <v>ROSETA QUADRADA, SEM FUROS, EM ACO INOX POLIDO, LARGURA APROXIMADA DE 50 MM, PARA FECHADURA DE PORTA - PARAFUSOS INCLUIDOS</v>
          </cell>
          <cell r="C4096" t="str">
            <v xml:space="preserve">UN    </v>
          </cell>
          <cell r="D4096">
            <v>10.02</v>
          </cell>
        </row>
        <row r="4097">
          <cell r="A4097">
            <v>11577</v>
          </cell>
          <cell r="B4097" t="str">
            <v>ROSETA REDONDA DE SOBREPOR, SEM FUROS, EM ACO INOX POLIDO, DIAMETRO APROXIMADO DE 50 MM, PARA FECHADURA DE PORTA - PARAFUSOS INCLUIDOS</v>
          </cell>
          <cell r="C4097" t="str">
            <v xml:space="preserve">UN    </v>
          </cell>
          <cell r="D4097">
            <v>9.57</v>
          </cell>
        </row>
        <row r="4098">
          <cell r="A4098">
            <v>42432</v>
          </cell>
          <cell r="B4098" t="str">
            <v>ROTACAO DIAGONAL DUPLA, APARELHO TRIPLO, EM TUBO DE ACO CARBONO, PINTURA NO PROCESSO ELETROSTATICO - EQUIPAMENTO DE GINASTICA PARA ACADEMIA AO AR LIVRE / ACADEMIA DA TERCEIRA IDADE - ATI</v>
          </cell>
          <cell r="C4098" t="str">
            <v xml:space="preserve">UN    </v>
          </cell>
          <cell r="D4098">
            <v>1349.51</v>
          </cell>
        </row>
        <row r="4099">
          <cell r="A4099">
            <v>42437</v>
          </cell>
          <cell r="B4099" t="str">
            <v>ROTACAO VERTICAL DUPLO, EM TUBO DE ACO CARBONO, PINTURA NO PROCESSO ELETROSTATICO - EQUIPAMENTO DE GINASTICA PARA ACADEMIA AO AR LIVRE / ACADEMIA DA TERCEIRA IDADE - ATI</v>
          </cell>
          <cell r="C4099" t="str">
            <v xml:space="preserve">UN    </v>
          </cell>
          <cell r="D4099">
            <v>1025.98</v>
          </cell>
        </row>
        <row r="4100">
          <cell r="A4100">
            <v>1116</v>
          </cell>
          <cell r="B4100" t="str">
            <v>RUFO EXTERNO DE CHAPA DE ACO GALVANIZADA NUM 26, CORTE 25 CM</v>
          </cell>
          <cell r="C4100" t="str">
            <v xml:space="preserve">M     </v>
          </cell>
          <cell r="D4100">
            <v>16.72</v>
          </cell>
        </row>
        <row r="4101">
          <cell r="A4101">
            <v>1115</v>
          </cell>
          <cell r="B4101" t="str">
            <v>RUFO EXTERNO DE CHAPA DE ACO GALVANIZADA NUM 26, CORTE 28 CM</v>
          </cell>
          <cell r="C4101" t="str">
            <v xml:space="preserve">M     </v>
          </cell>
          <cell r="D4101">
            <v>20.04</v>
          </cell>
        </row>
        <row r="4102">
          <cell r="A4102">
            <v>1113</v>
          </cell>
          <cell r="B4102" t="str">
            <v>RUFO EXTERNO/INTERNO DE CHAPA DE ACO GALVANIZADA NUM 26, CORTE 33 CM</v>
          </cell>
          <cell r="C4102" t="str">
            <v xml:space="preserve">M     </v>
          </cell>
          <cell r="D4102">
            <v>23.43</v>
          </cell>
        </row>
        <row r="4103">
          <cell r="A4103">
            <v>1114</v>
          </cell>
          <cell r="B4103" t="str">
            <v>RUFO INTERNO DE CHAPA DE ACO GALVANIZADA NUM 26, CORTE 50 CM</v>
          </cell>
          <cell r="C4103" t="str">
            <v xml:space="preserve">M     </v>
          </cell>
          <cell r="D4103">
            <v>27.91</v>
          </cell>
        </row>
        <row r="4104">
          <cell r="A4104">
            <v>40873</v>
          </cell>
          <cell r="B4104" t="str">
            <v>RUFO INTERNO/EXTERNO DE CHAPA DE ACO GALVANIZADA NUM 24, CORTE 25 CM</v>
          </cell>
          <cell r="C4104" t="str">
            <v xml:space="preserve">M     </v>
          </cell>
          <cell r="D4104">
            <v>21.84</v>
          </cell>
        </row>
        <row r="4105">
          <cell r="A4105">
            <v>20214</v>
          </cell>
          <cell r="B4105" t="str">
            <v>RUFO PARA TELHA ESTRUTURAL DE FIBROCIMENTO 1 ABA (SEM AMIANTO)</v>
          </cell>
          <cell r="C4105" t="str">
            <v xml:space="preserve">UN    </v>
          </cell>
          <cell r="D4105">
            <v>31.28</v>
          </cell>
        </row>
        <row r="4106">
          <cell r="A4106">
            <v>11064</v>
          </cell>
          <cell r="B4106" t="str">
            <v>RUFO PARA TELHA ESTRUTURAL DE FIBROCIMENTO 2 ABAS, COMPRIMENTO DE 1031 MM (SEM AMIANTO)</v>
          </cell>
          <cell r="C4106" t="str">
            <v xml:space="preserve">UN    </v>
          </cell>
          <cell r="D4106">
            <v>13.26</v>
          </cell>
        </row>
        <row r="4107">
          <cell r="A4107">
            <v>7237</v>
          </cell>
          <cell r="B4107" t="str">
            <v>RUFO PARA TELHA ONDULADA DE FIBROCIMENTO, E = 6 MM, ABA *260* MM, COMPRIMENTO 1100 MM (SEM AMIANTO)</v>
          </cell>
          <cell r="C4107" t="str">
            <v xml:space="preserve">UN    </v>
          </cell>
          <cell r="D4107">
            <v>18.09</v>
          </cell>
        </row>
        <row r="4108">
          <cell r="A4108">
            <v>16</v>
          </cell>
          <cell r="B4108" t="str">
            <v>SABAO EM PO</v>
          </cell>
          <cell r="C4108" t="str">
            <v xml:space="preserve">KG    </v>
          </cell>
          <cell r="D4108">
            <v>6.96</v>
          </cell>
        </row>
        <row r="4109">
          <cell r="A4109">
            <v>11757</v>
          </cell>
          <cell r="B4109" t="str">
            <v>SABONETEIRA DE PAREDE EM METAL CROMADO</v>
          </cell>
          <cell r="C4109" t="str">
            <v xml:space="preserve">UN    </v>
          </cell>
          <cell r="D4109">
            <v>22.58</v>
          </cell>
        </row>
        <row r="4110">
          <cell r="A4110">
            <v>11758</v>
          </cell>
          <cell r="B4110" t="str">
            <v>SABONETEIRA PLASTICA TIPO DISPENSER PARA SABONETE LIQUIDO COM RESERVATORIO 800 A 1500 ML</v>
          </cell>
          <cell r="C4110" t="str">
            <v xml:space="preserve">UN    </v>
          </cell>
          <cell r="D4110">
            <v>50.95</v>
          </cell>
        </row>
        <row r="4111">
          <cell r="A4111">
            <v>37526</v>
          </cell>
          <cell r="B4111" t="str">
            <v>SACO DE RAFIA PARA ENTULHO, NOVO, LISO (SEM CLICHE), *60 x 90* CM</v>
          </cell>
          <cell r="C4111" t="str">
            <v xml:space="preserve">UN    </v>
          </cell>
          <cell r="D4111">
            <v>2.33</v>
          </cell>
        </row>
        <row r="4112">
          <cell r="A4112">
            <v>6076</v>
          </cell>
          <cell r="B4112" t="str">
            <v>SAIBRO PARA ARGAMASSA (COLETADO NO COMERCIO)</v>
          </cell>
          <cell r="C4112" t="str">
            <v xml:space="preserve">M3    </v>
          </cell>
          <cell r="D4112">
            <v>53.51</v>
          </cell>
        </row>
        <row r="4113">
          <cell r="A4113">
            <v>13109</v>
          </cell>
          <cell r="B4113" t="str">
            <v>SAPATA DE PVC ADITIVADO NERVURADO D = 6"</v>
          </cell>
          <cell r="C4113" t="str">
            <v xml:space="preserve">UN    </v>
          </cell>
          <cell r="D4113">
            <v>177.41</v>
          </cell>
        </row>
        <row r="4114">
          <cell r="A4114">
            <v>13110</v>
          </cell>
          <cell r="B4114" t="str">
            <v>SAPATA DE PVC ADITIVADO NERVURADO D = 8"</v>
          </cell>
          <cell r="C4114" t="str">
            <v xml:space="preserve">UN    </v>
          </cell>
          <cell r="D4114">
            <v>233.48</v>
          </cell>
        </row>
        <row r="4115">
          <cell r="A4115">
            <v>7581</v>
          </cell>
          <cell r="B4115" t="str">
            <v>SAPATILHA EM ACO GALVANIZADO PARA CABOS COM DIAMETRO NOMINAL ATE 5/8"</v>
          </cell>
          <cell r="C4115" t="str">
            <v xml:space="preserve">UN    </v>
          </cell>
          <cell r="D4115">
            <v>2.57</v>
          </cell>
        </row>
        <row r="4116">
          <cell r="A4116">
            <v>20206</v>
          </cell>
          <cell r="B4116" t="str">
            <v>SARRAFO DE MADEIRA APARELHADA *2 X 10* CM, MACARANDUBA, ANGELIM OU EQUIVALENTE DA REGIAO</v>
          </cell>
          <cell r="C4116" t="str">
            <v xml:space="preserve">M     </v>
          </cell>
          <cell r="D4116">
            <v>4.38</v>
          </cell>
        </row>
        <row r="4117">
          <cell r="A4117">
            <v>4460</v>
          </cell>
          <cell r="B4117" t="str">
            <v>SARRAFO DE MADEIRA NAO APARELHADA *2,5 X 10 CM, MACARANDUBA, ANGELIM OU EQUIVALENTE DA REGIAO</v>
          </cell>
          <cell r="C4117" t="str">
            <v xml:space="preserve">M     </v>
          </cell>
          <cell r="D4117">
            <v>5.25</v>
          </cell>
        </row>
        <row r="4118">
          <cell r="A4118">
            <v>4417</v>
          </cell>
          <cell r="B4118" t="str">
            <v>SARRAFO DE MADEIRA NAO APARELHADA *2,5 X 7* CM, MACARANDUBA, ANGELIM OU EQUIVALENTE DA REGIAO</v>
          </cell>
          <cell r="C4118" t="str">
            <v xml:space="preserve">M     </v>
          </cell>
          <cell r="D4118">
            <v>3.02</v>
          </cell>
        </row>
        <row r="4119">
          <cell r="A4119">
            <v>4517</v>
          </cell>
          <cell r="B4119" t="str">
            <v>SARRAFO DE MADEIRA NAO APARELHADA *2,5 X 7,5* CM (1 X 3 ") PINUS, MISTA OU EQUIVALENTE DA REGIAO</v>
          </cell>
          <cell r="C4119" t="str">
            <v xml:space="preserve">M     </v>
          </cell>
          <cell r="D4119">
            <v>2.02</v>
          </cell>
        </row>
        <row r="4120">
          <cell r="A4120">
            <v>4512</v>
          </cell>
          <cell r="B4120" t="str">
            <v>SARRAFO DE MADEIRA NAO APARELHADA 2,5 X 5 CM (1 X 2 ") PINUS, MISTA OU EQUIVALENTE DA REGIAO</v>
          </cell>
          <cell r="C4120" t="str">
            <v xml:space="preserve">M     </v>
          </cell>
          <cell r="D4120">
            <v>1.46</v>
          </cell>
        </row>
        <row r="4121">
          <cell r="A4121">
            <v>4415</v>
          </cell>
          <cell r="B4121" t="str">
            <v>SARRAFO DE MADEIRA NAO APARELHADA 2,5 X 5 CM, MACARANDUBA, ANGELIM OU EQUIVALENTE DA REGIAO</v>
          </cell>
          <cell r="C4121" t="str">
            <v xml:space="preserve">M     </v>
          </cell>
          <cell r="D4121">
            <v>2.5299999999999998</v>
          </cell>
        </row>
        <row r="4122">
          <cell r="A4122">
            <v>37373</v>
          </cell>
          <cell r="B4122" t="str">
            <v>SEGURO - HORISTA (COLETADO CAIXA)</v>
          </cell>
          <cell r="C4122" t="str">
            <v xml:space="preserve">H     </v>
          </cell>
          <cell r="D4122">
            <v>7.0000000000000007E-2</v>
          </cell>
        </row>
        <row r="4123">
          <cell r="A4123">
            <v>40864</v>
          </cell>
          <cell r="B4123" t="str">
            <v>SEGURO - MENSALISTA (COLETADO CAIXA)</v>
          </cell>
          <cell r="C4123" t="str">
            <v xml:space="preserve">MES   </v>
          </cell>
          <cell r="D4123">
            <v>13.07</v>
          </cell>
        </row>
        <row r="4124">
          <cell r="A4124">
            <v>4734</v>
          </cell>
          <cell r="B4124" t="str">
            <v>SEIXO ROLADO PARA APLICACAO EM CONCRETO (POSTO PEDREIRA/FORNECEDOR, SEM FRETE)</v>
          </cell>
          <cell r="C4124" t="str">
            <v xml:space="preserve">M3    </v>
          </cell>
          <cell r="D4124">
            <v>102.36</v>
          </cell>
        </row>
        <row r="4125">
          <cell r="A4125">
            <v>6085</v>
          </cell>
          <cell r="B4125" t="str">
            <v>SELADOR ACRILICO PAREDES INTERNAS/EXTERNAS</v>
          </cell>
          <cell r="C4125" t="str">
            <v xml:space="preserve">L     </v>
          </cell>
          <cell r="D4125">
            <v>3.89</v>
          </cell>
        </row>
        <row r="4126">
          <cell r="A4126">
            <v>38396</v>
          </cell>
          <cell r="B4126" t="str">
            <v>SELADOR HORIZONTAL PARA FITA DE ACO 1 "</v>
          </cell>
          <cell r="C4126" t="str">
            <v xml:space="preserve">UN    </v>
          </cell>
          <cell r="D4126">
            <v>508.26</v>
          </cell>
        </row>
        <row r="4127">
          <cell r="A4127">
            <v>6090</v>
          </cell>
          <cell r="B4127" t="str">
            <v>SELADOR PVA PAREDES INTERNAS</v>
          </cell>
          <cell r="C4127" t="str">
            <v xml:space="preserve">L     </v>
          </cell>
          <cell r="D4127">
            <v>7.39</v>
          </cell>
        </row>
        <row r="4128">
          <cell r="A4128">
            <v>11622</v>
          </cell>
          <cell r="B4128" t="str">
            <v>SELANTE A BASE DE ALCATRAO E POLIURETANO PARA JUNTAS HORIZONTAIS</v>
          </cell>
          <cell r="C4128" t="str">
            <v xml:space="preserve">KG    </v>
          </cell>
          <cell r="D4128">
            <v>51.22</v>
          </cell>
        </row>
        <row r="4129">
          <cell r="A4129">
            <v>6094</v>
          </cell>
          <cell r="B4129" t="str">
            <v>SELANTE A BASE DE RESINAS ACRILICAS PARA TRINCAS</v>
          </cell>
          <cell r="C4129" t="str">
            <v xml:space="preserve">KG    </v>
          </cell>
          <cell r="D4129">
            <v>12.49</v>
          </cell>
        </row>
        <row r="4130">
          <cell r="A4130">
            <v>43143</v>
          </cell>
          <cell r="B4130" t="str">
            <v>SELANTE ACRILICO PARA TRATAMENTO / ACABAMENTO SUPERFICIAL DE CONCRETO ESTAMPADO, APARENTE, PEDRAS E OUTROS</v>
          </cell>
          <cell r="C4130" t="str">
            <v xml:space="preserve">L     </v>
          </cell>
          <cell r="D4130">
            <v>19.34</v>
          </cell>
        </row>
        <row r="4131">
          <cell r="A4131">
            <v>7317</v>
          </cell>
          <cell r="B4131" t="str">
            <v>SELANTE DE BASE ASFALTICA PARA VEDACAO</v>
          </cell>
          <cell r="C4131" t="str">
            <v xml:space="preserve">KG    </v>
          </cell>
          <cell r="D4131">
            <v>23.41</v>
          </cell>
        </row>
        <row r="4132">
          <cell r="A4132">
            <v>142</v>
          </cell>
          <cell r="B4132" t="str">
            <v>SELANTE ELASTICO MONOCOMPONENTE A BASE DE POLIURETANO (PU) PARA JUNTAS DIVERSAS</v>
          </cell>
          <cell r="C4132" t="str">
            <v xml:space="preserve">310ML </v>
          </cell>
          <cell r="D4132">
            <v>24.17</v>
          </cell>
        </row>
        <row r="4133">
          <cell r="A4133">
            <v>43142</v>
          </cell>
          <cell r="B4133" t="str">
            <v>SELANTE MONOCOMPONENTE A BASE DE SILICONE DE BAIXO MODULO, PARA JUNTAS DE PAVIMENTACAO</v>
          </cell>
          <cell r="C4133" t="str">
            <v xml:space="preserve">L     </v>
          </cell>
          <cell r="D4133">
            <v>109.79</v>
          </cell>
        </row>
        <row r="4134">
          <cell r="A4134">
            <v>38123</v>
          </cell>
          <cell r="B4134" t="str">
            <v>SELANTE TIPO VEDA CALHA PARA METAL E FIBROCIMENTO</v>
          </cell>
          <cell r="C4134" t="str">
            <v xml:space="preserve">KG    </v>
          </cell>
          <cell r="D4134">
            <v>65.88</v>
          </cell>
        </row>
        <row r="4135">
          <cell r="A4135">
            <v>42701</v>
          </cell>
          <cell r="B4135" t="str">
            <v>SELIM COMPACTO EM PVC, SEM TRAVA,  DN 150 X 100 MM, PARA REDE COLETORA ESGOTO (NBR 10569)</v>
          </cell>
          <cell r="C4135" t="str">
            <v xml:space="preserve">UN    </v>
          </cell>
          <cell r="D4135">
            <v>23.97</v>
          </cell>
        </row>
        <row r="4136">
          <cell r="A4136">
            <v>42702</v>
          </cell>
          <cell r="B4136" t="str">
            <v>SELIM COMPACTO EM PVC, SEM TRAVA,  DN 200 X 100 MM, PARA REDE COLETORA ESGOTO (NBR 10569)</v>
          </cell>
          <cell r="C4136" t="str">
            <v xml:space="preserve">UN    </v>
          </cell>
          <cell r="D4136">
            <v>42.6</v>
          </cell>
        </row>
        <row r="4137">
          <cell r="A4137">
            <v>37955</v>
          </cell>
          <cell r="B4137" t="str">
            <v>SELIM COMPACTO EM PVC, SEM TRAVAS,  DN 300 X 100 MM, PARA REDE COLETORA ESGOTO (NBR 10569)</v>
          </cell>
          <cell r="C4137" t="str">
            <v xml:space="preserve">UN    </v>
          </cell>
          <cell r="D4137">
            <v>55.21</v>
          </cell>
        </row>
        <row r="4138">
          <cell r="A4138">
            <v>42699</v>
          </cell>
          <cell r="B4138" t="str">
            <v>SELIM PVC, COM TRAVA, JE, 90 GRAUS,  DN 125 X 100 MM OU 150 X 100 MM, PARA REDE COLETORA ESGOTO (NBR 10569)</v>
          </cell>
          <cell r="C4138" t="str">
            <v xml:space="preserve">UN    </v>
          </cell>
          <cell r="D4138">
            <v>14.64</v>
          </cell>
        </row>
        <row r="4139">
          <cell r="A4139">
            <v>42700</v>
          </cell>
          <cell r="B4139" t="str">
            <v>SELIM PVC, SOLDAVEL, SEM TRAVA, JE, 90 GRAUS,  DN 200 X 100 MM, PARA REDE COLETORA ESGOTO (NBR 10569)</v>
          </cell>
          <cell r="C4139" t="str">
            <v xml:space="preserve">UN    </v>
          </cell>
          <cell r="D4139">
            <v>41.75</v>
          </cell>
        </row>
        <row r="4140">
          <cell r="A4140">
            <v>37743</v>
          </cell>
          <cell r="B4140" t="str">
            <v>SEMIRREBOQUE COM DOIS EIXOS EM TANDEM TIPO BASCULANTE COM CACAMBA METALICA 14 M3  (INCLUI MONTAGEM, NAO INCLUI CAVALO MECANICO)</v>
          </cell>
          <cell r="C4140" t="str">
            <v xml:space="preserve">UN    </v>
          </cell>
          <cell r="D4140">
            <v>131739.35</v>
          </cell>
        </row>
        <row r="4141">
          <cell r="A4141">
            <v>37744</v>
          </cell>
          <cell r="B4141" t="str">
            <v>SEMIRREBOQUE COM TRES EIXOS EM TANDEM TIPO BASCULANTE COM CACAMBA METALICA 18 M3 (INCLUI MONTAGEM, NAO INCLUI CAVALO MECANICO)</v>
          </cell>
          <cell r="C4141" t="str">
            <v xml:space="preserve">UN    </v>
          </cell>
          <cell r="D4141">
            <v>154900.69</v>
          </cell>
        </row>
        <row r="4142">
          <cell r="A4142">
            <v>37741</v>
          </cell>
          <cell r="B4142" t="str">
            <v>SEMIRREBOQUE COM TRES EIXOS, PARA TRANSPORTE DE CARGA SECA, DIMENSOES APROXIMADAS 2,60 X 12,50 X 0,50 M (NAO INCLUI CAVALO MECANICO)</v>
          </cell>
          <cell r="C4142" t="str">
            <v xml:space="preserve">UN    </v>
          </cell>
          <cell r="D4142">
            <v>119789.87</v>
          </cell>
        </row>
        <row r="4143">
          <cell r="A4143">
            <v>39396</v>
          </cell>
          <cell r="B4143" t="str">
            <v>SENSOR DE PRESENCA BIVOLT COM FOTOCELULA PARA QUALQUER TIPO DE LAMPADA, POTENCIA MAXIMA *1000* W, USO EXTERNO</v>
          </cell>
          <cell r="C4143" t="str">
            <v xml:space="preserve">UN    </v>
          </cell>
          <cell r="D4143">
            <v>36.39</v>
          </cell>
        </row>
        <row r="4144">
          <cell r="A4144">
            <v>39392</v>
          </cell>
          <cell r="B4144" t="str">
            <v>SENSOR DE PRESENCA BIVOLT DE PAREDE COM FOTOCELULA PARA QUALQUER TIPO DE LAMPADA POTENCIA MAXIMA *1000* W, USO INTERNO</v>
          </cell>
          <cell r="C4144" t="str">
            <v xml:space="preserve">UN    </v>
          </cell>
          <cell r="D4144">
            <v>41.04</v>
          </cell>
        </row>
        <row r="4145">
          <cell r="A4145">
            <v>39393</v>
          </cell>
          <cell r="B4145" t="str">
            <v>SENSOR DE PRESENCA BIVOLT DE PAREDE SEM FOTOCELULA PARA QUALQUER TIPO DE LAMPADA POTENCIA MAXIMA *1000* W, USO INTERNO</v>
          </cell>
          <cell r="C4145" t="str">
            <v xml:space="preserve">UN    </v>
          </cell>
          <cell r="D4145">
            <v>25.38</v>
          </cell>
        </row>
        <row r="4146">
          <cell r="A4146">
            <v>39394</v>
          </cell>
          <cell r="B4146" t="str">
            <v>SENSOR DE PRESENCA BIVOLT DE TETO COM FOTOCELULA PARA QUALQUER TIPO DE LAMPADA POTENCIA MAXIMA *1000* W, USO INTERNO</v>
          </cell>
          <cell r="C4146" t="str">
            <v xml:space="preserve">UN    </v>
          </cell>
          <cell r="D4146">
            <v>28.57</v>
          </cell>
        </row>
        <row r="4147">
          <cell r="A4147">
            <v>39395</v>
          </cell>
          <cell r="B4147" t="str">
            <v>SENSOR DE PRESENCA BIVOLT DE TETO SEM FOTOCELULA PARA QUALQUER TIPO DE LAMPADA POTENCIA MAXIMA *900* W, USO INTERNO</v>
          </cell>
          <cell r="C4147" t="str">
            <v xml:space="preserve">UN    </v>
          </cell>
          <cell r="D4147">
            <v>26.57</v>
          </cell>
        </row>
        <row r="4148">
          <cell r="A4148">
            <v>14618</v>
          </cell>
          <cell r="B4148" t="str">
            <v>SERRA CIRCULAR DE BANCADA COM MOTOR ELETRICO, POTENCIA DE *1600* W, PARA DISCO DE DIAMETRO DE 10" (250 MM)</v>
          </cell>
          <cell r="C4148" t="str">
            <v xml:space="preserve">UN    </v>
          </cell>
          <cell r="D4148">
            <v>1248.02</v>
          </cell>
        </row>
        <row r="4149">
          <cell r="A4149">
            <v>40269</v>
          </cell>
          <cell r="B4149" t="str">
            <v>SERRA CIRCULAR DE BANCADA, MODELO PICA-PAU, DIAMETRO DE 350 MM. CARACTERISTICAS DO MOTOR: TRIFASICO, POTENCIA DE 5 HP, FREQUENCIA DE 60 HZ</v>
          </cell>
          <cell r="C4149" t="str">
            <v xml:space="preserve">UN    </v>
          </cell>
          <cell r="D4149">
            <v>5028.18</v>
          </cell>
        </row>
        <row r="4150">
          <cell r="A4150">
            <v>6110</v>
          </cell>
          <cell r="B4150" t="str">
            <v>SERRALHEIRO</v>
          </cell>
          <cell r="C4150" t="str">
            <v xml:space="preserve">H     </v>
          </cell>
          <cell r="D4150">
            <v>14.81</v>
          </cell>
        </row>
        <row r="4151">
          <cell r="A4151">
            <v>40910</v>
          </cell>
          <cell r="B4151" t="str">
            <v>SERRALHEIRO (MENSALISTA)</v>
          </cell>
          <cell r="C4151" t="str">
            <v xml:space="preserve">MES   </v>
          </cell>
          <cell r="D4151">
            <v>2626.51</v>
          </cell>
        </row>
        <row r="4152">
          <cell r="A4152">
            <v>6111</v>
          </cell>
          <cell r="B4152" t="str">
            <v>SERVENTE DE OBRAS</v>
          </cell>
          <cell r="C4152" t="str">
            <v xml:space="preserve">H     </v>
          </cell>
          <cell r="D4152">
            <v>11.02</v>
          </cell>
        </row>
        <row r="4153">
          <cell r="A4153">
            <v>41084</v>
          </cell>
          <cell r="B4153" t="str">
            <v>SERVENTE DE OBRAS (MENSALISTA)</v>
          </cell>
          <cell r="C4153" t="str">
            <v xml:space="preserve">MES   </v>
          </cell>
          <cell r="D4153">
            <v>1953.82</v>
          </cell>
        </row>
        <row r="4154">
          <cell r="A4154">
            <v>25950</v>
          </cell>
          <cell r="B4154" t="str">
            <v>SERVICO DE BOMBEAMENTO DE CONCRETO COM CONSUMO MINIMO DE 40 M3</v>
          </cell>
          <cell r="C4154" t="str">
            <v xml:space="preserve">M3    </v>
          </cell>
          <cell r="D4154">
            <v>38.33</v>
          </cell>
        </row>
        <row r="4155">
          <cell r="A4155">
            <v>38637</v>
          </cell>
          <cell r="B4155" t="str">
            <v>SIFAO EM METAL CROMADO PARA PIA AMERICANA, 1.1/2 X 1.1/2 "</v>
          </cell>
          <cell r="C4155" t="str">
            <v xml:space="preserve">UN    </v>
          </cell>
          <cell r="D4155">
            <v>187.74</v>
          </cell>
        </row>
        <row r="4156">
          <cell r="A4156">
            <v>6150</v>
          </cell>
          <cell r="B4156" t="str">
            <v>SIFAO EM METAL CROMADO PARA PIA AMERICANA, 1.1/2 X 2 "</v>
          </cell>
          <cell r="C4156" t="str">
            <v xml:space="preserve">UN    </v>
          </cell>
          <cell r="D4156">
            <v>190.04</v>
          </cell>
        </row>
        <row r="4157">
          <cell r="A4157">
            <v>6136</v>
          </cell>
          <cell r="B4157" t="str">
            <v>SIFAO EM METAL CROMADO PARA PIA OU LAVATORIO, 1 X 1.1/2 "</v>
          </cell>
          <cell r="C4157" t="str">
            <v xml:space="preserve">UN    </v>
          </cell>
          <cell r="D4157">
            <v>149.38</v>
          </cell>
        </row>
        <row r="4158">
          <cell r="A4158">
            <v>38638</v>
          </cell>
          <cell r="B4158" t="str">
            <v>SIFAO EM METAL CROMADO PARA TANQUE, 1.1/4 X 1.1/2 "</v>
          </cell>
          <cell r="C4158" t="str">
            <v xml:space="preserve">UN    </v>
          </cell>
          <cell r="D4158">
            <v>158.19999999999999</v>
          </cell>
        </row>
        <row r="4159">
          <cell r="A4159">
            <v>20262</v>
          </cell>
          <cell r="B4159" t="str">
            <v>SIFAO PLASTICO EXTENSIVEL UNIVERSAL, TIPO COPO</v>
          </cell>
          <cell r="C4159" t="str">
            <v xml:space="preserve">UN    </v>
          </cell>
          <cell r="D4159">
            <v>12.93</v>
          </cell>
        </row>
        <row r="4160">
          <cell r="A4160">
            <v>6148</v>
          </cell>
          <cell r="B4160" t="str">
            <v>SIFAO PLASTICO FLEXIVEL SAIDA VERTICAL PARA COLUNA LAVATORIO, 1 X 1.1/2 "</v>
          </cell>
          <cell r="C4160" t="str">
            <v xml:space="preserve">UN    </v>
          </cell>
          <cell r="D4160">
            <v>8</v>
          </cell>
        </row>
        <row r="4161">
          <cell r="A4161">
            <v>6145</v>
          </cell>
          <cell r="B4161" t="str">
            <v>SIFAO PLASTICO TIPO COPO PARA PIA AMERICANA 1.1/2 X 1.1/2 "</v>
          </cell>
          <cell r="C4161" t="str">
            <v xml:space="preserve">UN    </v>
          </cell>
          <cell r="D4161">
            <v>14.34</v>
          </cell>
        </row>
        <row r="4162">
          <cell r="A4162">
            <v>6149</v>
          </cell>
          <cell r="B4162" t="str">
            <v>SIFAO PLASTICO TIPO COPO PARA PIA OU LAVATORIO, 1 X 1.1/2 "</v>
          </cell>
          <cell r="C4162" t="str">
            <v xml:space="preserve">UN    </v>
          </cell>
          <cell r="D4162">
            <v>13.52</v>
          </cell>
        </row>
        <row r="4163">
          <cell r="A4163">
            <v>6146</v>
          </cell>
          <cell r="B4163" t="str">
            <v>SIFAO PLASTICO TIPO COPO PARA TANQUE, 1.1/4 X 1.1/2 "</v>
          </cell>
          <cell r="C4163" t="str">
            <v xml:space="preserve">UN    </v>
          </cell>
          <cell r="D4163">
            <v>14.36</v>
          </cell>
        </row>
        <row r="4164">
          <cell r="A4164">
            <v>26026</v>
          </cell>
          <cell r="B4164" t="str">
            <v>SILICA ATIVA PARA ADICAO EM CONCRETO E ARGAMASSA</v>
          </cell>
          <cell r="C4164" t="str">
            <v xml:space="preserve">KG    </v>
          </cell>
          <cell r="D4164">
            <v>2.0299999999999998</v>
          </cell>
        </row>
        <row r="4165">
          <cell r="A4165">
            <v>39961</v>
          </cell>
          <cell r="B4165" t="str">
            <v>SILICONE ACETICO USO GERAL INCOLOR 280 G</v>
          </cell>
          <cell r="C4165" t="str">
            <v xml:space="preserve">UN    </v>
          </cell>
          <cell r="D4165">
            <v>15.97</v>
          </cell>
        </row>
        <row r="4166">
          <cell r="A4166">
            <v>42433</v>
          </cell>
          <cell r="B4166" t="str">
            <v>SIMULADOR DE CAMINHADA TRIPLO, EM TUBO DE ACO CARBONO, PINTURA NO PROCESSO ELETROSTATICO - EQUIPAMENTO DE GINASTICA PARA ACADEMIA AO AR LIVRE / ACADEMIA DA TERCEIRA IDADE - ATI</v>
          </cell>
          <cell r="C4166" t="str">
            <v xml:space="preserve">UN    </v>
          </cell>
          <cell r="D4166">
            <v>2665.57</v>
          </cell>
        </row>
        <row r="4167">
          <cell r="A4167">
            <v>42434</v>
          </cell>
          <cell r="B4167" t="str">
            <v>SIMULADOR DE CAVALGADA TRIPLO, EM TUBO DE ACO CARBONO, PINTURA NO PROCESSO ELETROSTATICO - EQUIPAMENTO DE GINASTICA PARA ACADEMIA AO AR LIVRE / ACADEMIA DA TERCEIRA IDADE - ATI</v>
          </cell>
          <cell r="C4167" t="str">
            <v xml:space="preserve">UN    </v>
          </cell>
          <cell r="D4167">
            <v>2880.54</v>
          </cell>
        </row>
        <row r="4168">
          <cell r="A4168">
            <v>42435</v>
          </cell>
          <cell r="B4168" t="str">
            <v>SIMULADOR DE REMO INDIVIDUAL, EM TUBO DE ACO CARBONO, PINTURA NO PROCESSO ELETROSTATICO - EQUIPAMENTO DE GINASTICA PARA ACADEMIA AO AR LIVRE / ACADEMIA DA TERCEIRA IDADE - ATI</v>
          </cell>
          <cell r="C4168" t="str">
            <v xml:space="preserve">UN    </v>
          </cell>
          <cell r="D4168">
            <v>1436.41</v>
          </cell>
        </row>
        <row r="4169">
          <cell r="A4169">
            <v>38061</v>
          </cell>
          <cell r="B4169" t="str">
            <v>SINALIZADOR NOTURNO SIMPLES PARA PARA-RAIOS, SEM RELE FOTOELETRICO</v>
          </cell>
          <cell r="C4169" t="str">
            <v xml:space="preserve">UN    </v>
          </cell>
          <cell r="D4169">
            <v>53.63</v>
          </cell>
        </row>
        <row r="4170">
          <cell r="A4170">
            <v>20250</v>
          </cell>
          <cell r="B4170" t="str">
            <v>SISAL EM FIBRA</v>
          </cell>
          <cell r="C4170" t="str">
            <v xml:space="preserve">KG    </v>
          </cell>
          <cell r="D4170">
            <v>10.5</v>
          </cell>
        </row>
        <row r="4171">
          <cell r="A4171">
            <v>39965</v>
          </cell>
          <cell r="B4171" t="str">
            <v>SISTEMA DE FORMAS MANUSEAVEIS DE ALUMINIO, PARA BLOCO RESID. COM PAREDES DE CONCRETO MOLDADAS IN LOCO, BLOCO COM 4 PAV. E 4 UNIDADES POR PAV., UNIDADE HABITACIONALCOM 48 M2 E 2 QUARTOS; TELHA DE FIBROCIMENTO (COLETADO CAIXA)</v>
          </cell>
          <cell r="C4171" t="str">
            <v xml:space="preserve">M2    </v>
          </cell>
          <cell r="D4171">
            <v>1325.85</v>
          </cell>
        </row>
        <row r="4172">
          <cell r="A4172">
            <v>39964</v>
          </cell>
          <cell r="B4172" t="str">
            <v>SISTEMA DE FORMAS MANUSEAVEIS DE ALUMINIO, PARA EDIF. RESID. UNIFAMILIAR COM PAREDES DE CONCRETO MOLDADAS IN LOCO, UNIDADE HABITACIONAL TERREA COM 38 M2, COM SALA, CIRCULACAO, 2 QUARTOS, BANHEIRO, COZINHA E TANQUE EXTERNO (SEM COBERTURA) (COLETADO CAIXA)</v>
          </cell>
          <cell r="C4172" t="str">
            <v xml:space="preserve">M2    </v>
          </cell>
          <cell r="D4172">
            <v>1126.1600000000001</v>
          </cell>
        </row>
        <row r="4173">
          <cell r="A4173">
            <v>7</v>
          </cell>
          <cell r="B4173" t="str">
            <v>SODA CAUSTICA EM ESCAMAS</v>
          </cell>
          <cell r="C4173" t="str">
            <v xml:space="preserve">KG    </v>
          </cell>
          <cell r="D4173">
            <v>11.56</v>
          </cell>
        </row>
        <row r="4174">
          <cell r="A4174">
            <v>13388</v>
          </cell>
          <cell r="B4174" t="str">
            <v>SOLDA EM BARRA DE ESTANHO-CHUMBO 50/50</v>
          </cell>
          <cell r="C4174" t="str">
            <v xml:space="preserve">KG    </v>
          </cell>
          <cell r="D4174">
            <v>64.23</v>
          </cell>
        </row>
        <row r="4175">
          <cell r="A4175">
            <v>39914</v>
          </cell>
          <cell r="B4175" t="str">
            <v>SOLDA EM VARETA FOSCOPER, D = *2,5* MM  X COMPRIMENTO 500 MM</v>
          </cell>
          <cell r="C4175" t="str">
            <v xml:space="preserve">KG    </v>
          </cell>
          <cell r="D4175">
            <v>168.79</v>
          </cell>
        </row>
        <row r="4176">
          <cell r="A4176">
            <v>12732</v>
          </cell>
          <cell r="B4176" t="str">
            <v>SOLDA ESTANHO/COBRE PARA CONEXOES DE COBRE, FIO 2,5 MM, CARRETEL 500 GR (SEM CHUMBO)</v>
          </cell>
          <cell r="C4176" t="str">
            <v xml:space="preserve">UN    </v>
          </cell>
          <cell r="D4176">
            <v>194.76</v>
          </cell>
        </row>
        <row r="4177">
          <cell r="A4177">
            <v>6160</v>
          </cell>
          <cell r="B4177" t="str">
            <v>SOLDADOR</v>
          </cell>
          <cell r="C4177" t="str">
            <v xml:space="preserve">H     </v>
          </cell>
          <cell r="D4177">
            <v>14.32</v>
          </cell>
        </row>
        <row r="4178">
          <cell r="A4178">
            <v>41087</v>
          </cell>
          <cell r="B4178" t="str">
            <v>SOLDADOR (MENSALISTA)</v>
          </cell>
          <cell r="C4178" t="str">
            <v xml:space="preserve">MES   </v>
          </cell>
          <cell r="D4178">
            <v>2539.59</v>
          </cell>
        </row>
        <row r="4179">
          <cell r="A4179">
            <v>6166</v>
          </cell>
          <cell r="B4179" t="str">
            <v>SOLDADOR ELETRICO (PARA SOLDA A SER TESTADA COM RAIOS "X")</v>
          </cell>
          <cell r="C4179" t="str">
            <v xml:space="preserve">H     </v>
          </cell>
          <cell r="D4179">
            <v>19.18</v>
          </cell>
        </row>
        <row r="4180">
          <cell r="A4180">
            <v>41088</v>
          </cell>
          <cell r="B4180" t="str">
            <v>SOLDADOR ELETRICO (PARA SOLDA A SER TESTADA COM RAIOS "X") (MENSALISTA)</v>
          </cell>
          <cell r="C4180" t="str">
            <v xml:space="preserve">MES   </v>
          </cell>
          <cell r="D4180">
            <v>3404.57</v>
          </cell>
        </row>
        <row r="4181">
          <cell r="A4181">
            <v>20232</v>
          </cell>
          <cell r="B4181" t="str">
            <v>SOLEIRA EM GRANITO, POLIDO, TIPO ANDORINHA/ QUARTZ/ CASTELO/ CORUMBA OU OUTROS EQUIVALENTES DA REGIAO, L= *15* CM, E=  *2,0* CM</v>
          </cell>
          <cell r="C4181" t="str">
            <v xml:space="preserve">M     </v>
          </cell>
          <cell r="D4181">
            <v>75.84</v>
          </cell>
        </row>
        <row r="4182">
          <cell r="A4182">
            <v>10856</v>
          </cell>
          <cell r="B4182" t="str">
            <v>SOLEIRA PRE-MOLDADA EM GRANILITE, MARMORITE OU GRANITINA, L = *15 CM</v>
          </cell>
          <cell r="C4182" t="str">
            <v xml:space="preserve">M     </v>
          </cell>
          <cell r="D4182">
            <v>67.91</v>
          </cell>
        </row>
        <row r="4183">
          <cell r="A4183">
            <v>4828</v>
          </cell>
          <cell r="B4183" t="str">
            <v>SOLEIRA/ PEITORIL EM MARMORE, POLIDO, BRANCO COMUM, L= *15* CM, E=  *2* CM,  CORTE RETO</v>
          </cell>
          <cell r="C4183" t="str">
            <v xml:space="preserve">M     </v>
          </cell>
          <cell r="D4183">
            <v>57.57</v>
          </cell>
        </row>
        <row r="4184">
          <cell r="A4184">
            <v>20249</v>
          </cell>
          <cell r="B4184" t="str">
            <v>SOLEIRA/ TABEIRA EM MARMORE, POLIDO, BRANCO COMUM, L= 5 CM, E=  *2,0* CM</v>
          </cell>
          <cell r="C4184" t="str">
            <v xml:space="preserve">M     </v>
          </cell>
          <cell r="D4184">
            <v>31.52</v>
          </cell>
        </row>
        <row r="4185">
          <cell r="A4185">
            <v>11609</v>
          </cell>
          <cell r="B4185" t="str">
            <v>SOLUCAO ASFALTICA ELASTOMERICA PARA IMPRIMACAO, APLICACAO A FRIO</v>
          </cell>
          <cell r="C4185" t="str">
            <v xml:space="preserve">L     </v>
          </cell>
          <cell r="D4185">
            <v>8.51</v>
          </cell>
        </row>
        <row r="4186">
          <cell r="A4186">
            <v>20083</v>
          </cell>
          <cell r="B4186" t="str">
            <v>SOLUCAO LIMPADORA PARA PVC, FRASCO COM 1000 CM3</v>
          </cell>
          <cell r="C4186" t="str">
            <v xml:space="preserve">UN    </v>
          </cell>
          <cell r="D4186">
            <v>71.62</v>
          </cell>
        </row>
        <row r="4187">
          <cell r="A4187">
            <v>20082</v>
          </cell>
          <cell r="B4187" t="str">
            <v>SOLUCAO LIMPADORA PARA PVC, FRASCO COM 200 CM3</v>
          </cell>
          <cell r="C4187" t="str">
            <v xml:space="preserve">UN    </v>
          </cell>
          <cell r="D4187">
            <v>27.9</v>
          </cell>
        </row>
        <row r="4188">
          <cell r="A4188">
            <v>5318</v>
          </cell>
          <cell r="B4188" t="str">
            <v>SOLVENTE DILUENTE A BASE DE AGUARRAS</v>
          </cell>
          <cell r="C4188" t="str">
            <v xml:space="preserve">L     </v>
          </cell>
          <cell r="D4188">
            <v>12.42</v>
          </cell>
        </row>
        <row r="4189">
          <cell r="A4189">
            <v>10691</v>
          </cell>
          <cell r="B4189" t="str">
            <v>SOLVENTE PARA COLA (PARA LAMINADO MELAMINICO) A BASE DE RESINA SINTETICA</v>
          </cell>
          <cell r="C4189" t="str">
            <v xml:space="preserve">L     </v>
          </cell>
          <cell r="D4189">
            <v>40.43</v>
          </cell>
        </row>
        <row r="4190">
          <cell r="A4190">
            <v>12295</v>
          </cell>
          <cell r="B4190" t="str">
            <v>SOQUETE DE BAQUELITE BASE E27, PARA LAMPADAS</v>
          </cell>
          <cell r="C4190" t="str">
            <v xml:space="preserve">UN    </v>
          </cell>
          <cell r="D4190">
            <v>2.64</v>
          </cell>
        </row>
        <row r="4191">
          <cell r="A4191">
            <v>12296</v>
          </cell>
          <cell r="B4191" t="str">
            <v>SOQUETE DE PORCELANA BASE E27, FIXO DE TETO, PARA LAMPADAS</v>
          </cell>
          <cell r="C4191" t="str">
            <v xml:space="preserve">UN    </v>
          </cell>
          <cell r="D4191">
            <v>3.42</v>
          </cell>
        </row>
        <row r="4192">
          <cell r="A4192">
            <v>12294</v>
          </cell>
          <cell r="B4192" t="str">
            <v>SOQUETE DE PORCELANA BASE E27, PARA USO AO TEMPO, PARA LAMPADAS</v>
          </cell>
          <cell r="C4192" t="str">
            <v xml:space="preserve">UN    </v>
          </cell>
          <cell r="D4192">
            <v>8.2100000000000009</v>
          </cell>
        </row>
        <row r="4193">
          <cell r="A4193">
            <v>14543</v>
          </cell>
          <cell r="B4193" t="str">
            <v>SOQUETE DE PVC / TERMOPLASTICO BASE E27, COM CHAVE, PARA LAMPADAS</v>
          </cell>
          <cell r="C4193" t="str">
            <v xml:space="preserve">UN    </v>
          </cell>
          <cell r="D4193">
            <v>5.86</v>
          </cell>
        </row>
        <row r="4194">
          <cell r="A4194">
            <v>13329</v>
          </cell>
          <cell r="B4194" t="str">
            <v>SOQUETE DE PVC / TERMOPLASTICO BASE E27, COM RABICHO, PARA LAMPADAS</v>
          </cell>
          <cell r="C4194" t="str">
            <v xml:space="preserve">UN    </v>
          </cell>
          <cell r="D4194">
            <v>3.44</v>
          </cell>
        </row>
        <row r="4195">
          <cell r="A4195">
            <v>21044</v>
          </cell>
          <cell r="B4195" t="str">
            <v>SPRINKLER TIPO PENDENTE, 68 GRAUS CELSIUS (BULBO VERMELHO), ACABAMENTO CROMADO, 1/2" - 15 MM</v>
          </cell>
          <cell r="C4195" t="str">
            <v xml:space="preserve">UN    </v>
          </cell>
          <cell r="D4195">
            <v>28.01</v>
          </cell>
        </row>
        <row r="4196">
          <cell r="A4196">
            <v>21045</v>
          </cell>
          <cell r="B4196" t="str">
            <v>SPRINKLER TIPO PENDENTE, 68 GRAUS CELSIUS (BULBO VERMELHO), ACABAMENTO CROMADO, 3/4" - 20 MM</v>
          </cell>
          <cell r="C4196" t="str">
            <v xml:space="preserve">UN    </v>
          </cell>
          <cell r="D4196">
            <v>38.36</v>
          </cell>
        </row>
        <row r="4197">
          <cell r="A4197">
            <v>21040</v>
          </cell>
          <cell r="B4197" t="str">
            <v>SPRINKLER TIPO PENDENTE, 68 GRAUS CELSIUS (BULBO VERMELHO), ACABAMENTO NATURAL, 1/2" - 15 MM</v>
          </cell>
          <cell r="C4197" t="str">
            <v xml:space="preserve">UN    </v>
          </cell>
          <cell r="D4197">
            <v>27.41</v>
          </cell>
        </row>
        <row r="4198">
          <cell r="A4198">
            <v>21041</v>
          </cell>
          <cell r="B4198" t="str">
            <v>SPRINKLER TIPO PENDENTE, 68 GRAUS CELSIUS (BULBO VERMELHO), ACABAMENTO NATURAL, 3/4" - 20 MM</v>
          </cell>
          <cell r="C4198" t="str">
            <v xml:space="preserve">UN    </v>
          </cell>
          <cell r="D4198">
            <v>33.08</v>
          </cell>
        </row>
        <row r="4199">
          <cell r="A4199">
            <v>21047</v>
          </cell>
          <cell r="B4199" t="str">
            <v>SPRINKLER TIPO PENDENTE, 79 GRAUS CELSIUS (BULBO AMARELO), ACABAMENTO CROMADO, 3/4" - 20 MM</v>
          </cell>
          <cell r="C4199" t="str">
            <v xml:space="preserve">UN    </v>
          </cell>
          <cell r="D4199">
            <v>41.29</v>
          </cell>
        </row>
        <row r="4200">
          <cell r="A4200">
            <v>21043</v>
          </cell>
          <cell r="B4200" t="str">
            <v>SPRINKLER TIPO PENDENTE, 79 GRAUS CELSIUS (BULBO AMARELO), ACABAMENTO NATURAL, 3/4" - 20 MM</v>
          </cell>
          <cell r="C4200" t="str">
            <v xml:space="preserve">UN    </v>
          </cell>
          <cell r="D4200">
            <v>40.21</v>
          </cell>
        </row>
        <row r="4201">
          <cell r="A4201">
            <v>21042</v>
          </cell>
          <cell r="B4201" t="str">
            <v>SPRINKLER TIPO PENDENTE, 79 GRAUS CELSIUS (BULBO AMARELO,) ACABAMENTO NATURAL OU CROMADO, 1/2" - 15 MM</v>
          </cell>
          <cell r="C4201" t="str">
            <v xml:space="preserve">UN    </v>
          </cell>
          <cell r="D4201">
            <v>31.83</v>
          </cell>
        </row>
        <row r="4202">
          <cell r="A4202">
            <v>14149</v>
          </cell>
          <cell r="B4202" t="str">
            <v>SUPORTE "Y" PARA FITA PERFURADA</v>
          </cell>
          <cell r="C4202" t="str">
            <v xml:space="preserve">CENTO </v>
          </cell>
          <cell r="D4202">
            <v>161.13</v>
          </cell>
        </row>
        <row r="4203">
          <cell r="A4203">
            <v>38099</v>
          </cell>
          <cell r="B4203" t="str">
            <v>SUPORTE DE FIXACAO PARA ESPELHO / PLACA 4" X 2", PARA 3 MODULOS, PARA INSTALACAO DE TOMADAS E INTERRUPTORES (SOMENTE SUPORTE)</v>
          </cell>
          <cell r="C4203" t="str">
            <v xml:space="preserve">UN    </v>
          </cell>
          <cell r="D4203">
            <v>0.9</v>
          </cell>
        </row>
        <row r="4204">
          <cell r="A4204">
            <v>38100</v>
          </cell>
          <cell r="B4204" t="str">
            <v>SUPORTE DE FIXACAO PARA ESPELHO / PLACA 4" X 4", PARA 6 MODULOS, PARA INSTALACAO DE TOMADAS E INTERRUPTORES (SOMENTE SUPORTE)</v>
          </cell>
          <cell r="C4204" t="str">
            <v xml:space="preserve">UN    </v>
          </cell>
          <cell r="D4204">
            <v>1.48</v>
          </cell>
        </row>
        <row r="4205">
          <cell r="A4205">
            <v>20061</v>
          </cell>
          <cell r="B4205" t="str">
            <v>SUPORTE DE PVC PARA CALHA PLUVIAL, DIAMETRO ENTRE 119 E 170 MM, PARA DRENAGEM PREDIAL</v>
          </cell>
          <cell r="C4205" t="str">
            <v xml:space="preserve">UN    </v>
          </cell>
          <cell r="D4205">
            <v>2.63</v>
          </cell>
        </row>
        <row r="4206">
          <cell r="A4206">
            <v>7576</v>
          </cell>
          <cell r="B4206" t="str">
            <v>SUPORTE EM ACO GALVANIZADO PARA TRANSFORMADOR PARA POSTE DUPLO T 185 X 95 MM, CHAPA DE 5/16"</v>
          </cell>
          <cell r="C4206" t="str">
            <v xml:space="preserve">UN    </v>
          </cell>
          <cell r="D4206">
            <v>105.5</v>
          </cell>
        </row>
        <row r="4207">
          <cell r="A4207">
            <v>3384</v>
          </cell>
          <cell r="B4207" t="str">
            <v>SUPORTE GUIA SIMPLES COM ROLDANA EM POLIPROPILENO PARA CHUMBAR, H = 20 CM</v>
          </cell>
          <cell r="C4207" t="str">
            <v xml:space="preserve">UN    </v>
          </cell>
          <cell r="D4207">
            <v>4.28</v>
          </cell>
        </row>
        <row r="4208">
          <cell r="A4208">
            <v>7572</v>
          </cell>
          <cell r="B4208" t="str">
            <v>SUPORTE ISOLADOR REFORCADO DIAMETRO NOMINAL 5/16", COM ROSCA SOBERBA E BUCHA</v>
          </cell>
          <cell r="C4208" t="str">
            <v xml:space="preserve">UN    </v>
          </cell>
          <cell r="D4208">
            <v>8.57</v>
          </cell>
        </row>
        <row r="4209">
          <cell r="A4209">
            <v>3396</v>
          </cell>
          <cell r="B4209" t="str">
            <v>SUPORTE ISOLADOR SIMPLES DIAMETRO NOMINAL 5/16", COM ROSCA SOBERBA E BUCHA</v>
          </cell>
          <cell r="C4209" t="str">
            <v xml:space="preserve">UN    </v>
          </cell>
          <cell r="D4209">
            <v>6.07</v>
          </cell>
        </row>
        <row r="4210">
          <cell r="A4210">
            <v>37590</v>
          </cell>
          <cell r="B4210" t="str">
            <v>SUPORTE MAO-FRANCESA EM ACO, ABAS IGUAIS 30 CM, CAPACIDADE MINIMA 60 KG, BRANCO</v>
          </cell>
          <cell r="C4210" t="str">
            <v xml:space="preserve">UN    </v>
          </cell>
          <cell r="D4210">
            <v>9.86</v>
          </cell>
        </row>
        <row r="4211">
          <cell r="A4211">
            <v>37591</v>
          </cell>
          <cell r="B4211" t="str">
            <v>SUPORTE MAO-FRANCESA EM ACO, ABAS IGUAIS 40 CM, CAPACIDADE MINIMA 70 KG, BRANCO</v>
          </cell>
          <cell r="C4211" t="str">
            <v xml:space="preserve">UN    </v>
          </cell>
          <cell r="D4211">
            <v>11.85</v>
          </cell>
        </row>
        <row r="4212">
          <cell r="A4212">
            <v>12626</v>
          </cell>
          <cell r="B4212" t="str">
            <v>SUPORTE METALICO PARA CALHA PLUVIAL,  ZINCADO, DOBRADO, DIAMETRO ENTRE 119 E 170 MM, PARA DRENAGEM PREDIAL</v>
          </cell>
          <cell r="C4212" t="str">
            <v xml:space="preserve">UN    </v>
          </cell>
          <cell r="D4212">
            <v>12.64</v>
          </cell>
        </row>
        <row r="4213">
          <cell r="A4213">
            <v>11033</v>
          </cell>
          <cell r="B4213" t="str">
            <v>SUPORTE PARA CALHA DE 150 MM EM FERRO GALVANIZADO</v>
          </cell>
          <cell r="C4213" t="str">
            <v xml:space="preserve">UN    </v>
          </cell>
          <cell r="D4213">
            <v>4.1900000000000004</v>
          </cell>
        </row>
        <row r="4214">
          <cell r="A4214">
            <v>390</v>
          </cell>
          <cell r="B4214" t="str">
            <v>SUPORTE PARA TUBO DIAMETRO NOMINAL 2", COM ROSCA MECANICA</v>
          </cell>
          <cell r="C4214" t="str">
            <v xml:space="preserve">UN    </v>
          </cell>
          <cell r="D4214">
            <v>12.2</v>
          </cell>
        </row>
        <row r="4215">
          <cell r="A4215">
            <v>42436</v>
          </cell>
          <cell r="B4215" t="str">
            <v>SURF DUPLO, EM TUBO DE ACO CARBONO, PINTURA NO PROCESSO ELETROSTATICO - EQUIPAMENTO DE GINASTICA PARA ACADEMIA AO AR LIVRE / ACADEMIA DA TERCEIRA IDADE - ATI</v>
          </cell>
          <cell r="C4215" t="str">
            <v xml:space="preserve">UN    </v>
          </cell>
          <cell r="D4215">
            <v>1503.52</v>
          </cell>
        </row>
        <row r="4216">
          <cell r="A4216">
            <v>6178</v>
          </cell>
          <cell r="B4216" t="str">
            <v>TABUA DE  MADEIRA PARA PISO, CUMARU/IPE CHAMPANHE OU EQUIVALENTE DA REGIAO, ENCAIXE MACHO/FEMEA, *10 X 2* CM</v>
          </cell>
          <cell r="C4216" t="str">
            <v xml:space="preserve">M2    </v>
          </cell>
          <cell r="D4216">
            <v>169.09</v>
          </cell>
        </row>
        <row r="4217">
          <cell r="A4217">
            <v>6180</v>
          </cell>
          <cell r="B4217" t="str">
            <v>TABUA DE  MADEIRA PARA PISO, CUMARU/IPE CHAMPANHE OU EQUIVALENTE DA REGIAO, ENCAIXE MACHO/FEMEA, *15 X 2* CM</v>
          </cell>
          <cell r="C4217" t="str">
            <v xml:space="preserve">M2    </v>
          </cell>
          <cell r="D4217">
            <v>182.5</v>
          </cell>
        </row>
        <row r="4218">
          <cell r="A4218">
            <v>6182</v>
          </cell>
          <cell r="B4218" t="str">
            <v>TABUA DE  MADEIRA PARA PISO, IPE (CERNE) OU EQUIVALENTE DA REGIAO, ENCAIXE MACHO/FEMEA, *20 X 2* CM</v>
          </cell>
          <cell r="C4218" t="str">
            <v xml:space="preserve">M2    </v>
          </cell>
          <cell r="D4218">
            <v>226.52</v>
          </cell>
        </row>
        <row r="4219">
          <cell r="A4219">
            <v>3993</v>
          </cell>
          <cell r="B4219" t="str">
            <v>TABUA DE MADEIRA APARELHADA *2,5 X 15* CM, MACARANDUBA, ANGELIM OU EQUIVALENTE DA REGIAO</v>
          </cell>
          <cell r="C4219" t="str">
            <v xml:space="preserve">M2    </v>
          </cell>
          <cell r="D4219">
            <v>56.78</v>
          </cell>
        </row>
        <row r="4220">
          <cell r="A4220">
            <v>3990</v>
          </cell>
          <cell r="B4220" t="str">
            <v>TABUA DE MADEIRA APARELHADA *2,5 X 25* CM, MACARANDUBA, ANGELIM OU EQUIVALENTE DA REGIAO</v>
          </cell>
          <cell r="C4220" t="str">
            <v xml:space="preserve">M     </v>
          </cell>
          <cell r="D4220">
            <v>12.54</v>
          </cell>
        </row>
        <row r="4221">
          <cell r="A4221">
            <v>3992</v>
          </cell>
          <cell r="B4221" t="str">
            <v>TABUA DE MADEIRA APARELHADA *2,5 X 30* CM, MACARANDUBA, ANGELIM OU EQUIVALENTE DA REGIAO</v>
          </cell>
          <cell r="C4221" t="str">
            <v xml:space="preserve">M     </v>
          </cell>
          <cell r="D4221">
            <v>15.4</v>
          </cell>
        </row>
        <row r="4222">
          <cell r="A4222">
            <v>4509</v>
          </cell>
          <cell r="B4222" t="str">
            <v>TABUA DE MADEIRA NAO APARELHADA *2,5 X 10 CM (1 X 4 ") PINUS, MISTA OU EQUIVALENTE DA REGIAO</v>
          </cell>
          <cell r="C4222" t="str">
            <v xml:space="preserve">M     </v>
          </cell>
          <cell r="D4222">
            <v>3.08</v>
          </cell>
        </row>
        <row r="4223">
          <cell r="A4223">
            <v>6194</v>
          </cell>
          <cell r="B4223" t="str">
            <v>TABUA DE MADEIRA NAO APARELHADA *2,5 X 15 CM (1 X 6 ") PINUS, MISTA OU EQUIVALENTE DA REGIAO</v>
          </cell>
          <cell r="C4223" t="str">
            <v xml:space="preserve">M     </v>
          </cell>
          <cell r="D4223">
            <v>4.1900000000000004</v>
          </cell>
        </row>
        <row r="4224">
          <cell r="A4224">
            <v>6193</v>
          </cell>
          <cell r="B4224" t="str">
            <v>TABUA DE MADEIRA NAO APARELHADA *2,5 X 20* CM, CEDRINHO OU EQUIVALENTE DA REGIAO</v>
          </cell>
          <cell r="C4224" t="str">
            <v xml:space="preserve">M     </v>
          </cell>
          <cell r="D4224">
            <v>5.98</v>
          </cell>
        </row>
        <row r="4225">
          <cell r="A4225">
            <v>10567</v>
          </cell>
          <cell r="B4225" t="str">
            <v>TABUA DE MADEIRA NAO APARELHADA *2,5 X 23* CM (1 x 9 ") PINUS, MISTA OU EQUIVALENTE DA REGIAO</v>
          </cell>
          <cell r="C4225" t="str">
            <v xml:space="preserve">M     </v>
          </cell>
          <cell r="D4225">
            <v>6.94</v>
          </cell>
        </row>
        <row r="4226">
          <cell r="A4226">
            <v>6212</v>
          </cell>
          <cell r="B4226" t="str">
            <v>TABUA DE MADEIRA NAO APARELHADA *2,5 X 30 CM (1 X 12 ") PINUS, MISTA OU EQUIVALENTE DA REGIAO</v>
          </cell>
          <cell r="C4226" t="str">
            <v xml:space="preserve">M     </v>
          </cell>
          <cell r="D4226">
            <v>11.38</v>
          </cell>
        </row>
        <row r="4227">
          <cell r="A4227">
            <v>6189</v>
          </cell>
          <cell r="B4227" t="str">
            <v>TABUA DE MADEIRA NAO APARELHADA *2,5 X 30* CM, CEDRINHO OU EQUIVALENTE DA REGIAO</v>
          </cell>
          <cell r="C4227" t="str">
            <v xml:space="preserve">M     </v>
          </cell>
          <cell r="D4227">
            <v>8.74</v>
          </cell>
        </row>
        <row r="4228">
          <cell r="A4228">
            <v>6214</v>
          </cell>
          <cell r="B4228" t="str">
            <v>TACO DE MADEIRA PARA PISO, IPE (CERNE) OU EQUIVALENTE DA REGIAO, 7 X 42 CM, E = 2 CM</v>
          </cell>
          <cell r="C4228" t="str">
            <v xml:space="preserve">M2    </v>
          </cell>
          <cell r="D4228">
            <v>105.92</v>
          </cell>
        </row>
        <row r="4229">
          <cell r="A4229">
            <v>36153</v>
          </cell>
          <cell r="B4229" t="str">
            <v>TALABARTE DE SEGURANCA, 2 MOSQUETOES TRAVA DUPLA *53* MM DE ABERTURA, COM ABSORVEDOR DE ENERGIA</v>
          </cell>
          <cell r="C4229" t="str">
            <v xml:space="preserve">UN    </v>
          </cell>
          <cell r="D4229">
            <v>161.16</v>
          </cell>
        </row>
        <row r="4230">
          <cell r="A4230">
            <v>10740</v>
          </cell>
          <cell r="B4230" t="str">
            <v>TALHA ELETRICA 3 T, VELOCIDADE  2,1 M / MIN, POTENCIA 1,3 KW</v>
          </cell>
          <cell r="C4230" t="str">
            <v xml:space="preserve">UN    </v>
          </cell>
          <cell r="D4230">
            <v>10248.370000000001</v>
          </cell>
        </row>
        <row r="4231">
          <cell r="A4231">
            <v>13914</v>
          </cell>
          <cell r="B4231" t="str">
            <v>TALHA MANUAL DE CORRENTE, CAPACIDADE DE 1 T COM ELEVACAO DE 3 M</v>
          </cell>
          <cell r="C4231" t="str">
            <v xml:space="preserve">UN    </v>
          </cell>
          <cell r="D4231">
            <v>741.51</v>
          </cell>
        </row>
        <row r="4232">
          <cell r="A4232">
            <v>10742</v>
          </cell>
          <cell r="B4232" t="str">
            <v>TALHA MANUAL DE CORRENTE, CAPACIDADE DE 2 T COM ELEVACAO DE 3 M</v>
          </cell>
          <cell r="C4232" t="str">
            <v xml:space="preserve">UN    </v>
          </cell>
          <cell r="D4232">
            <v>1081.5</v>
          </cell>
        </row>
        <row r="4233">
          <cell r="A4233">
            <v>38465</v>
          </cell>
          <cell r="B4233" t="str">
            <v>TALHADEIRA COM PUNHO DE PROTECAO *20 X 250* MM</v>
          </cell>
          <cell r="C4233" t="str">
            <v xml:space="preserve">UN    </v>
          </cell>
          <cell r="D4233">
            <v>30.69</v>
          </cell>
        </row>
        <row r="4234">
          <cell r="A4234">
            <v>7543</v>
          </cell>
          <cell r="B4234" t="str">
            <v>TAMPA CEGA EM PVC PARA CONDULETE 4 X 2"</v>
          </cell>
          <cell r="C4234" t="str">
            <v xml:space="preserve">UN    </v>
          </cell>
          <cell r="D4234">
            <v>3.7</v>
          </cell>
        </row>
        <row r="4235">
          <cell r="A4235">
            <v>43427</v>
          </cell>
          <cell r="B4235" t="str">
            <v>TAMPA DE CONCRETO ARMADO PARA FOSSA SEPTICA, DIAMETRO NOMINAL DE 3,00 M E ESPESSURA MINIMA DE 100 MM</v>
          </cell>
          <cell r="C4235" t="str">
            <v xml:space="preserve">UN    </v>
          </cell>
          <cell r="D4235">
            <v>992.05</v>
          </cell>
        </row>
        <row r="4236">
          <cell r="A4236">
            <v>41613</v>
          </cell>
          <cell r="B4236" t="str">
            <v>TAMPA DE CONCRETO ARMADO PARA FOSSA, D = *0,90* M, E = 0,05 M</v>
          </cell>
          <cell r="C4236" t="str">
            <v xml:space="preserve">UN    </v>
          </cell>
          <cell r="D4236">
            <v>63.77</v>
          </cell>
        </row>
        <row r="4237">
          <cell r="A4237">
            <v>41614</v>
          </cell>
          <cell r="B4237" t="str">
            <v>TAMPA DE CONCRETO ARMADO PARA FOSSA, D = *1,10* M, E = 0,05 M</v>
          </cell>
          <cell r="C4237" t="str">
            <v xml:space="preserve">UN    </v>
          </cell>
          <cell r="D4237">
            <v>81.25</v>
          </cell>
        </row>
        <row r="4238">
          <cell r="A4238">
            <v>41615</v>
          </cell>
          <cell r="B4238" t="str">
            <v>TAMPA DE CONCRETO ARMADO PARA FOSSA, D = *1,35* M, E = 0,05 M</v>
          </cell>
          <cell r="C4238" t="str">
            <v xml:space="preserve">UN    </v>
          </cell>
          <cell r="D4238">
            <v>125.58</v>
          </cell>
        </row>
        <row r="4239">
          <cell r="A4239">
            <v>41616</v>
          </cell>
          <cell r="B4239" t="str">
            <v>TAMPA DE CONCRETO ARMADO PARA FOSSA, D = 1,50 M, E = 0,05 M</v>
          </cell>
          <cell r="C4239" t="str">
            <v xml:space="preserve">UN    </v>
          </cell>
          <cell r="D4239">
            <v>187.64</v>
          </cell>
        </row>
        <row r="4240">
          <cell r="A4240">
            <v>41617</v>
          </cell>
          <cell r="B4240" t="str">
            <v>TAMPA DE CONCRETO ARMADO PARA FOSSA, D = 2,00 M, E = 0,05 M</v>
          </cell>
          <cell r="C4240" t="str">
            <v xml:space="preserve">UN    </v>
          </cell>
          <cell r="D4240">
            <v>373.11</v>
          </cell>
        </row>
        <row r="4241">
          <cell r="A4241">
            <v>41618</v>
          </cell>
          <cell r="B4241" t="str">
            <v>TAMPA DE CONCRETO ARMADO PARA FOSSA, D = 2,50 M, E = 0,05 M</v>
          </cell>
          <cell r="C4241" t="str">
            <v xml:space="preserve">UN    </v>
          </cell>
          <cell r="D4241">
            <v>686.87</v>
          </cell>
        </row>
        <row r="4242">
          <cell r="A4242">
            <v>43428</v>
          </cell>
          <cell r="B4242" t="str">
            <v>TAMPA DE CONCRETO ARMADO PARA POCO DE INSPECAO, COM FURO E TAMPINHA, DIAMETRO NOMINAL DE 3,00 M E ESPESSURA MINIMA DE 100 MM</v>
          </cell>
          <cell r="C4242" t="str">
            <v xml:space="preserve">UN    </v>
          </cell>
          <cell r="D4242">
            <v>1206.51</v>
          </cell>
        </row>
        <row r="4243">
          <cell r="A4243">
            <v>41619</v>
          </cell>
          <cell r="B4243" t="str">
            <v>TAMPA DE CONCRETO ARMADO PARA POCO, COM  FURO E TAMPINHA, D = *0,90* M, E = 0,05 M</v>
          </cell>
          <cell r="C4243" t="str">
            <v xml:space="preserve">UN    </v>
          </cell>
          <cell r="D4243">
            <v>78.17</v>
          </cell>
        </row>
        <row r="4244">
          <cell r="A4244">
            <v>41620</v>
          </cell>
          <cell r="B4244" t="str">
            <v>TAMPA DE CONCRETO ARMADO PARA POCO, COM  FURO E TAMPINHA, D = *1,10* M, E = 0,05 M</v>
          </cell>
          <cell r="C4244" t="str">
            <v xml:space="preserve">UN    </v>
          </cell>
          <cell r="D4244">
            <v>98.74</v>
          </cell>
        </row>
        <row r="4245">
          <cell r="A4245">
            <v>41622</v>
          </cell>
          <cell r="B4245" t="str">
            <v>TAMPA DE CONCRETO ARMADO PARA POCO, COM  FURO E TAMPINHA, D = *1,35* M, E = 0,05 M</v>
          </cell>
          <cell r="C4245" t="str">
            <v xml:space="preserve">UN    </v>
          </cell>
          <cell r="D4245">
            <v>171.25</v>
          </cell>
        </row>
        <row r="4246">
          <cell r="A4246">
            <v>41623</v>
          </cell>
          <cell r="B4246" t="str">
            <v>TAMPA DE CONCRETO ARMADO PARA POCO, COM  FURO E TAMPINHA, D = 1,50 M, E = 0,05 M</v>
          </cell>
          <cell r="C4246" t="str">
            <v xml:space="preserve">UN    </v>
          </cell>
          <cell r="D4246">
            <v>263.31</v>
          </cell>
        </row>
        <row r="4247">
          <cell r="A4247">
            <v>41624</v>
          </cell>
          <cell r="B4247" t="str">
            <v>TAMPA DE CONCRETO ARMADO PARA POCO, COM  FURO E TAMPINHA, D = 2,00 M, E = 0,05 M</v>
          </cell>
          <cell r="C4247" t="str">
            <v xml:space="preserve">UN    </v>
          </cell>
          <cell r="D4247">
            <v>493.71</v>
          </cell>
        </row>
        <row r="4248">
          <cell r="A4248">
            <v>41625</v>
          </cell>
          <cell r="B4248" t="str">
            <v>TAMPA DE CONCRETO ARMADO PARA POCO, COM  FURO E TAMPINHA, D = 2,50 M, E = 0,05 M</v>
          </cell>
          <cell r="C4248" t="str">
            <v xml:space="preserve">UN    </v>
          </cell>
          <cell r="D4248">
            <v>759.6</v>
          </cell>
        </row>
        <row r="4249">
          <cell r="A4249">
            <v>13255</v>
          </cell>
          <cell r="B4249" t="str">
            <v>TAMPA DE CONCRETO PARA PV OU CAIXA DE INSPECAO, DIMENSOES 600 X 600 X 50 MM</v>
          </cell>
          <cell r="C4249" t="str">
            <v xml:space="preserve">UN    </v>
          </cell>
          <cell r="D4249">
            <v>50.57</v>
          </cell>
        </row>
        <row r="4250">
          <cell r="A4250">
            <v>39352</v>
          </cell>
          <cell r="B4250" t="str">
            <v>TAMPA PARA CONDULETE, EM PVC, PARA TOMADA HEXAGONAL</v>
          </cell>
          <cell r="C4250" t="str">
            <v xml:space="preserve">UN    </v>
          </cell>
          <cell r="D4250">
            <v>2.2799999999999998</v>
          </cell>
        </row>
        <row r="4251">
          <cell r="A4251">
            <v>39346</v>
          </cell>
          <cell r="B4251" t="str">
            <v>TAMPA PARA CONDULETE, EM PVC, PARA 1 INTERRUPTOR</v>
          </cell>
          <cell r="C4251" t="str">
            <v xml:space="preserve">UN    </v>
          </cell>
          <cell r="D4251">
            <v>2.2799999999999998</v>
          </cell>
        </row>
        <row r="4252">
          <cell r="A4252">
            <v>39350</v>
          </cell>
          <cell r="B4252" t="str">
            <v>TAMPA PARA CONDULETE, EM PVC, PARA 1 MODULO RJ</v>
          </cell>
          <cell r="C4252" t="str">
            <v xml:space="preserve">UN    </v>
          </cell>
          <cell r="D4252">
            <v>2.46</v>
          </cell>
        </row>
        <row r="4253">
          <cell r="A4253">
            <v>39351</v>
          </cell>
          <cell r="B4253" t="str">
            <v>TAMPA PARA CONDULETE, EM PVC, PARA 2 MODULOS RJ</v>
          </cell>
          <cell r="C4253" t="str">
            <v xml:space="preserve">UN    </v>
          </cell>
          <cell r="D4253">
            <v>2.84</v>
          </cell>
        </row>
        <row r="4254">
          <cell r="A4254">
            <v>38952</v>
          </cell>
          <cell r="B4254" t="str">
            <v>TAMPAO / CAP, ROSCA FEMEA, METALICO, PARA TUBO PEX, DN 1/2"</v>
          </cell>
          <cell r="C4254" t="str">
            <v xml:space="preserve">UN    </v>
          </cell>
          <cell r="D4254">
            <v>2.78</v>
          </cell>
        </row>
        <row r="4255">
          <cell r="A4255">
            <v>38953</v>
          </cell>
          <cell r="B4255" t="str">
            <v>TAMPAO / CAP, ROSCA FEMEA, METALICO, PARA TUBO PEX, DN 3/4"</v>
          </cell>
          <cell r="C4255" t="str">
            <v xml:space="preserve">UN    </v>
          </cell>
          <cell r="D4255">
            <v>4.3899999999999997</v>
          </cell>
        </row>
        <row r="4256">
          <cell r="A4256">
            <v>38835</v>
          </cell>
          <cell r="B4256" t="str">
            <v>TAMPAO / CAP, ROSCA MACHO, PARA TUBO PEX, DN 1/2"</v>
          </cell>
          <cell r="C4256" t="str">
            <v xml:space="preserve">UN    </v>
          </cell>
          <cell r="D4256">
            <v>3.94</v>
          </cell>
        </row>
        <row r="4257">
          <cell r="A4257">
            <v>38837</v>
          </cell>
          <cell r="B4257" t="str">
            <v>TAMPAO / CAP, ROSCA MACHO, PARA TUBO PEX, DN 1"</v>
          </cell>
          <cell r="C4257" t="str">
            <v xml:space="preserve">UN    </v>
          </cell>
          <cell r="D4257">
            <v>10.25</v>
          </cell>
        </row>
        <row r="4258">
          <cell r="A4258">
            <v>38836</v>
          </cell>
          <cell r="B4258" t="str">
            <v>TAMPAO / CAP, ROSCA MACHO, PARA TUBO PEX, DN 3/4"</v>
          </cell>
          <cell r="C4258" t="str">
            <v xml:space="preserve">UN    </v>
          </cell>
          <cell r="D4258">
            <v>5.67</v>
          </cell>
        </row>
        <row r="4259">
          <cell r="A4259">
            <v>2666</v>
          </cell>
          <cell r="B4259" t="str">
            <v>TAMPAO / TERMINAL / PLUG, D = 1 1/4" , PARA DUTO CORRUGADO PEAD (CABEAMENTO SUBTERRANEO)</v>
          </cell>
          <cell r="C4259" t="str">
            <v xml:space="preserve">UN    </v>
          </cell>
          <cell r="D4259">
            <v>5.26</v>
          </cell>
        </row>
        <row r="4260">
          <cell r="A4260">
            <v>2668</v>
          </cell>
          <cell r="B4260" t="str">
            <v>TAMPAO / TERMINAL / PLUG, D = 2" , PARA DUTO CORRUGADO PEAD (CABEAMENTO SUBTERRANEO)</v>
          </cell>
          <cell r="C4260" t="str">
            <v xml:space="preserve">UN    </v>
          </cell>
          <cell r="D4260">
            <v>6</v>
          </cell>
        </row>
        <row r="4261">
          <cell r="A4261">
            <v>2664</v>
          </cell>
          <cell r="B4261" t="str">
            <v>TAMPAO / TERMINAL / PLUG, D = 3" , PARA DUTO CORRUGADO PEAD (CABEAMENTO SUBTERRANEO)</v>
          </cell>
          <cell r="C4261" t="str">
            <v xml:space="preserve">UN    </v>
          </cell>
          <cell r="D4261">
            <v>8.85</v>
          </cell>
        </row>
        <row r="4262">
          <cell r="A4262">
            <v>2662</v>
          </cell>
          <cell r="B4262" t="str">
            <v>TAMPAO / TERMINAL / PLUG, D = 4" , PARA DUTO CORRUGADO PEAD (CABEAMENTO SUBTERRANEO)</v>
          </cell>
          <cell r="C4262" t="str">
            <v xml:space="preserve">UN    </v>
          </cell>
          <cell r="D4262">
            <v>10.86</v>
          </cell>
        </row>
        <row r="4263">
          <cell r="A4263">
            <v>20964</v>
          </cell>
          <cell r="B4263" t="str">
            <v>TAMPAO COM CORRENTE, EM LATAO, ENGATE RAPIDO 1 1/2", PARA INSTALACAO PREDIAL DE COMBATE A INCENDIO</v>
          </cell>
          <cell r="C4263" t="str">
            <v xml:space="preserve">UN    </v>
          </cell>
          <cell r="D4263">
            <v>50.86</v>
          </cell>
        </row>
        <row r="4264">
          <cell r="A4264">
            <v>10905</v>
          </cell>
          <cell r="B4264" t="str">
            <v>TAMPAO COM CORRENTE, EM LATAO, ENGATE RAPIDO 2 1/2", PARA INSTALACAO PREDIAL DE COMBATE A INCENDIO</v>
          </cell>
          <cell r="C4264" t="str">
            <v xml:space="preserve">UN    </v>
          </cell>
          <cell r="D4264">
            <v>68.23</v>
          </cell>
        </row>
        <row r="4265">
          <cell r="A4265">
            <v>42703</v>
          </cell>
          <cell r="B4265" t="str">
            <v>TAMPAO COMPLETO PARA TIL, EM PVC, OCRE, DN 100 MM, PARA REDE COLETORA DE ESGOTO</v>
          </cell>
          <cell r="C4265" t="str">
            <v xml:space="preserve">UN    </v>
          </cell>
          <cell r="D4265">
            <v>46.92</v>
          </cell>
        </row>
        <row r="4266">
          <cell r="A4266">
            <v>42704</v>
          </cell>
          <cell r="B4266" t="str">
            <v>TAMPAO COMPLETO PARA TIL, EM PVC, OCRE, DN 150 MM, PARA REDE COLETORA DE ESGOTO</v>
          </cell>
          <cell r="C4266" t="str">
            <v xml:space="preserve">UN    </v>
          </cell>
          <cell r="D4266">
            <v>72.03</v>
          </cell>
        </row>
        <row r="4267">
          <cell r="A4267">
            <v>42705</v>
          </cell>
          <cell r="B4267" t="str">
            <v>TAMPAO COMPLETO PARA TIL, EM PVC, OCRE, DN 200 MM, PARA REDE COLETORA DE ESGOTO</v>
          </cell>
          <cell r="C4267" t="str">
            <v xml:space="preserve">UN    </v>
          </cell>
          <cell r="D4267">
            <v>91.9</v>
          </cell>
        </row>
        <row r="4268">
          <cell r="A4268">
            <v>42706</v>
          </cell>
          <cell r="B4268" t="str">
            <v>TAMPAO COMPLETO PARA TIL, EM PVC, OCRE, DN 250 MM, PARA REDE COLETORA DE ESGOTO</v>
          </cell>
          <cell r="C4268" t="str">
            <v xml:space="preserve">UN    </v>
          </cell>
          <cell r="D4268">
            <v>113.81</v>
          </cell>
        </row>
        <row r="4269">
          <cell r="A4269">
            <v>11289</v>
          </cell>
          <cell r="B4269" t="str">
            <v>TAMPAO FOFO ARTICULADO P/ REGISTRO, CLASSE A15 CARGA MAX 1,5 T, *200 X 200* MM</v>
          </cell>
          <cell r="C4269" t="str">
            <v xml:space="preserve">UN    </v>
          </cell>
          <cell r="D4269">
            <v>64.069999999999993</v>
          </cell>
        </row>
        <row r="4270">
          <cell r="A4270">
            <v>11241</v>
          </cell>
          <cell r="B4270" t="str">
            <v>TAMPAO FOFO ARTICULADO P/ REGISTRO, CLASSE A15 CARGA MAXIMA 1,5 T, *400 X 400* MM</v>
          </cell>
          <cell r="C4270" t="str">
            <v xml:space="preserve">UN    </v>
          </cell>
          <cell r="D4270">
            <v>160.18</v>
          </cell>
        </row>
        <row r="4271">
          <cell r="A4271">
            <v>11301</v>
          </cell>
          <cell r="B4271" t="str">
            <v>TAMPAO FOFO ARTICULADO, CLASSE B125 CARGA MAX 12,5 T, REDONDO TAMPA 600 MM, REDE PLUVIAL/ESGOTO</v>
          </cell>
          <cell r="C4271" t="str">
            <v xml:space="preserve">UN    </v>
          </cell>
          <cell r="D4271">
            <v>406.18</v>
          </cell>
        </row>
        <row r="4272">
          <cell r="A4272">
            <v>21090</v>
          </cell>
          <cell r="B4272" t="str">
            <v>TAMPAO FOFO ARTICULADO, CLASSE D400 CARGA MAX 40 T, REDONDO TAMPA *600 MM, REDE PLUVIAL/ESGOTO</v>
          </cell>
          <cell r="C4272" t="str">
            <v xml:space="preserve">UN    </v>
          </cell>
          <cell r="D4272">
            <v>497.72</v>
          </cell>
        </row>
        <row r="4273">
          <cell r="A4273">
            <v>14112</v>
          </cell>
          <cell r="B4273" t="str">
            <v>TAMPAO FOFO SIMPLES COM BASE, CLASSE A15 CARGA MAX 1,5 T, *400 X 600* MM, REDE TELEFONE</v>
          </cell>
          <cell r="C4273" t="str">
            <v xml:space="preserve">UN    </v>
          </cell>
          <cell r="D4273">
            <v>207.66</v>
          </cell>
        </row>
        <row r="4274">
          <cell r="A4274">
            <v>11315</v>
          </cell>
          <cell r="B4274" t="str">
            <v>TAMPAO FOFO SIMPLES COM BASE, CLASSE A15 CARGA MAX 1,5 T, 300 X 300 MM, REDE PLUVIAL/ESGOTO</v>
          </cell>
          <cell r="C4274" t="str">
            <v xml:space="preserve">UN    </v>
          </cell>
          <cell r="D4274">
            <v>97.25</v>
          </cell>
        </row>
        <row r="4275">
          <cell r="A4275">
            <v>11292</v>
          </cell>
          <cell r="B4275" t="str">
            <v>TAMPAO FOFO SIMPLES COM BASE, CLASSE A15 CARGA MAX 1,5 T, 300 X 400 MM</v>
          </cell>
          <cell r="C4275" t="str">
            <v xml:space="preserve">UN    </v>
          </cell>
          <cell r="D4275">
            <v>227.69</v>
          </cell>
        </row>
        <row r="4276">
          <cell r="A4276">
            <v>21071</v>
          </cell>
          <cell r="B4276" t="str">
            <v>TAMPAO FOFO SIMPLES COM BASE, CLASSE A15 CARGA MAX 1,5 T, 400 X 400 MM, REDE PLUVIAL/ESGOTO/ELETRICA</v>
          </cell>
          <cell r="C4276" t="str">
            <v xml:space="preserve">UN    </v>
          </cell>
          <cell r="D4276">
            <v>148.74</v>
          </cell>
        </row>
        <row r="4277">
          <cell r="A4277">
            <v>11293</v>
          </cell>
          <cell r="B4277" t="str">
            <v>TAMPAO FOFO SIMPLES COM BASE, CLASSE A15 CARGA MAX 1,5 T, 400 X 500 MM, COM INSCRICAO INCENDIO</v>
          </cell>
          <cell r="C4277" t="str">
            <v xml:space="preserve">UN    </v>
          </cell>
          <cell r="D4277">
            <v>251.72</v>
          </cell>
        </row>
        <row r="4278">
          <cell r="A4278">
            <v>11316</v>
          </cell>
          <cell r="B4278" t="str">
            <v>TAMPAO FOFO SIMPLES COM BASE, CLASSE B125 CARGA MAX 12,5 T, REDONDO TAMPA 500 MM, REDE PLUVIAL/ESGOTO</v>
          </cell>
          <cell r="C4278" t="str">
            <v xml:space="preserve">UN    </v>
          </cell>
          <cell r="D4278">
            <v>320.37</v>
          </cell>
        </row>
        <row r="4279">
          <cell r="A4279">
            <v>6243</v>
          </cell>
          <cell r="B4279" t="str">
            <v>TAMPAO FOFO SIMPLES COM BASE, CLASSE B125 CARGA MAX 12,5 T, REDONDO TAMPA 600 MM, REDE PLUVIAL/ESGOTO</v>
          </cell>
          <cell r="C4279" t="str">
            <v xml:space="preserve">UN    </v>
          </cell>
          <cell r="D4279">
            <v>369</v>
          </cell>
        </row>
        <row r="4280">
          <cell r="A4280">
            <v>21079</v>
          </cell>
          <cell r="B4280" t="str">
            <v>TAMPAO FOFO SIMPLES COM BASE, CLASSE D400 CARGA MAX 40 T, REDONDO TAMPA 500 MM, REDE PLUVIAL/ESGOTO</v>
          </cell>
          <cell r="C4280" t="str">
            <v xml:space="preserve">UN    </v>
          </cell>
          <cell r="D4280">
            <v>439.93</v>
          </cell>
        </row>
        <row r="4281">
          <cell r="A4281">
            <v>6240</v>
          </cell>
          <cell r="B4281" t="str">
            <v>TAMPAO FOFO SIMPLES COM BASE, CLASSE D400 CARGA MAX 40 T, REDONDO TAMPA 600 MM, REDE PLUVIAL/ESGOTO</v>
          </cell>
          <cell r="C4281" t="str">
            <v xml:space="preserve">UN    </v>
          </cell>
          <cell r="D4281">
            <v>488.56</v>
          </cell>
        </row>
        <row r="4282">
          <cell r="A4282">
            <v>11296</v>
          </cell>
          <cell r="B4282" t="str">
            <v>TAMPAO FOFO SIMPLES COM BASE, CLASSE D400 CARGA MAX 40 T, REDONDO TAMPA 900 MM, REDE PLUVIAL/ESGOTO</v>
          </cell>
          <cell r="C4282" t="str">
            <v xml:space="preserve">UN    </v>
          </cell>
          <cell r="D4282">
            <v>1556.66</v>
          </cell>
        </row>
        <row r="4283">
          <cell r="A4283">
            <v>11299</v>
          </cell>
          <cell r="B4283" t="str">
            <v>TAMPAO FOFO SIMPLES, CLASSE A15 CARGA MAX 1,5 T, *550 X 1100* MM, REDE TELEFONE</v>
          </cell>
          <cell r="C4283" t="str">
            <v xml:space="preserve">UN    </v>
          </cell>
          <cell r="D4283">
            <v>526.89</v>
          </cell>
        </row>
        <row r="4284">
          <cell r="A4284">
            <v>11066</v>
          </cell>
          <cell r="B4284" t="str">
            <v>TAMPAO PARA TELHA ESTRUTURAL DE FIBROCIMENTO 1 ABA, DE 370 X 155 X 76 MM (SEM AMIANTO)</v>
          </cell>
          <cell r="C4284" t="str">
            <v xml:space="preserve">UN    </v>
          </cell>
          <cell r="D4284">
            <v>11</v>
          </cell>
        </row>
        <row r="4285">
          <cell r="A4285">
            <v>11065</v>
          </cell>
          <cell r="B4285" t="str">
            <v>TAMPAO PARA TELHA ESTRUTURAL DE FIBROCIMENTO 2 ABAS, DE 787 X 215 X 60 MM (SEM AMIANTO)</v>
          </cell>
          <cell r="C4285" t="str">
            <v xml:space="preserve">UN    </v>
          </cell>
          <cell r="D4285">
            <v>12.61</v>
          </cell>
        </row>
        <row r="4286">
          <cell r="A4286">
            <v>11688</v>
          </cell>
          <cell r="B4286" t="str">
            <v>TANQUE ACO INOXIDAVEL (ACO 304) COM ESFREGADOR E VALVULA, DE *50 X 40 X 22* CM</v>
          </cell>
          <cell r="C4286" t="str">
            <v xml:space="preserve">UN    </v>
          </cell>
          <cell r="D4286">
            <v>365.16</v>
          </cell>
        </row>
        <row r="4287">
          <cell r="A4287">
            <v>37736</v>
          </cell>
          <cell r="B4287" t="str">
            <v>TANQUE DE ACO CARBONO NAO REVESTIDO, PARA TRANSPORTE DE AGUA COM CAPACIDADE DE 10 M3, COM BOMBA CENTRIFUGA POR TOMADA DE FORCA, VAZAO MAXIMA *75* M3/H (INCLUI MONTAGEM, NAO INCLUI CAMINHAO)</v>
          </cell>
          <cell r="C4287" t="str">
            <v xml:space="preserve">UN    </v>
          </cell>
          <cell r="D4287">
            <v>55000</v>
          </cell>
        </row>
        <row r="4288">
          <cell r="A4288">
            <v>37739</v>
          </cell>
          <cell r="B4288" t="str">
            <v>TANQUE DE ACO PARA TRANSPORTE DE AGUA COM CAPACIDADE DE 14 M3 (INCLUI MONTAGEM, NAO INCLUI CAMINHAO)</v>
          </cell>
          <cell r="C4288" t="str">
            <v xml:space="preserve">UN    </v>
          </cell>
          <cell r="D4288">
            <v>67692.3</v>
          </cell>
        </row>
        <row r="4289">
          <cell r="A4289">
            <v>37740</v>
          </cell>
          <cell r="B4289" t="str">
            <v>TANQUE DE ACO PARA TRANSPORTE DE AGUA COM CAPACIDADE DE 4 M3 (INCLUI MONTAGEM, NAO INCLUI CAMINHAO)</v>
          </cell>
          <cell r="C4289" t="str">
            <v xml:space="preserve">UN    </v>
          </cell>
          <cell r="D4289">
            <v>38628.76</v>
          </cell>
        </row>
        <row r="4290">
          <cell r="A4290">
            <v>37738</v>
          </cell>
          <cell r="B4290" t="str">
            <v>TANQUE DE ACO PARA TRANSPORTE DE AGUA COM CAPACIDADE DE 6 M3 (INCLUI MONTAGEM, NAO INCLUI CAMINHAO)</v>
          </cell>
          <cell r="C4290" t="str">
            <v xml:space="preserve">UN    </v>
          </cell>
          <cell r="D4290">
            <v>45894.65</v>
          </cell>
        </row>
        <row r="4291">
          <cell r="A4291">
            <v>37737</v>
          </cell>
          <cell r="B4291" t="str">
            <v>TANQUE DE ACO PARA TRANSPORTE DE AGUA COM CAPACIDADE DE 8 M3 (INCLUI MONTAGEM, NAO INCLUI CAMINHAO)</v>
          </cell>
          <cell r="C4291" t="str">
            <v xml:space="preserve">UN    </v>
          </cell>
          <cell r="D4291">
            <v>36513.370000000003</v>
          </cell>
        </row>
        <row r="4292">
          <cell r="A4292">
            <v>25014</v>
          </cell>
          <cell r="B4292" t="str">
            <v>TANQUE DE ASFALTO ESTACIONARIO COM MACARICO, CAPACIDADE 20.000 L</v>
          </cell>
          <cell r="C4292" t="str">
            <v xml:space="preserve">UN    </v>
          </cell>
          <cell r="D4292">
            <v>76475.75</v>
          </cell>
        </row>
        <row r="4293">
          <cell r="A4293">
            <v>25013</v>
          </cell>
          <cell r="B4293" t="str">
            <v>TANQUE DE ASFALTO ESTACIONARIO COM SERPENTINA, CAPACIDADE 20.000 L</v>
          </cell>
          <cell r="C4293" t="str">
            <v xml:space="preserve">UN    </v>
          </cell>
          <cell r="D4293">
            <v>80154.679999999993</v>
          </cell>
        </row>
        <row r="4294">
          <cell r="A4294">
            <v>14405</v>
          </cell>
          <cell r="B4294" t="str">
            <v>TANQUE DE ASFALTO ESTACIONARIO COM SERPENTINA, CAPACIDADE 30.000 L</v>
          </cell>
          <cell r="C4294" t="str">
            <v xml:space="preserve">UN    </v>
          </cell>
          <cell r="D4294">
            <v>94088.62</v>
          </cell>
        </row>
        <row r="4295">
          <cell r="A4295">
            <v>36790</v>
          </cell>
          <cell r="B4295" t="str">
            <v>TANQUE DUPLO EM MARMORE SINTETICO COM CUBA LISA E ESFREGADOR, *110 X 60* CM</v>
          </cell>
          <cell r="C4295" t="str">
            <v xml:space="preserve">UN    </v>
          </cell>
          <cell r="D4295">
            <v>187.64</v>
          </cell>
        </row>
        <row r="4296">
          <cell r="A4296">
            <v>20271</v>
          </cell>
          <cell r="B4296" t="str">
            <v>TANQUE LOUCA BRANCA COM COLUNA *30* L</v>
          </cell>
          <cell r="C4296" t="str">
            <v xml:space="preserve">UN    </v>
          </cell>
          <cell r="D4296">
            <v>479.84</v>
          </cell>
        </row>
        <row r="4297">
          <cell r="A4297">
            <v>10423</v>
          </cell>
          <cell r="B4297" t="str">
            <v>TANQUE LOUCA BRANCA SUSPENSO *20* L</v>
          </cell>
          <cell r="C4297" t="str">
            <v xml:space="preserve">UN    </v>
          </cell>
          <cell r="D4297">
            <v>297.61</v>
          </cell>
        </row>
        <row r="4298">
          <cell r="A4298">
            <v>37589</v>
          </cell>
          <cell r="B4298" t="str">
            <v>TANQUE SIMPLES EM MARMORE SINTETICO COM COLUNA, CAPACIDADE *22* L, *60 X 46* CM</v>
          </cell>
          <cell r="C4298" t="str">
            <v xml:space="preserve">UN    </v>
          </cell>
          <cell r="D4298">
            <v>229.91</v>
          </cell>
        </row>
        <row r="4299">
          <cell r="A4299">
            <v>11690</v>
          </cell>
          <cell r="B4299" t="str">
            <v>TANQUE SIMPLES EM MARMORE SINTETICO DE FIXAR NA PAREDE, CAPACIDADE *22* L, *60 X 46* CM</v>
          </cell>
          <cell r="C4299" t="str">
            <v xml:space="preserve">UN    </v>
          </cell>
          <cell r="D4299">
            <v>122.13</v>
          </cell>
        </row>
        <row r="4300">
          <cell r="A4300">
            <v>20234</v>
          </cell>
          <cell r="B4300" t="str">
            <v>TANQUE SIMPLES EM MARMORE SINTETICO SUSPENSO, CAPACIDADE *38* L, *60 X 60* CM</v>
          </cell>
          <cell r="C4300" t="str">
            <v xml:space="preserve">UN    </v>
          </cell>
          <cell r="D4300">
            <v>154.56</v>
          </cell>
        </row>
        <row r="4301">
          <cell r="A4301">
            <v>4763</v>
          </cell>
          <cell r="B4301" t="str">
            <v>TAQUEADOR OU TAQUEIRO</v>
          </cell>
          <cell r="C4301" t="str">
            <v xml:space="preserve">H     </v>
          </cell>
          <cell r="D4301">
            <v>18.16</v>
          </cell>
        </row>
        <row r="4302">
          <cell r="A4302">
            <v>41070</v>
          </cell>
          <cell r="B4302" t="str">
            <v>TAQUEADOR OU TAQUEIRO (MENSALISTA)</v>
          </cell>
          <cell r="C4302" t="str">
            <v xml:space="preserve">MES   </v>
          </cell>
          <cell r="D4302">
            <v>3223.1</v>
          </cell>
        </row>
        <row r="4303">
          <cell r="A4303">
            <v>14583</v>
          </cell>
          <cell r="B4303" t="str">
            <v>TARIFA "A" ENTRE  0 E 20M3 FORNECIMENTO D'AGUA</v>
          </cell>
          <cell r="C4303" t="str">
            <v xml:space="preserve">M3    </v>
          </cell>
          <cell r="D4303">
            <v>15.7</v>
          </cell>
        </row>
        <row r="4304">
          <cell r="A4304">
            <v>11457</v>
          </cell>
          <cell r="B4304" t="str">
            <v>TARJETA TIPO LIVRE / OCUPADO, CROMADA, PARA PORTA DE BANHEIRO</v>
          </cell>
          <cell r="C4304" t="str">
            <v xml:space="preserve">UN    </v>
          </cell>
          <cell r="D4304">
            <v>26.67</v>
          </cell>
        </row>
        <row r="4305">
          <cell r="A4305">
            <v>21121</v>
          </cell>
          <cell r="B4305" t="str">
            <v>TE CPVC, SOLDAVEL, 90 GRAUS, 15 MM, PARA AGUA QUENTE PREDIAL</v>
          </cell>
          <cell r="C4305" t="str">
            <v xml:space="preserve">UN    </v>
          </cell>
          <cell r="D4305">
            <v>3.63</v>
          </cell>
        </row>
        <row r="4306">
          <cell r="A4306">
            <v>38010</v>
          </cell>
          <cell r="B4306" t="str">
            <v>TE CPVC, SOLDAVEL, 90 GRAUS, 22 MM, PARA AGUA QUENTE PREDIAL</v>
          </cell>
          <cell r="C4306" t="str">
            <v xml:space="preserve">UN    </v>
          </cell>
          <cell r="D4306">
            <v>5.93</v>
          </cell>
        </row>
        <row r="4307">
          <cell r="A4307">
            <v>38011</v>
          </cell>
          <cell r="B4307" t="str">
            <v>TE CPVC, SOLDAVEL, 90 GRAUS, 28 MM, PARA AGUA QUENTE PREDIAL</v>
          </cell>
          <cell r="C4307" t="str">
            <v xml:space="preserve">UN    </v>
          </cell>
          <cell r="D4307">
            <v>10.95</v>
          </cell>
        </row>
        <row r="4308">
          <cell r="A4308">
            <v>38012</v>
          </cell>
          <cell r="B4308" t="str">
            <v>TE CPVC, SOLDAVEL, 90 GRAUS, 35 MM, PARA AGUA QUENTE PREDIAL</v>
          </cell>
          <cell r="C4308" t="str">
            <v xml:space="preserve">UN    </v>
          </cell>
          <cell r="D4308">
            <v>37.409999999999997</v>
          </cell>
        </row>
        <row r="4309">
          <cell r="A4309">
            <v>38013</v>
          </cell>
          <cell r="B4309" t="str">
            <v>TE CPVC, SOLDAVEL, 90 GRAUS, 42 MM, PARA AGUA QUENTE PREDIAL</v>
          </cell>
          <cell r="C4309" t="str">
            <v xml:space="preserve">UN    </v>
          </cell>
          <cell r="D4309">
            <v>48.57</v>
          </cell>
        </row>
        <row r="4310">
          <cell r="A4310">
            <v>38014</v>
          </cell>
          <cell r="B4310" t="str">
            <v>TE CPVC, SOLDAVEL, 90 GRAUS, 54 MM, PARA AGUA QUENTE PREDIAL</v>
          </cell>
          <cell r="C4310" t="str">
            <v xml:space="preserve">UN    </v>
          </cell>
          <cell r="D4310">
            <v>79.040000000000006</v>
          </cell>
        </row>
        <row r="4311">
          <cell r="A4311">
            <v>38015</v>
          </cell>
          <cell r="B4311" t="str">
            <v>TE CPVC, SOLDAVEL, 90 GRAUS, 73 MM, PARA AGUA QUENTE PREDIAL</v>
          </cell>
          <cell r="C4311" t="str">
            <v xml:space="preserve">UN    </v>
          </cell>
          <cell r="D4311">
            <v>190.87</v>
          </cell>
        </row>
        <row r="4312">
          <cell r="A4312">
            <v>38016</v>
          </cell>
          <cell r="B4312" t="str">
            <v>TE CPVC, SOLDAVEL, 90 GRAUS, 89 MM, PARA AGUA QUENTE PREDIAL</v>
          </cell>
          <cell r="C4312" t="str">
            <v xml:space="preserve">UN    </v>
          </cell>
          <cell r="D4312">
            <v>232.24</v>
          </cell>
        </row>
        <row r="4313">
          <cell r="A4313">
            <v>12741</v>
          </cell>
          <cell r="B4313" t="str">
            <v>TE DE COBRE (REF 611) SEM ANEL DE SOLDA, BOLSA X BOLSA X BOLSA, 104 MM</v>
          </cell>
          <cell r="C4313" t="str">
            <v xml:space="preserve">UN    </v>
          </cell>
          <cell r="D4313">
            <v>935.21</v>
          </cell>
        </row>
        <row r="4314">
          <cell r="A4314">
            <v>12733</v>
          </cell>
          <cell r="B4314" t="str">
            <v>TE DE COBRE (REF 611) SEM ANEL DE SOLDA, BOLSA X BOLSA X BOLSA, 15 MM</v>
          </cell>
          <cell r="C4314" t="str">
            <v xml:space="preserve">UN    </v>
          </cell>
          <cell r="D4314">
            <v>4.7</v>
          </cell>
        </row>
        <row r="4315">
          <cell r="A4315">
            <v>12734</v>
          </cell>
          <cell r="B4315" t="str">
            <v>TE DE COBRE (REF 611) SEM ANEL DE SOLDA, BOLSA X BOLSA X BOLSA, 22 MM</v>
          </cell>
          <cell r="C4315" t="str">
            <v xml:space="preserve">UN    </v>
          </cell>
          <cell r="D4315">
            <v>10.029999999999999</v>
          </cell>
        </row>
        <row r="4316">
          <cell r="A4316">
            <v>12735</v>
          </cell>
          <cell r="B4316" t="str">
            <v>TE DE COBRE (REF 611) SEM ANEL DE SOLDA, BOLSA X BOLSA X BOLSA, 28 MM</v>
          </cell>
          <cell r="C4316" t="str">
            <v xml:space="preserve">UN    </v>
          </cell>
          <cell r="D4316">
            <v>16.5</v>
          </cell>
        </row>
        <row r="4317">
          <cell r="A4317">
            <v>12736</v>
          </cell>
          <cell r="B4317" t="str">
            <v>TE DE COBRE (REF 611) SEM ANEL DE SOLDA, BOLSA X BOLSA X BOLSA, 35 MM</v>
          </cell>
          <cell r="C4317" t="str">
            <v xml:space="preserve">UN    </v>
          </cell>
          <cell r="D4317">
            <v>37.72</v>
          </cell>
        </row>
        <row r="4318">
          <cell r="A4318">
            <v>12737</v>
          </cell>
          <cell r="B4318" t="str">
            <v>TE DE COBRE (REF 611) SEM ANEL DE SOLDA, BOLSA X BOLSA X BOLSA, 42 MM</v>
          </cell>
          <cell r="C4318" t="str">
            <v xml:space="preserve">UN    </v>
          </cell>
          <cell r="D4318">
            <v>48.59</v>
          </cell>
        </row>
        <row r="4319">
          <cell r="A4319">
            <v>12738</v>
          </cell>
          <cell r="B4319" t="str">
            <v>TE DE COBRE (REF 611) SEM ANEL DE SOLDA, BOLSA X BOLSA X BOLSA, 54 MM</v>
          </cell>
          <cell r="C4319" t="str">
            <v xml:space="preserve">UN    </v>
          </cell>
          <cell r="D4319">
            <v>96.04</v>
          </cell>
        </row>
        <row r="4320">
          <cell r="A4320">
            <v>12739</v>
          </cell>
          <cell r="B4320" t="str">
            <v>TE DE COBRE (REF 611) SEM ANEL DE SOLDA, BOLSA X BOLSA X BOLSA, 66 MM</v>
          </cell>
          <cell r="C4320" t="str">
            <v xml:space="preserve">UN    </v>
          </cell>
          <cell r="D4320">
            <v>273.38</v>
          </cell>
        </row>
        <row r="4321">
          <cell r="A4321">
            <v>12740</v>
          </cell>
          <cell r="B4321" t="str">
            <v>TE DE COBRE (REF 611) SEM ANEL DE SOLDA, BOLSA X BOLSA X BOLSA, 79 MM</v>
          </cell>
          <cell r="C4321" t="str">
            <v xml:space="preserve">UN    </v>
          </cell>
          <cell r="D4321">
            <v>427.73</v>
          </cell>
        </row>
        <row r="4322">
          <cell r="A4322">
            <v>6297</v>
          </cell>
          <cell r="B4322" t="str">
            <v>TE DE FERRO GALVANIZADO, DE 1 1/2"</v>
          </cell>
          <cell r="C4322" t="str">
            <v xml:space="preserve">UN    </v>
          </cell>
          <cell r="D4322">
            <v>23.44</v>
          </cell>
        </row>
        <row r="4323">
          <cell r="A4323">
            <v>6296</v>
          </cell>
          <cell r="B4323" t="str">
            <v>TE DE FERRO GALVANIZADO, DE 1 1/4"</v>
          </cell>
          <cell r="C4323" t="str">
            <v xml:space="preserve">UN    </v>
          </cell>
          <cell r="D4323">
            <v>18.5</v>
          </cell>
        </row>
        <row r="4324">
          <cell r="A4324">
            <v>6294</v>
          </cell>
          <cell r="B4324" t="str">
            <v>TE DE FERRO GALVANIZADO, DE 1/2"</v>
          </cell>
          <cell r="C4324" t="str">
            <v xml:space="preserve">UN    </v>
          </cell>
          <cell r="D4324">
            <v>5.27</v>
          </cell>
        </row>
        <row r="4325">
          <cell r="A4325">
            <v>6323</v>
          </cell>
          <cell r="B4325" t="str">
            <v>TE DE FERRO GALVANIZADO, DE 1"</v>
          </cell>
          <cell r="C4325" t="str">
            <v xml:space="preserve">UN    </v>
          </cell>
          <cell r="D4325">
            <v>12.09</v>
          </cell>
        </row>
        <row r="4326">
          <cell r="A4326">
            <v>6299</v>
          </cell>
          <cell r="B4326" t="str">
            <v>TE DE FERRO GALVANIZADO, DE 2 1/2"</v>
          </cell>
          <cell r="C4326" t="str">
            <v xml:space="preserve">UN    </v>
          </cell>
          <cell r="D4326">
            <v>70.489999999999995</v>
          </cell>
        </row>
        <row r="4327">
          <cell r="A4327">
            <v>6298</v>
          </cell>
          <cell r="B4327" t="str">
            <v>TE DE FERRO GALVANIZADO, DE 2"</v>
          </cell>
          <cell r="C4327" t="str">
            <v xml:space="preserve">UN    </v>
          </cell>
          <cell r="D4327">
            <v>37.119999999999997</v>
          </cell>
        </row>
        <row r="4328">
          <cell r="A4328">
            <v>6295</v>
          </cell>
          <cell r="B4328" t="str">
            <v>TE DE FERRO GALVANIZADO, DE 3/4"</v>
          </cell>
          <cell r="C4328" t="str">
            <v xml:space="preserve">UN    </v>
          </cell>
          <cell r="D4328">
            <v>7.51</v>
          </cell>
        </row>
        <row r="4329">
          <cell r="A4329">
            <v>6322</v>
          </cell>
          <cell r="B4329" t="str">
            <v>TE DE FERRO GALVANIZADO, DE 3"</v>
          </cell>
          <cell r="C4329" t="str">
            <v xml:space="preserve">UN    </v>
          </cell>
          <cell r="D4329">
            <v>94.42</v>
          </cell>
        </row>
        <row r="4330">
          <cell r="A4330">
            <v>6300</v>
          </cell>
          <cell r="B4330" t="str">
            <v>TE DE FERRO GALVANIZADO, DE 4"</v>
          </cell>
          <cell r="C4330" t="str">
            <v xml:space="preserve">UN    </v>
          </cell>
          <cell r="D4330">
            <v>174.08</v>
          </cell>
        </row>
        <row r="4331">
          <cell r="A4331">
            <v>6321</v>
          </cell>
          <cell r="B4331" t="str">
            <v>TE DE FERRO GALVANIZADO, DE 5"</v>
          </cell>
          <cell r="C4331" t="str">
            <v xml:space="preserve">UN    </v>
          </cell>
          <cell r="D4331">
            <v>248.66</v>
          </cell>
        </row>
        <row r="4332">
          <cell r="A4332">
            <v>6301</v>
          </cell>
          <cell r="B4332" t="str">
            <v>TE DE FERRO GALVANIZADO, DE 6"</v>
          </cell>
          <cell r="C4332" t="str">
            <v xml:space="preserve">UN    </v>
          </cell>
          <cell r="D4332">
            <v>582.83000000000004</v>
          </cell>
        </row>
        <row r="4333">
          <cell r="A4333">
            <v>7105</v>
          </cell>
          <cell r="B4333" t="str">
            <v>TE DE INSPECAO, PVC,  100 X 75 MM, SERIE NORMAL PARA ESGOTO PREDIAL</v>
          </cell>
          <cell r="C4333" t="str">
            <v xml:space="preserve">UN    </v>
          </cell>
          <cell r="D4333">
            <v>28.68</v>
          </cell>
        </row>
        <row r="4334">
          <cell r="A4334">
            <v>20183</v>
          </cell>
          <cell r="B4334" t="str">
            <v>TE DE INSPECAO, PVC, SERIE R, 100 X 75 MM, PARA ESGOTO PREDIAL</v>
          </cell>
          <cell r="C4334" t="str">
            <v xml:space="preserve">UN    </v>
          </cell>
          <cell r="D4334">
            <v>37.76</v>
          </cell>
        </row>
        <row r="4335">
          <cell r="A4335">
            <v>38448</v>
          </cell>
          <cell r="B4335" t="str">
            <v>TE DE INSPECAO, PVC, SERIE R, 150 X 100 MM, PARA ESGOTO PREDIAL</v>
          </cell>
          <cell r="C4335" t="str">
            <v xml:space="preserve">UN    </v>
          </cell>
          <cell r="D4335">
            <v>177.43</v>
          </cell>
        </row>
        <row r="4336">
          <cell r="A4336">
            <v>20182</v>
          </cell>
          <cell r="B4336" t="str">
            <v>TE DE INSPECAO, PVC, SERIE R, 75 X 75 MM, PARA ESGOTO PREDIAL</v>
          </cell>
          <cell r="C4336" t="str">
            <v xml:space="preserve">UN    </v>
          </cell>
          <cell r="D4336">
            <v>21.55</v>
          </cell>
        </row>
        <row r="4337">
          <cell r="A4337">
            <v>7119</v>
          </cell>
          <cell r="B4337" t="str">
            <v>TE DE REDUCAO COM ROSCA, PVC, 90 GRAUS, 1 X 3/4", PARA AGUA FRIA PREDIAL</v>
          </cell>
          <cell r="C4337" t="str">
            <v xml:space="preserve">UN    </v>
          </cell>
          <cell r="D4337">
            <v>7.3</v>
          </cell>
        </row>
        <row r="4338">
          <cell r="A4338">
            <v>7120</v>
          </cell>
          <cell r="B4338" t="str">
            <v>TE DE REDUCAO COM ROSCA, PVC, 90 GRAUS, 3/4 X 1/2", PARA AGUA FRIA PREDIAL</v>
          </cell>
          <cell r="C4338" t="str">
            <v xml:space="preserve">UN    </v>
          </cell>
          <cell r="D4338">
            <v>5.01</v>
          </cell>
        </row>
        <row r="4339">
          <cell r="A4339">
            <v>6319</v>
          </cell>
          <cell r="B4339" t="str">
            <v>TE DE REDUCAO DE FERRO GALVANIZADO, COM ROSCA BSP, DE 1 1/2" X 1"</v>
          </cell>
          <cell r="C4339" t="str">
            <v xml:space="preserve">UN    </v>
          </cell>
          <cell r="D4339">
            <v>27.53</v>
          </cell>
        </row>
        <row r="4340">
          <cell r="A4340">
            <v>6304</v>
          </cell>
          <cell r="B4340" t="str">
            <v>TE DE REDUCAO DE FERRO GALVANIZADO, COM ROSCA BSP, DE 1 1/2" X 3/4"</v>
          </cell>
          <cell r="C4340" t="str">
            <v xml:space="preserve">UN    </v>
          </cell>
          <cell r="D4340">
            <v>27.53</v>
          </cell>
        </row>
        <row r="4341">
          <cell r="A4341">
            <v>21116</v>
          </cell>
          <cell r="B4341" t="str">
            <v>TE DE REDUCAO DE FERRO GALVANIZADO, COM ROSCA BSP, DE 1 1/4" X 3/4"</v>
          </cell>
          <cell r="C4341" t="str">
            <v xml:space="preserve">UN    </v>
          </cell>
          <cell r="D4341">
            <v>20.85</v>
          </cell>
        </row>
        <row r="4342">
          <cell r="A4342">
            <v>6320</v>
          </cell>
          <cell r="B4342" t="str">
            <v>TE DE REDUCAO DE FERRO GALVANIZADO, COM ROSCA BSP, DE 1" X 1/2"</v>
          </cell>
          <cell r="C4342" t="str">
            <v xml:space="preserve">UN    </v>
          </cell>
          <cell r="D4342">
            <v>14.18</v>
          </cell>
        </row>
        <row r="4343">
          <cell r="A4343">
            <v>6303</v>
          </cell>
          <cell r="B4343" t="str">
            <v>TE DE REDUCAO DE FERRO GALVANIZADO, COM ROSCA BSP, DE 1" X 3/4"</v>
          </cell>
          <cell r="C4343" t="str">
            <v xml:space="preserve">UN    </v>
          </cell>
          <cell r="D4343">
            <v>14.18</v>
          </cell>
        </row>
        <row r="4344">
          <cell r="A4344">
            <v>6308</v>
          </cell>
          <cell r="B4344" t="str">
            <v>TE DE REDUCAO DE FERRO GALVANIZADO, COM ROSCA BSP, DE 2 1/2" X 1 1/2"</v>
          </cell>
          <cell r="C4344" t="str">
            <v xml:space="preserve">UN    </v>
          </cell>
          <cell r="D4344">
            <v>76.2</v>
          </cell>
        </row>
        <row r="4345">
          <cell r="A4345">
            <v>6317</v>
          </cell>
          <cell r="B4345" t="str">
            <v>TE DE REDUCAO DE FERRO GALVANIZADO, COM ROSCA BSP, DE 2 1/2" X 1 1/4"</v>
          </cell>
          <cell r="C4345" t="str">
            <v xml:space="preserve">UN    </v>
          </cell>
          <cell r="D4345">
            <v>76.2</v>
          </cell>
        </row>
        <row r="4346">
          <cell r="A4346">
            <v>6307</v>
          </cell>
          <cell r="B4346" t="str">
            <v>TE DE REDUCAO DE FERRO GALVANIZADO, COM ROSCA BSP, DE 2 1/2" X 1"</v>
          </cell>
          <cell r="C4346" t="str">
            <v xml:space="preserve">UN    </v>
          </cell>
          <cell r="D4346">
            <v>76.2</v>
          </cell>
        </row>
        <row r="4347">
          <cell r="A4347">
            <v>6309</v>
          </cell>
          <cell r="B4347" t="str">
            <v>TE DE REDUCAO DE FERRO GALVANIZADO, COM ROSCA BSP, DE 2 1/2" X 2"</v>
          </cell>
          <cell r="C4347" t="str">
            <v xml:space="preserve">UN    </v>
          </cell>
          <cell r="D4347">
            <v>78.41</v>
          </cell>
        </row>
        <row r="4348">
          <cell r="A4348">
            <v>6318</v>
          </cell>
          <cell r="B4348" t="str">
            <v>TE DE REDUCAO DE FERRO GALVANIZADO, COM ROSCA BSP, DE 2" X 1 1/2"</v>
          </cell>
          <cell r="C4348" t="str">
            <v xml:space="preserve">UN    </v>
          </cell>
          <cell r="D4348">
            <v>41.1</v>
          </cell>
        </row>
        <row r="4349">
          <cell r="A4349">
            <v>6306</v>
          </cell>
          <cell r="B4349" t="str">
            <v>TE DE REDUCAO DE FERRO GALVANIZADO, COM ROSCA BSP, DE 2" X 1 1/4"</v>
          </cell>
          <cell r="C4349" t="str">
            <v xml:space="preserve">UN    </v>
          </cell>
          <cell r="D4349">
            <v>41.1</v>
          </cell>
        </row>
        <row r="4350">
          <cell r="A4350">
            <v>6305</v>
          </cell>
          <cell r="B4350" t="str">
            <v>TE DE REDUCAO DE FERRO GALVANIZADO, COM ROSCA BSP, DE 2" X 1"</v>
          </cell>
          <cell r="C4350" t="str">
            <v xml:space="preserve">UN    </v>
          </cell>
          <cell r="D4350">
            <v>41.1</v>
          </cell>
        </row>
        <row r="4351">
          <cell r="A4351">
            <v>6302</v>
          </cell>
          <cell r="B4351" t="str">
            <v>TE DE REDUCAO DE FERRO GALVANIZADO, COM ROSCA BSP, DE 3/4" X 1/2"</v>
          </cell>
          <cell r="C4351" t="str">
            <v xml:space="preserve">UN    </v>
          </cell>
          <cell r="D4351">
            <v>8.7100000000000009</v>
          </cell>
        </row>
        <row r="4352">
          <cell r="A4352">
            <v>6312</v>
          </cell>
          <cell r="B4352" t="str">
            <v>TE DE REDUCAO DE FERRO GALVANIZADO, COM ROSCA BSP, DE 3" X 1 1/2"</v>
          </cell>
          <cell r="C4352" t="str">
            <v xml:space="preserve">UN    </v>
          </cell>
          <cell r="D4352">
            <v>109.6</v>
          </cell>
        </row>
        <row r="4353">
          <cell r="A4353">
            <v>6311</v>
          </cell>
          <cell r="B4353" t="str">
            <v>TE DE REDUCAO DE FERRO GALVANIZADO, COM ROSCA BSP, DE 3" X 1 1/4"</v>
          </cell>
          <cell r="C4353" t="str">
            <v xml:space="preserve">UN    </v>
          </cell>
          <cell r="D4353">
            <v>109.6</v>
          </cell>
        </row>
        <row r="4354">
          <cell r="A4354">
            <v>6310</v>
          </cell>
          <cell r="B4354" t="str">
            <v>TE DE REDUCAO DE FERRO GALVANIZADO, COM ROSCA BSP, DE 3" X 1"</v>
          </cell>
          <cell r="C4354" t="str">
            <v xml:space="preserve">UN    </v>
          </cell>
          <cell r="D4354">
            <v>109.6</v>
          </cell>
        </row>
        <row r="4355">
          <cell r="A4355">
            <v>6314</v>
          </cell>
          <cell r="B4355" t="str">
            <v>TE DE REDUCAO DE FERRO GALVANIZADO, COM ROSCA BSP, DE 3" X 2 1/2"</v>
          </cell>
          <cell r="C4355" t="str">
            <v xml:space="preserve">UN    </v>
          </cell>
          <cell r="D4355">
            <v>109.6</v>
          </cell>
        </row>
        <row r="4356">
          <cell r="A4356">
            <v>6313</v>
          </cell>
          <cell r="B4356" t="str">
            <v>TE DE REDUCAO DE FERRO GALVANIZADO, COM ROSCA BSP, DE 3" X 2"</v>
          </cell>
          <cell r="C4356" t="str">
            <v xml:space="preserve">UN    </v>
          </cell>
          <cell r="D4356">
            <v>109.6</v>
          </cell>
        </row>
        <row r="4357">
          <cell r="A4357">
            <v>6315</v>
          </cell>
          <cell r="B4357" t="str">
            <v>TE DE REDUCAO DE FERRO GALVANIZADO, COM ROSCA BSP, DE 4" X 2"</v>
          </cell>
          <cell r="C4357" t="str">
            <v xml:space="preserve">UN    </v>
          </cell>
          <cell r="D4357">
            <v>207.53</v>
          </cell>
        </row>
        <row r="4358">
          <cell r="A4358">
            <v>6316</v>
          </cell>
          <cell r="B4358" t="str">
            <v>TE DE REDUCAO DE FERRO GALVANIZADO, COM ROSCA BSP, DE 4" X 3"</v>
          </cell>
          <cell r="C4358" t="str">
            <v xml:space="preserve">UN    </v>
          </cell>
          <cell r="D4358">
            <v>207.53</v>
          </cell>
        </row>
        <row r="4359">
          <cell r="A4359">
            <v>38878</v>
          </cell>
          <cell r="B4359" t="str">
            <v>TE DE REDUCAO METALICO, PARA CONEXAO COM ANEL DESLIZANTE EM TUBO PEX, DN 16 X 20 X 16 MM</v>
          </cell>
          <cell r="C4359" t="str">
            <v xml:space="preserve">UN    </v>
          </cell>
          <cell r="D4359">
            <v>14.42</v>
          </cell>
        </row>
        <row r="4360">
          <cell r="A4360">
            <v>38879</v>
          </cell>
          <cell r="B4360" t="str">
            <v>TE DE REDUCAO METALICO, PARA CONEXAO COM ANEL DESLIZANTE EM TUBO PEX, DN 16 X 25 X 16 MM</v>
          </cell>
          <cell r="C4360" t="str">
            <v xml:space="preserve">UN    </v>
          </cell>
          <cell r="D4360">
            <v>27.04</v>
          </cell>
        </row>
        <row r="4361">
          <cell r="A4361">
            <v>38881</v>
          </cell>
          <cell r="B4361" t="str">
            <v>TE DE REDUCAO METALICO, PARA CONEXAO COM ANEL DESLIZANTE EM TUBO PEX, DN 20 X 16 X 16 MM</v>
          </cell>
          <cell r="C4361" t="str">
            <v xml:space="preserve">UN    </v>
          </cell>
          <cell r="D4361">
            <v>14.15</v>
          </cell>
        </row>
        <row r="4362">
          <cell r="A4362">
            <v>38880</v>
          </cell>
          <cell r="B4362" t="str">
            <v>TE DE REDUCAO METALICO, PARA CONEXAO COM ANEL DESLIZANTE EM TUBO PEX, DN 20 X 16 X 20 MM</v>
          </cell>
          <cell r="C4362" t="str">
            <v xml:space="preserve">UN    </v>
          </cell>
          <cell r="D4362">
            <v>14.83</v>
          </cell>
        </row>
        <row r="4363">
          <cell r="A4363">
            <v>38882</v>
          </cell>
          <cell r="B4363" t="str">
            <v>TE DE REDUCAO METALICO, PARA CONEXAO COM ANEL DESLIZANTE EM TUBO PEX, DN 20 X 20 X 16 MM</v>
          </cell>
          <cell r="C4363" t="str">
            <v xml:space="preserve">UN    </v>
          </cell>
          <cell r="D4363">
            <v>15.35</v>
          </cell>
        </row>
        <row r="4364">
          <cell r="A4364">
            <v>38883</v>
          </cell>
          <cell r="B4364" t="str">
            <v>TE DE REDUCAO METALICO, PARA CONEXAO COM ANEL DESLIZANTE EM TUBO PEX, DN 20 X 25 X 20 MM</v>
          </cell>
          <cell r="C4364" t="str">
            <v xml:space="preserve">UN    </v>
          </cell>
          <cell r="D4364">
            <v>22.71</v>
          </cell>
        </row>
        <row r="4365">
          <cell r="A4365">
            <v>38884</v>
          </cell>
          <cell r="B4365" t="str">
            <v>TE DE REDUCAO METALICO, PARA CONEXAO COM ANEL DESLIZANTE EM TUBO PEX, DN 25 X 16 X 16 MM</v>
          </cell>
          <cell r="C4365" t="str">
            <v xml:space="preserve">UN    </v>
          </cell>
          <cell r="D4365">
            <v>24.65</v>
          </cell>
        </row>
        <row r="4366">
          <cell r="A4366">
            <v>38885</v>
          </cell>
          <cell r="B4366" t="str">
            <v>TE DE REDUCAO METALICO, PARA CONEXAO COM ANEL DESLIZANTE EM TUBO PEX, DN 25 X 16 X 20 MM</v>
          </cell>
          <cell r="C4366" t="str">
            <v xml:space="preserve">UN    </v>
          </cell>
          <cell r="D4366">
            <v>23.85</v>
          </cell>
        </row>
        <row r="4367">
          <cell r="A4367">
            <v>38886</v>
          </cell>
          <cell r="B4367" t="str">
            <v>TE DE REDUCAO METALICO, PARA CONEXAO COM ANEL DESLIZANTE EM TUBO PEX, DN 25 X 16 X 25 MM</v>
          </cell>
          <cell r="C4367" t="str">
            <v xml:space="preserve">UN    </v>
          </cell>
          <cell r="D4367">
            <v>25.74</v>
          </cell>
        </row>
        <row r="4368">
          <cell r="A4368">
            <v>38887</v>
          </cell>
          <cell r="B4368" t="str">
            <v>TE DE REDUCAO METALICO, PARA CONEXAO COM ANEL DESLIZANTE EM TUBO PEX, DN 25 X 20 X 20 MM</v>
          </cell>
          <cell r="C4368" t="str">
            <v xml:space="preserve">UN    </v>
          </cell>
          <cell r="D4368">
            <v>23.12</v>
          </cell>
        </row>
        <row r="4369">
          <cell r="A4369">
            <v>38888</v>
          </cell>
          <cell r="B4369" t="str">
            <v>TE DE REDUCAO METALICO, PARA CONEXAO COM ANEL DESLIZANTE EM TUBO PEX, DN 25 X 20 X 25 MM</v>
          </cell>
          <cell r="C4369" t="str">
            <v xml:space="preserve">UN    </v>
          </cell>
          <cell r="D4369">
            <v>27.48</v>
          </cell>
        </row>
        <row r="4370">
          <cell r="A4370">
            <v>38890</v>
          </cell>
          <cell r="B4370" t="str">
            <v>TE DE REDUCAO METALICO, PARA CONEXAO COM ANEL DESLIZANTE EM TUBO PEX, DN 25 X 32 X 25 MM</v>
          </cell>
          <cell r="C4370" t="str">
            <v xml:space="preserve">UN    </v>
          </cell>
          <cell r="D4370">
            <v>40.85</v>
          </cell>
        </row>
        <row r="4371">
          <cell r="A4371">
            <v>38893</v>
          </cell>
          <cell r="B4371" t="str">
            <v>TE DE REDUCAO METALICO, PARA CONEXAO COM ANEL DESLIZANTE EM TUBO PEX, DN 32 X 20 X 32 MM</v>
          </cell>
          <cell r="C4371" t="str">
            <v xml:space="preserve">UN    </v>
          </cell>
          <cell r="D4371">
            <v>32.85</v>
          </cell>
        </row>
        <row r="4372">
          <cell r="A4372">
            <v>38894</v>
          </cell>
          <cell r="B4372" t="str">
            <v>TE DE REDUCAO METALICO, PARA CONEXAO COM ANEL DESLIZANTE EM TUBO PEX, DN 32 X 25 X 25 MM</v>
          </cell>
          <cell r="C4372" t="str">
            <v xml:space="preserve">UN    </v>
          </cell>
          <cell r="D4372">
            <v>41.72</v>
          </cell>
        </row>
        <row r="4373">
          <cell r="A4373">
            <v>38896</v>
          </cell>
          <cell r="B4373" t="str">
            <v>TE DE REDUCAO METALICO, PARA CONEXAO COM ANEL DESLIZANTE EM TUBO PEX, DN 32 X 25 X 32 MM</v>
          </cell>
          <cell r="C4373" t="str">
            <v xml:space="preserve">UN    </v>
          </cell>
          <cell r="D4373">
            <v>42.55</v>
          </cell>
        </row>
        <row r="4374">
          <cell r="A4374">
            <v>39324</v>
          </cell>
          <cell r="B4374" t="str">
            <v>TE DE REDUCAO, CPVC, 22 X 15 MM, PARA AGUA QUENTE PREDIAL</v>
          </cell>
          <cell r="C4374" t="str">
            <v xml:space="preserve">UN    </v>
          </cell>
          <cell r="D4374">
            <v>8.0399999999999991</v>
          </cell>
        </row>
        <row r="4375">
          <cell r="A4375">
            <v>39325</v>
          </cell>
          <cell r="B4375" t="str">
            <v>TE DE REDUCAO, CPVC, 28 X 22 MM, PARA AGUA QUENTE PREDIAL</v>
          </cell>
          <cell r="C4375" t="str">
            <v xml:space="preserve">UN    </v>
          </cell>
          <cell r="D4375">
            <v>12.17</v>
          </cell>
        </row>
        <row r="4376">
          <cell r="A4376">
            <v>39326</v>
          </cell>
          <cell r="B4376" t="str">
            <v>TE DE REDUCAO, CPVC, 35 X 28 MM, PARA AGUA QUENTE PREDIAL</v>
          </cell>
          <cell r="C4376" t="str">
            <v xml:space="preserve">UN    </v>
          </cell>
          <cell r="D4376">
            <v>31.35</v>
          </cell>
        </row>
        <row r="4377">
          <cell r="A4377">
            <v>39327</v>
          </cell>
          <cell r="B4377" t="str">
            <v>TE DE REDUCAO, CPVC, 42 X 35 MM, PARA AGUA QUENTE PREDIAL</v>
          </cell>
          <cell r="C4377" t="str">
            <v xml:space="preserve">UN    </v>
          </cell>
          <cell r="D4377">
            <v>47.49</v>
          </cell>
        </row>
        <row r="4378">
          <cell r="A4378">
            <v>20176</v>
          </cell>
          <cell r="B4378" t="str">
            <v>TE DE REDUCAO, PVC LEVE, CURTO, 90 GRAUS, COM BOLSA PARA ANEL, 150 X 100 MM, PARA ESGOTO</v>
          </cell>
          <cell r="C4378" t="str">
            <v xml:space="preserve">UN    </v>
          </cell>
          <cell r="D4378">
            <v>32.54</v>
          </cell>
        </row>
        <row r="4379">
          <cell r="A4379">
            <v>11378</v>
          </cell>
          <cell r="B4379" t="str">
            <v>TE DE REDUCAO, PVC PBA, BBB, JE, DN 100 X 50 / DE 110 X 60 MM, PARA REDE AGUA (NBR 10351)</v>
          </cell>
          <cell r="C4379" t="str">
            <v xml:space="preserve">UN    </v>
          </cell>
          <cell r="D4379">
            <v>67.59</v>
          </cell>
        </row>
        <row r="4380">
          <cell r="A4380">
            <v>11379</v>
          </cell>
          <cell r="B4380" t="str">
            <v>TE DE REDUCAO, PVC PBA, BBB, JE, DN 100 X 75 / DE 110 X 85 MM, PARA REDE AGUA (NBR 10351)</v>
          </cell>
          <cell r="C4380" t="str">
            <v xml:space="preserve">UN    </v>
          </cell>
          <cell r="D4380">
            <v>57.12</v>
          </cell>
        </row>
        <row r="4381">
          <cell r="A4381">
            <v>11493</v>
          </cell>
          <cell r="B4381" t="str">
            <v>TE DE REDUCAO, PVC PBA, BBB, JE, DN 75 X 50 / DE 85 X 60 MM, PARA REDE AGUA (NBR 10351)</v>
          </cell>
          <cell r="C4381" t="str">
            <v xml:space="preserve">UN    </v>
          </cell>
          <cell r="D4381">
            <v>32.94</v>
          </cell>
        </row>
        <row r="4382">
          <cell r="A4382">
            <v>42717</v>
          </cell>
          <cell r="B4382" t="str">
            <v>TE DE REDUCAO, PVC, BBB, JE, 90 GRAUS, DN 200 X 150 MM, PARA TUBO CORRUGADO E/OU LISO, REDE COLETORA ESGOTO (NBR 10569)</v>
          </cell>
          <cell r="C4382" t="str">
            <v xml:space="preserve">UN    </v>
          </cell>
          <cell r="D4382">
            <v>279.22000000000003</v>
          </cell>
        </row>
        <row r="4383">
          <cell r="A4383">
            <v>42718</v>
          </cell>
          <cell r="B4383" t="str">
            <v>TE DE REDUCAO, PVC, BBB, JE, 90 GRAUS, DN 250 X 150 MM, PARA TUBO CORRUGADO E/OU LISO, REDE COLETORA ESGOTO (NBR 10569)</v>
          </cell>
          <cell r="C4383" t="str">
            <v xml:space="preserve">UN    </v>
          </cell>
          <cell r="D4383">
            <v>309.99</v>
          </cell>
        </row>
        <row r="4384">
          <cell r="A4384">
            <v>7106</v>
          </cell>
          <cell r="B4384" t="str">
            <v>TE DE REDUCAO, PVC, SOLDAVEL, 90 GRAUS, 110 MM X 60 MM, PARA AGUA FRIA PREDIAL</v>
          </cell>
          <cell r="C4384" t="str">
            <v xml:space="preserve">UN    </v>
          </cell>
          <cell r="D4384">
            <v>118.8</v>
          </cell>
        </row>
        <row r="4385">
          <cell r="A4385">
            <v>7104</v>
          </cell>
          <cell r="B4385" t="str">
            <v>TE DE REDUCAO, PVC, SOLDAVEL, 90 GRAUS, 25 MM X 20 MM, PARA AGUA FRIA PREDIAL</v>
          </cell>
          <cell r="C4385" t="str">
            <v xml:space="preserve">UN    </v>
          </cell>
          <cell r="D4385">
            <v>2.4700000000000002</v>
          </cell>
        </row>
        <row r="4386">
          <cell r="A4386">
            <v>7136</v>
          </cell>
          <cell r="B4386" t="str">
            <v>TE DE REDUCAO, PVC, SOLDAVEL, 90 GRAUS, 32 MM X 25 MM, PARA AGUA FRIA PREDIAL</v>
          </cell>
          <cell r="C4386" t="str">
            <v xml:space="preserve">UN    </v>
          </cell>
          <cell r="D4386">
            <v>4.6500000000000004</v>
          </cell>
        </row>
        <row r="4387">
          <cell r="A4387">
            <v>7128</v>
          </cell>
          <cell r="B4387" t="str">
            <v>TE DE REDUCAO, PVC, SOLDAVEL, 90 GRAUS, 40 MM X 32 MM, PARA AGUA FRIA PREDIAL</v>
          </cell>
          <cell r="C4387" t="str">
            <v xml:space="preserve">UN    </v>
          </cell>
          <cell r="D4387">
            <v>7.63</v>
          </cell>
        </row>
        <row r="4388">
          <cell r="A4388">
            <v>7108</v>
          </cell>
          <cell r="B4388" t="str">
            <v>TE DE REDUCAO, PVC, SOLDAVEL, 90 GRAUS, 50 MM X 20 MM, PARA AGUA FRIA PREDIAL</v>
          </cell>
          <cell r="C4388" t="str">
            <v xml:space="preserve">UN    </v>
          </cell>
          <cell r="D4388">
            <v>8.16</v>
          </cell>
        </row>
        <row r="4389">
          <cell r="A4389">
            <v>7129</v>
          </cell>
          <cell r="B4389" t="str">
            <v>TE DE REDUCAO, PVC, SOLDAVEL, 90 GRAUS, 50 MM X 25 MM, PARA AGUA FRIA PREDIAL</v>
          </cell>
          <cell r="C4389" t="str">
            <v xml:space="preserve">UN    </v>
          </cell>
          <cell r="D4389">
            <v>6.78</v>
          </cell>
        </row>
        <row r="4390">
          <cell r="A4390">
            <v>7130</v>
          </cell>
          <cell r="B4390" t="str">
            <v>TE DE REDUCAO, PVC, SOLDAVEL, 90 GRAUS, 50 MM X 32 MM, PARA AGUA FRIA PREDIAL</v>
          </cell>
          <cell r="C4390" t="str">
            <v xml:space="preserve">UN    </v>
          </cell>
          <cell r="D4390">
            <v>11.07</v>
          </cell>
        </row>
        <row r="4391">
          <cell r="A4391">
            <v>7131</v>
          </cell>
          <cell r="B4391" t="str">
            <v>TE DE REDUCAO, PVC, SOLDAVEL, 90 GRAUS, 50 MM X 40 MM, PARA AGUA FRIA PREDIAL</v>
          </cell>
          <cell r="C4391" t="str">
            <v xml:space="preserve">UN    </v>
          </cell>
          <cell r="D4391">
            <v>13.58</v>
          </cell>
        </row>
        <row r="4392">
          <cell r="A4392">
            <v>7132</v>
          </cell>
          <cell r="B4392" t="str">
            <v>TE DE REDUCAO, PVC, SOLDAVEL, 90 GRAUS, 75 MM X 50 MM, PARA AGUA FRIA PREDIAL</v>
          </cell>
          <cell r="C4392" t="str">
            <v xml:space="preserve">UN    </v>
          </cell>
          <cell r="D4392">
            <v>37.700000000000003</v>
          </cell>
        </row>
        <row r="4393">
          <cell r="A4393">
            <v>7133</v>
          </cell>
          <cell r="B4393" t="str">
            <v>TE DE REDUCAO, PVC, SOLDAVEL, 90 GRAUS, 85 MM X 60 MM, PARA AGUA FRIA PREDIAL</v>
          </cell>
          <cell r="C4393" t="str">
            <v xml:space="preserve">UN    </v>
          </cell>
          <cell r="D4393">
            <v>58.55</v>
          </cell>
        </row>
        <row r="4394">
          <cell r="A4394">
            <v>37420</v>
          </cell>
          <cell r="B4394" t="str">
            <v>TE DE SERVICO INTEGRADO, EM POLIPROPILENO (PP), PARA TUBOS EM PEAD/PVC, 60 X 20 MM - LIGACAO PREDIAL DE AGUA</v>
          </cell>
          <cell r="C4394" t="str">
            <v xml:space="preserve">UN    </v>
          </cell>
          <cell r="D4394">
            <v>36.49</v>
          </cell>
        </row>
        <row r="4395">
          <cell r="A4395">
            <v>37421</v>
          </cell>
          <cell r="B4395" t="str">
            <v>TE DE SERVICO INTEGRADO, EM POLIPROPILENO (PP), PARA TUBOS EM PEAD/PVC, 60 X 32 MM - LIGACAO PREDIAL DE AGUA</v>
          </cell>
          <cell r="C4395" t="str">
            <v xml:space="preserve">UN    </v>
          </cell>
          <cell r="D4395">
            <v>49.87</v>
          </cell>
        </row>
        <row r="4396">
          <cell r="A4396">
            <v>37422</v>
          </cell>
          <cell r="B4396" t="str">
            <v>TE DE SERVICO INTEGRADO, EM POLIPROPILENO (PP), PARA TUBOS EM PEAD, 63 X 20 MM - LIGACAO PREDIAL DE AGUA</v>
          </cell>
          <cell r="C4396" t="str">
            <v xml:space="preserve">UN    </v>
          </cell>
          <cell r="D4396">
            <v>46.68</v>
          </cell>
        </row>
        <row r="4397">
          <cell r="A4397">
            <v>37443</v>
          </cell>
          <cell r="B4397" t="str">
            <v>TE DE SERVICO, PEAD PE 100, DE 125 X 20 MM, PARA ELETROFUSAO</v>
          </cell>
          <cell r="C4397" t="str">
            <v xml:space="preserve">UN    </v>
          </cell>
          <cell r="D4397">
            <v>141.35</v>
          </cell>
        </row>
        <row r="4398">
          <cell r="A4398">
            <v>37444</v>
          </cell>
          <cell r="B4398" t="str">
            <v>TE DE SERVICO, PEAD PE 100, DE 125 X 32 MM, PARA ELETROFUSAO</v>
          </cell>
          <cell r="C4398" t="str">
            <v xml:space="preserve">UN    </v>
          </cell>
          <cell r="D4398">
            <v>143.74</v>
          </cell>
        </row>
        <row r="4399">
          <cell r="A4399">
            <v>37445</v>
          </cell>
          <cell r="B4399" t="str">
            <v>TE DE SERVICO, PEAD PE 100, DE 125 X 63 MM, PARA ELETROFUSAO</v>
          </cell>
          <cell r="C4399" t="str">
            <v xml:space="preserve">UN    </v>
          </cell>
          <cell r="D4399">
            <v>217.88</v>
          </cell>
        </row>
        <row r="4400">
          <cell r="A4400">
            <v>37446</v>
          </cell>
          <cell r="B4400" t="str">
            <v>TE DE SERVICO, PEAD PE 100, DE 200 X 20 MM, PARA ELETROFUSAO</v>
          </cell>
          <cell r="C4400" t="str">
            <v xml:space="preserve">UN    </v>
          </cell>
          <cell r="D4400">
            <v>237.52</v>
          </cell>
        </row>
        <row r="4401">
          <cell r="A4401">
            <v>37447</v>
          </cell>
          <cell r="B4401" t="str">
            <v>TE DE SERVICO, PEAD PE 100, DE 200 X 32 MM, PARA ELETROFUSAO</v>
          </cell>
          <cell r="C4401" t="str">
            <v xml:space="preserve">UN    </v>
          </cell>
          <cell r="D4401">
            <v>241.24</v>
          </cell>
        </row>
        <row r="4402">
          <cell r="A4402">
            <v>37448</v>
          </cell>
          <cell r="B4402" t="str">
            <v>TE DE SERVICO, PEAD PE 100, DE 200 X 63 MM, PARA ELETROFUSAO</v>
          </cell>
          <cell r="C4402" t="str">
            <v xml:space="preserve">UN    </v>
          </cell>
          <cell r="D4402">
            <v>330.9</v>
          </cell>
        </row>
        <row r="4403">
          <cell r="A4403">
            <v>37440</v>
          </cell>
          <cell r="B4403" t="str">
            <v>TE DE SERVICO, PEAD PE 100, DE 63 X 20 MM, PARA ELETROFUSAO</v>
          </cell>
          <cell r="C4403" t="str">
            <v xml:space="preserve">UN    </v>
          </cell>
          <cell r="D4403">
            <v>112.19</v>
          </cell>
        </row>
        <row r="4404">
          <cell r="A4404">
            <v>37441</v>
          </cell>
          <cell r="B4404" t="str">
            <v>TE DE SERVICO, PEAD PE 100, DE 63 X 32 MM, PARA ELETROFUSAO</v>
          </cell>
          <cell r="C4404" t="str">
            <v xml:space="preserve">UN    </v>
          </cell>
          <cell r="D4404">
            <v>112.19</v>
          </cell>
        </row>
        <row r="4405">
          <cell r="A4405">
            <v>37442</v>
          </cell>
          <cell r="B4405" t="str">
            <v>TE DE SERVICO, PEAD PE 100, DE 63 X 63 MM, PARA ELETROFUSAO</v>
          </cell>
          <cell r="C4405" t="str">
            <v xml:space="preserve">UN    </v>
          </cell>
          <cell r="D4405">
            <v>135.12</v>
          </cell>
        </row>
        <row r="4406">
          <cell r="A4406">
            <v>38017</v>
          </cell>
          <cell r="B4406" t="str">
            <v>TE DE TRANSICAO, CPVC, SOLDAVEL, 15 MM X 1/2", PARA AGUA QUENTE</v>
          </cell>
          <cell r="C4406" t="str">
            <v xml:space="preserve">UN    </v>
          </cell>
          <cell r="D4406">
            <v>11.44</v>
          </cell>
        </row>
        <row r="4407">
          <cell r="A4407">
            <v>38018</v>
          </cell>
          <cell r="B4407" t="str">
            <v>TE DE TRANSICAO, CPVC, SOLDAVEL, 22 MM X 1/2", PARA AGUA QUENTE</v>
          </cell>
          <cell r="C4407" t="str">
            <v xml:space="preserve">UN    </v>
          </cell>
          <cell r="D4407">
            <v>12.62</v>
          </cell>
        </row>
        <row r="4408">
          <cell r="A4408">
            <v>39895</v>
          </cell>
          <cell r="B4408" t="str">
            <v>TE DUPLA CURVA BRONZE/LATAO (REF 764) SEM ANEL DE SOLDA, ROSCA F X BOLSA X ROSCA F, 1/2" X 15 X 1/2"</v>
          </cell>
          <cell r="C4408" t="str">
            <v xml:space="preserve">UN    </v>
          </cell>
          <cell r="D4408">
            <v>33.97</v>
          </cell>
        </row>
        <row r="4409">
          <cell r="A4409">
            <v>39896</v>
          </cell>
          <cell r="B4409" t="str">
            <v>TE DUPLA CURVA BRONZE/LATAO (REF 764) SEM ANEL DE SOLDA, ROSCA F X BOLSA X ROSCA F, 3/4" X 22 X 3/4"</v>
          </cell>
          <cell r="C4409" t="str">
            <v xml:space="preserve">UN    </v>
          </cell>
          <cell r="D4409">
            <v>49.79</v>
          </cell>
        </row>
        <row r="4410">
          <cell r="A4410">
            <v>38873</v>
          </cell>
          <cell r="B4410" t="str">
            <v>TE METALICO, PARA CONEXAO COM ANEL DESLIZANTE EM TUBO PEX, DN 16 MM</v>
          </cell>
          <cell r="C4410" t="str">
            <v xml:space="preserve">UN    </v>
          </cell>
          <cell r="D4410">
            <v>12.79</v>
          </cell>
        </row>
        <row r="4411">
          <cell r="A4411">
            <v>38874</v>
          </cell>
          <cell r="B4411" t="str">
            <v>TE METALICO, PARA CONEXAO COM ANEL DESLIZANTE EM TUBO PEX, DN 20 MM</v>
          </cell>
          <cell r="C4411" t="str">
            <v xml:space="preserve">UN    </v>
          </cell>
          <cell r="D4411">
            <v>15.56</v>
          </cell>
        </row>
        <row r="4412">
          <cell r="A4412">
            <v>38875</v>
          </cell>
          <cell r="B4412" t="str">
            <v>TE METALICO, PARA CONEXAO COM ANEL DESLIZANTE EM TUBO PEX, DN 25 MM</v>
          </cell>
          <cell r="C4412" t="str">
            <v xml:space="preserve">UN    </v>
          </cell>
          <cell r="D4412">
            <v>27.5</v>
          </cell>
        </row>
        <row r="4413">
          <cell r="A4413">
            <v>38876</v>
          </cell>
          <cell r="B4413" t="str">
            <v>TE METALICO, PARA CONEXAO COM ANEL DESLIZANTE EM TUBO PEX, DN 32 MM</v>
          </cell>
          <cell r="C4413" t="str">
            <v xml:space="preserve">UN    </v>
          </cell>
          <cell r="D4413">
            <v>37</v>
          </cell>
        </row>
        <row r="4414">
          <cell r="A4414">
            <v>39000</v>
          </cell>
          <cell r="B4414" t="str">
            <v>TE MISTURADOR COM INSERTO METALICO, FEMEA, PPR, DN 25 MM X 3/4", PARA AGUA QUENTE E FRIA PREDIAL</v>
          </cell>
          <cell r="C4414" t="str">
            <v xml:space="preserve">UN    </v>
          </cell>
          <cell r="D4414">
            <v>25.19</v>
          </cell>
        </row>
        <row r="4415">
          <cell r="A4415">
            <v>38674</v>
          </cell>
          <cell r="B4415" t="str">
            <v>TE MISTURADOR DE TRANSICAO, CPVC, COM ROSCA, 22 MM X 3/4", PARA AGUA QUENTE</v>
          </cell>
          <cell r="C4415" t="str">
            <v xml:space="preserve">UN    </v>
          </cell>
          <cell r="D4415">
            <v>39.78</v>
          </cell>
        </row>
        <row r="4416">
          <cell r="A4416">
            <v>38911</v>
          </cell>
          <cell r="B4416" t="str">
            <v>TE MISTURADOR METALICO, PARA CONEXAO COM ANEL DESLIZANTE EM TUBO PEX, DN 16 MM X 1/2"</v>
          </cell>
          <cell r="C4416" t="str">
            <v xml:space="preserve">UN    </v>
          </cell>
          <cell r="D4416">
            <v>45.88</v>
          </cell>
        </row>
        <row r="4417">
          <cell r="A4417">
            <v>38912</v>
          </cell>
          <cell r="B4417" t="str">
            <v>TE MISTURADOR METALICO, PARA CONEXAO COM ANEL DESLIZANTE EM TUBO PEX, DN 20 MM X 3/4"</v>
          </cell>
          <cell r="C4417" t="str">
            <v xml:space="preserve">UN    </v>
          </cell>
          <cell r="D4417">
            <v>58.31</v>
          </cell>
        </row>
        <row r="4418">
          <cell r="A4418">
            <v>38019</v>
          </cell>
          <cell r="B4418" t="str">
            <v>TE MISTURADOR, CPVC, SOLDAVEL, 15 MM, PARA AGUA QUENTE</v>
          </cell>
          <cell r="C4418" t="str">
            <v xml:space="preserve">UN    </v>
          </cell>
          <cell r="D4418">
            <v>9.9700000000000006</v>
          </cell>
        </row>
        <row r="4419">
          <cell r="A4419">
            <v>38020</v>
          </cell>
          <cell r="B4419" t="str">
            <v>TE MISTURADOR, CPVC, SOLDAVEL, 22 MM, PARA AGUA QUENTE</v>
          </cell>
          <cell r="C4419" t="str">
            <v xml:space="preserve">UN    </v>
          </cell>
          <cell r="D4419">
            <v>12.62</v>
          </cell>
        </row>
        <row r="4420">
          <cell r="A4420">
            <v>38454</v>
          </cell>
          <cell r="B4420" t="str">
            <v>TE MISTURADOR, PPR, F M M, DN 20 X 20 MM, PARA AGUA QUENTE PREDIAL</v>
          </cell>
          <cell r="C4420" t="str">
            <v xml:space="preserve">UN    </v>
          </cell>
          <cell r="D4420">
            <v>4.59</v>
          </cell>
        </row>
        <row r="4421">
          <cell r="A4421">
            <v>38455</v>
          </cell>
          <cell r="B4421" t="str">
            <v>TE MISTURADOR, PPR, F M M, DN 25 X 25 MM, PARA AGUA QUENTE PREDIAL</v>
          </cell>
          <cell r="C4421" t="str">
            <v xml:space="preserve">UN    </v>
          </cell>
          <cell r="D4421">
            <v>4.21</v>
          </cell>
        </row>
        <row r="4422">
          <cell r="A4422">
            <v>38462</v>
          </cell>
          <cell r="B4422" t="str">
            <v>TE NORMAL, PPR, SOLDAVEL, 90 GRAUS, DN 110 X 110 X 110 MM, PARA AGUA QUENTE PREDIAL</v>
          </cell>
          <cell r="C4422" t="str">
            <v xml:space="preserve">UN    </v>
          </cell>
          <cell r="D4422">
            <v>118.78</v>
          </cell>
        </row>
        <row r="4423">
          <cell r="A4423">
            <v>36362</v>
          </cell>
          <cell r="B4423" t="str">
            <v>TE NORMAL, PPR, SOLDAVEL, 90 GRAUS, DN 20 X 20 X 20 MM, PARA AGUA QUENTE PREDIAL</v>
          </cell>
          <cell r="C4423" t="str">
            <v xml:space="preserve">UN    </v>
          </cell>
          <cell r="D4423">
            <v>1.81</v>
          </cell>
        </row>
        <row r="4424">
          <cell r="A4424">
            <v>36298</v>
          </cell>
          <cell r="B4424" t="str">
            <v>TE NORMAL, PPR, SOLDAVEL, 90 GRAUS, DN 25 X 25 X 25 MM, PARA AGUA QUENTE PREDIAL</v>
          </cell>
          <cell r="C4424" t="str">
            <v xml:space="preserve">UN    </v>
          </cell>
          <cell r="D4424">
            <v>2.68</v>
          </cell>
        </row>
        <row r="4425">
          <cell r="A4425">
            <v>38456</v>
          </cell>
          <cell r="B4425" t="str">
            <v>TE NORMAL, PPR, SOLDAVEL, 90 GRAUS, DN 32 X 32 X 32 MM, PARA AGUA QUENTE PREDIAL</v>
          </cell>
          <cell r="C4425" t="str">
            <v xml:space="preserve">UN    </v>
          </cell>
          <cell r="D4425">
            <v>4.37</v>
          </cell>
        </row>
        <row r="4426">
          <cell r="A4426">
            <v>38457</v>
          </cell>
          <cell r="B4426" t="str">
            <v>TE NORMAL, PPR, SOLDAVEL, 90 GRAUS, DN 40 X 40 X 40 MM, PARA AGUA QUENTE PREDIAL</v>
          </cell>
          <cell r="C4426" t="str">
            <v xml:space="preserve">UN    </v>
          </cell>
          <cell r="D4426">
            <v>9.85</v>
          </cell>
        </row>
        <row r="4427">
          <cell r="A4427">
            <v>38458</v>
          </cell>
          <cell r="B4427" t="str">
            <v>TE NORMAL, PPR, SOLDAVEL, 90 GRAUS, DN 50 X 50 X 50 MM, PARA AGUA QUENTE PREDIAL</v>
          </cell>
          <cell r="C4427" t="str">
            <v xml:space="preserve">UN    </v>
          </cell>
          <cell r="D4427">
            <v>13.2</v>
          </cell>
        </row>
        <row r="4428">
          <cell r="A4428">
            <v>38459</v>
          </cell>
          <cell r="B4428" t="str">
            <v>TE NORMAL, PPR, SOLDAVEL, 90 GRAUS, DN 63 X 63 X 63 MM, PARA AGUA QUENTE PREDIAL</v>
          </cell>
          <cell r="C4428" t="str">
            <v xml:space="preserve">UN    </v>
          </cell>
          <cell r="D4428">
            <v>23.29</v>
          </cell>
        </row>
        <row r="4429">
          <cell r="A4429">
            <v>38460</v>
          </cell>
          <cell r="B4429" t="str">
            <v>TE NORMAL, PPR, SOLDAVEL, 90 GRAUS, DN 75 X 75 X 75 MM, PARA AGUA QUENTE PREDIAL</v>
          </cell>
          <cell r="C4429" t="str">
            <v xml:space="preserve">UN    </v>
          </cell>
          <cell r="D4429">
            <v>48.66</v>
          </cell>
        </row>
        <row r="4430">
          <cell r="A4430">
            <v>38461</v>
          </cell>
          <cell r="B4430" t="str">
            <v>TE NORMAL, PPR, SOLDAVEL, 90 GRAUS, DN 90 X 90 X 90 MM, PARA AGUA QUENTE PREDIAL</v>
          </cell>
          <cell r="C4430" t="str">
            <v xml:space="preserve">UN    </v>
          </cell>
          <cell r="D4430">
            <v>74.22</v>
          </cell>
        </row>
        <row r="4431">
          <cell r="A4431">
            <v>7094</v>
          </cell>
          <cell r="B4431" t="str">
            <v>TE PVC ROSCAVEL 90 GRAUS, 1", PARA  AGUA FRIA PREDIAL</v>
          </cell>
          <cell r="C4431" t="str">
            <v xml:space="preserve">UN    </v>
          </cell>
          <cell r="D4431">
            <v>8.56</v>
          </cell>
        </row>
        <row r="4432">
          <cell r="A4432">
            <v>7116</v>
          </cell>
          <cell r="B4432" t="str">
            <v>TE PVC SOLDAVEL, BBB, 90 GRAUS, DN 40 MM, PARA ESGOTO SECUNDARIO PREDIAL</v>
          </cell>
          <cell r="C4432" t="str">
            <v xml:space="preserve">UN    </v>
          </cell>
          <cell r="D4432">
            <v>2.4300000000000002</v>
          </cell>
        </row>
        <row r="4433">
          <cell r="A4433">
            <v>7118</v>
          </cell>
          <cell r="B4433" t="str">
            <v>TE PVC, ROSCAVEL, 90 GRAUS, 1 1/2", AGUA FRIA PREDIAL</v>
          </cell>
          <cell r="C4433" t="str">
            <v xml:space="preserve">UN    </v>
          </cell>
          <cell r="D4433">
            <v>18.89</v>
          </cell>
        </row>
        <row r="4434">
          <cell r="A4434">
            <v>7117</v>
          </cell>
          <cell r="B4434" t="str">
            <v>TE PVC, ROSCAVEL, 90 GRAUS, 1 1/4", AGUA FRIA PREDIAL</v>
          </cell>
          <cell r="C4434" t="str">
            <v xml:space="preserve">UN    </v>
          </cell>
          <cell r="D4434">
            <v>16.79</v>
          </cell>
        </row>
        <row r="4435">
          <cell r="A4435">
            <v>7098</v>
          </cell>
          <cell r="B4435" t="str">
            <v>TE PVC, ROSCAVEL, 90 GRAUS, 1/2",  AGUA FRIA PREDIAL</v>
          </cell>
          <cell r="C4435" t="str">
            <v xml:space="preserve">UN    </v>
          </cell>
          <cell r="D4435">
            <v>2.34</v>
          </cell>
        </row>
        <row r="4436">
          <cell r="A4436">
            <v>7110</v>
          </cell>
          <cell r="B4436" t="str">
            <v>TE PVC, ROSCAVEL, 90 GRAUS, 2",  AGUA FRIA PREDIAL</v>
          </cell>
          <cell r="C4436" t="str">
            <v xml:space="preserve">UN    </v>
          </cell>
          <cell r="D4436">
            <v>41.08</v>
          </cell>
        </row>
        <row r="4437">
          <cell r="A4437">
            <v>7123</v>
          </cell>
          <cell r="B4437" t="str">
            <v>TE PVC, ROSCAVEL, 90 GRAUS, 3/4", AGUA FRIA PREDIAL</v>
          </cell>
          <cell r="C4437" t="str">
            <v xml:space="preserve">UN    </v>
          </cell>
          <cell r="D4437">
            <v>3.01</v>
          </cell>
        </row>
        <row r="4438">
          <cell r="A4438">
            <v>7121</v>
          </cell>
          <cell r="B4438" t="str">
            <v>TE PVC, SOLDAVEL, COM BUCHA DE LATAO NA BOLSA CENTRAL, 90 GRAUS, 20 MM X 1/2", PARA AGUA FRIA PREDIAL</v>
          </cell>
          <cell r="C4438" t="str">
            <v xml:space="preserve">UN    </v>
          </cell>
          <cell r="D4438">
            <v>7.42</v>
          </cell>
        </row>
        <row r="4439">
          <cell r="A4439">
            <v>7137</v>
          </cell>
          <cell r="B4439" t="str">
            <v>TE PVC, SOLDAVEL, COM BUCHA DE LATAO NA BOLSA CENTRAL, 90 GRAUS, 25 MM X 1/2", PARA AGUA FRIA PREDIAL</v>
          </cell>
          <cell r="C4439" t="str">
            <v xml:space="preserve">UN    </v>
          </cell>
          <cell r="D4439">
            <v>6.68</v>
          </cell>
        </row>
        <row r="4440">
          <cell r="A4440">
            <v>7122</v>
          </cell>
          <cell r="B4440" t="str">
            <v>TE PVC, SOLDAVEL, COM BUCHA DE LATAO NA BOLSA CENTRAL, 90 GRAUS, 25 MM X 3/4", PARA AGUA FRIA PREDIAL</v>
          </cell>
          <cell r="C4440" t="str">
            <v xml:space="preserve">UN    </v>
          </cell>
          <cell r="D4440">
            <v>8.35</v>
          </cell>
        </row>
        <row r="4441">
          <cell r="A4441">
            <v>7114</v>
          </cell>
          <cell r="B4441" t="str">
            <v>TE PVC, SOLDAVEL, COM BUCHA DE LATAO NA BOLSA CENTRAL, 90 GRAUS, 32 MM X 3/4", PARA AGUA FRIA PREDIAL</v>
          </cell>
          <cell r="C4441" t="str">
            <v xml:space="preserve">UN    </v>
          </cell>
          <cell r="D4441">
            <v>12.87</v>
          </cell>
        </row>
        <row r="4442">
          <cell r="A4442">
            <v>7109</v>
          </cell>
          <cell r="B4442" t="str">
            <v>TE PVC, SOLDAVEL, COM ROSCA NA BOLSA CENTRAL, 90 GRAUS, 20 MM X 1/2", PARA AGUA FRIA PREDIAL</v>
          </cell>
          <cell r="C4442" t="str">
            <v xml:space="preserve">UN    </v>
          </cell>
          <cell r="D4442">
            <v>2.25</v>
          </cell>
        </row>
        <row r="4443">
          <cell r="A4443">
            <v>7135</v>
          </cell>
          <cell r="B4443" t="str">
            <v>TE PVC, SOLDAVEL, COM ROSCA NA BOLSA CENTRAL, 90 GRAUS, 25 MM X 1/2", PARA AGUA FRIA PREDIAL</v>
          </cell>
          <cell r="C4443" t="str">
            <v xml:space="preserve">UN    </v>
          </cell>
          <cell r="D4443">
            <v>3.52</v>
          </cell>
        </row>
        <row r="4444">
          <cell r="A4444">
            <v>37947</v>
          </cell>
          <cell r="B4444" t="str">
            <v>TE PVC, SOLDAVEL, COM ROSCA NA BOLSA CENTRAL, 90 GRAUS, 25 MM X 3/4", PARA AGUA FRIA PREDIAL</v>
          </cell>
          <cell r="C4444" t="str">
            <v xml:space="preserve">UN    </v>
          </cell>
          <cell r="D4444">
            <v>3.56</v>
          </cell>
        </row>
        <row r="4445">
          <cell r="A4445">
            <v>7103</v>
          </cell>
          <cell r="B4445" t="str">
            <v>TE PVC, SOLDAVEL, COM ROSCA NA BOLSA CENTRAL, 90 GRAUS, 32 MM X 3/4", PARA AGUA FRIA PREDIAL</v>
          </cell>
          <cell r="C4445" t="str">
            <v xml:space="preserve">UN    </v>
          </cell>
          <cell r="D4445">
            <v>8.16</v>
          </cell>
        </row>
        <row r="4446">
          <cell r="A4446">
            <v>40419</v>
          </cell>
          <cell r="B4446" t="str">
            <v>TE RANHURADO EM FERRO FUNDIDO, DN 50 (2")</v>
          </cell>
          <cell r="C4446" t="str">
            <v xml:space="preserve">UN    </v>
          </cell>
          <cell r="D4446">
            <v>32.130000000000003</v>
          </cell>
        </row>
        <row r="4447">
          <cell r="A4447">
            <v>40420</v>
          </cell>
          <cell r="B4447" t="str">
            <v>TE RANHURADO EM FERRO FUNDIDO, DN 65 (2 1/2")</v>
          </cell>
          <cell r="C4447" t="str">
            <v xml:space="preserve">UN    </v>
          </cell>
          <cell r="D4447">
            <v>46.88</v>
          </cell>
        </row>
        <row r="4448">
          <cell r="A4448">
            <v>40421</v>
          </cell>
          <cell r="B4448" t="str">
            <v>TE RANHURADO EM FERRO FUNDIDO, DN 80 (3")</v>
          </cell>
          <cell r="C4448" t="str">
            <v xml:space="preserve">UN    </v>
          </cell>
          <cell r="D4448">
            <v>49.91</v>
          </cell>
        </row>
        <row r="4449">
          <cell r="A4449">
            <v>7126</v>
          </cell>
          <cell r="B4449" t="str">
            <v>TE REDUCAO PVC, ROSCAVEL, 90 GRAUS,  1.1/2" X 3/4",  AGUA FRIA PREDIAL</v>
          </cell>
          <cell r="C4449" t="str">
            <v xml:space="preserve">UN    </v>
          </cell>
          <cell r="D4449">
            <v>17.13</v>
          </cell>
        </row>
        <row r="4450">
          <cell r="A4450">
            <v>38905</v>
          </cell>
          <cell r="B4450" t="str">
            <v>TE ROSCA FEMEA, METALICO, PARA CONEXAO COM ANEL DESLIZANTE EM TUBO PEX, DN 16 MM X 1/2"</v>
          </cell>
          <cell r="C4450" t="str">
            <v xml:space="preserve">UN    </v>
          </cell>
          <cell r="D4450">
            <v>14.38</v>
          </cell>
        </row>
        <row r="4451">
          <cell r="A4451">
            <v>38907</v>
          </cell>
          <cell r="B4451" t="str">
            <v>TE ROSCA FEMEA, METALICO, PARA CONEXAO COM ANEL DESLIZANTE EM TUBO PEX, DN 20 MM X 1/2"</v>
          </cell>
          <cell r="C4451" t="str">
            <v xml:space="preserve">UN    </v>
          </cell>
          <cell r="D4451">
            <v>15.29</v>
          </cell>
        </row>
        <row r="4452">
          <cell r="A4452">
            <v>38908</v>
          </cell>
          <cell r="B4452" t="str">
            <v>TE ROSCA FEMEA, METALICO, PARA CONEXAO COM ANEL DESLIZANTE EM TUBO PEX, DN 20 MM X 3/4"</v>
          </cell>
          <cell r="C4452" t="str">
            <v xml:space="preserve">UN    </v>
          </cell>
          <cell r="D4452">
            <v>17.21</v>
          </cell>
        </row>
        <row r="4453">
          <cell r="A4453">
            <v>38909</v>
          </cell>
          <cell r="B4453" t="str">
            <v>TE ROSCA FEMEA, METALICO, PARA CONEXAO COM ANEL DESLIZANTE EM TUBO PEX, DN 25 MM X 1/2"</v>
          </cell>
          <cell r="C4453" t="str">
            <v xml:space="preserve">UN    </v>
          </cell>
          <cell r="D4453">
            <v>24.75</v>
          </cell>
        </row>
        <row r="4454">
          <cell r="A4454">
            <v>38910</v>
          </cell>
          <cell r="B4454" t="str">
            <v>TE ROSCA FEMEA, METALICO, PARA CONEXAO COM ANEL DESLIZANTE EM TUBO PEX, DN 25 MM X 3/4"</v>
          </cell>
          <cell r="C4454" t="str">
            <v xml:space="preserve">UN    </v>
          </cell>
          <cell r="D4454">
            <v>26.73</v>
          </cell>
        </row>
        <row r="4455">
          <cell r="A4455">
            <v>38897</v>
          </cell>
          <cell r="B4455" t="str">
            <v>TE ROSCA MACHO, METALICO, PARA CONEXAO COM ANEL DESLIZANTE EM TUBO PEX, DN 16 MM X 1/2"</v>
          </cell>
          <cell r="C4455" t="str">
            <v xml:space="preserve">UN    </v>
          </cell>
          <cell r="D4455">
            <v>14.44</v>
          </cell>
        </row>
        <row r="4456">
          <cell r="A4456">
            <v>38899</v>
          </cell>
          <cell r="B4456" t="str">
            <v>TE ROSCA MACHO, METALICO, PARA CONEXAO COM ANEL DESLIZANTE EM TUBO PEX, DN 20 MM X 1/2"</v>
          </cell>
          <cell r="C4456" t="str">
            <v xml:space="preserve">UN    </v>
          </cell>
          <cell r="D4456">
            <v>16.239999999999998</v>
          </cell>
        </row>
        <row r="4457">
          <cell r="A4457">
            <v>38900</v>
          </cell>
          <cell r="B4457" t="str">
            <v>TE ROSCA MACHO, METALICO, PARA CONEXAO COM ANEL DESLIZANTE EM TUBO PEX, DN 20 MM X 3/4"</v>
          </cell>
          <cell r="C4457" t="str">
            <v xml:space="preserve">UN    </v>
          </cell>
          <cell r="D4457">
            <v>16.93</v>
          </cell>
        </row>
        <row r="4458">
          <cell r="A4458">
            <v>38901</v>
          </cell>
          <cell r="B4458" t="str">
            <v>TE ROSCA MACHO, METALICO, PARA CONEXAO COM ANEL DESLIZANTE EM TUBO PEX, DN 25 MM X 3/4"</v>
          </cell>
          <cell r="C4458" t="str">
            <v xml:space="preserve">UN    </v>
          </cell>
          <cell r="D4458">
            <v>27.7</v>
          </cell>
        </row>
        <row r="4459">
          <cell r="A4459">
            <v>38904</v>
          </cell>
          <cell r="B4459" t="str">
            <v>TE ROSCA MACHO, METALICO, PARA CONEXAO COM ANEL DESLIZANTE EM TUBO PEX, DN 32 MM X 1"</v>
          </cell>
          <cell r="C4459" t="str">
            <v xml:space="preserve">UN    </v>
          </cell>
          <cell r="D4459">
            <v>45</v>
          </cell>
        </row>
        <row r="4460">
          <cell r="A4460">
            <v>38903</v>
          </cell>
          <cell r="B4460" t="str">
            <v>TE ROSCA MACHO, METALICO, PARA CONEXAO COM ANEL DESLIZANTE EM TUBO PEX, DN 32 MM X 3/4"</v>
          </cell>
          <cell r="C4460" t="str">
            <v xml:space="preserve">UN    </v>
          </cell>
          <cell r="D4460">
            <v>44.71</v>
          </cell>
        </row>
        <row r="4461">
          <cell r="A4461">
            <v>7091</v>
          </cell>
          <cell r="B4461" t="str">
            <v>TE SANITARIO, PVC, DN 100 X 100 MM, SERIE NORMAL, PARA ESGOTO PREDIAL</v>
          </cell>
          <cell r="C4461" t="str">
            <v xml:space="preserve">UN    </v>
          </cell>
          <cell r="D4461">
            <v>11.45</v>
          </cell>
        </row>
        <row r="4462">
          <cell r="A4462">
            <v>11655</v>
          </cell>
          <cell r="B4462" t="str">
            <v>TE SANITARIO, PVC, DN 100 X 50 MM, SERIE NORMAL, PARA ESGOTO PREDIAL</v>
          </cell>
          <cell r="C4462" t="str">
            <v xml:space="preserve">UN    </v>
          </cell>
          <cell r="D4462">
            <v>10.94</v>
          </cell>
        </row>
        <row r="4463">
          <cell r="A4463">
            <v>11656</v>
          </cell>
          <cell r="B4463" t="str">
            <v>TE SANITARIO, PVC, DN 100 X 75 MM, SERIE NORMAL PARA ESGOTO PREDIAL</v>
          </cell>
          <cell r="C4463" t="str">
            <v xml:space="preserve">UN    </v>
          </cell>
          <cell r="D4463">
            <v>11.44</v>
          </cell>
        </row>
        <row r="4464">
          <cell r="A4464">
            <v>37948</v>
          </cell>
          <cell r="B4464" t="str">
            <v>TE SANITARIO, PVC, DN 40 X 40 MM, SERIE NORMAL, PARA ESGOTO PREDIAL</v>
          </cell>
          <cell r="C4464" t="str">
            <v xml:space="preserve">UN    </v>
          </cell>
          <cell r="D4464">
            <v>2.3199999999999998</v>
          </cell>
        </row>
        <row r="4465">
          <cell r="A4465">
            <v>7097</v>
          </cell>
          <cell r="B4465" t="str">
            <v>TE SANITARIO, PVC, DN 50 X 50 MM, SERIE NORMAL, PARA ESGOTO PREDIAL</v>
          </cell>
          <cell r="C4465" t="str">
            <v xml:space="preserve">UN    </v>
          </cell>
          <cell r="D4465">
            <v>5.09</v>
          </cell>
        </row>
        <row r="4466">
          <cell r="A4466">
            <v>11657</v>
          </cell>
          <cell r="B4466" t="str">
            <v>TE SANITARIO, PVC, DN 75 X 50 MM, SERIE NORMAL PARA ESGOTO PREDIAL</v>
          </cell>
          <cell r="C4466" t="str">
            <v xml:space="preserve">UN    </v>
          </cell>
          <cell r="D4466">
            <v>9.9700000000000006</v>
          </cell>
        </row>
        <row r="4467">
          <cell r="A4467">
            <v>11658</v>
          </cell>
          <cell r="B4467" t="str">
            <v>TE SANITARIO, PVC, DN 75 X 75 MM, SERIE NORMAL PARA ESGOTO PREDIAL</v>
          </cell>
          <cell r="C4467" t="str">
            <v xml:space="preserve">UN    </v>
          </cell>
          <cell r="D4467">
            <v>10.16</v>
          </cell>
        </row>
        <row r="4468">
          <cell r="A4468">
            <v>7146</v>
          </cell>
          <cell r="B4468" t="str">
            <v>TE SOLDAVEL, PVC, 90 GRAUS, 110 MM, PARA AGUA FRIA PREDIAL (NBR 5648)</v>
          </cell>
          <cell r="C4468" t="str">
            <v xml:space="preserve">UN    </v>
          </cell>
          <cell r="D4468">
            <v>127.21</v>
          </cell>
        </row>
        <row r="4469">
          <cell r="A4469">
            <v>7138</v>
          </cell>
          <cell r="B4469" t="str">
            <v>TE SOLDAVEL, PVC, 90 GRAUS, 20 MM, PARA AGUA FRIA PREDIAL (NBR 5648)</v>
          </cell>
          <cell r="C4469" t="str">
            <v xml:space="preserve">UN    </v>
          </cell>
          <cell r="D4469">
            <v>0.72</v>
          </cell>
        </row>
        <row r="4470">
          <cell r="A4470">
            <v>7139</v>
          </cell>
          <cell r="B4470" t="str">
            <v>TE SOLDAVEL, PVC, 90 GRAUS, 25 MM, PARA AGUA FRIA PREDIAL (NBR 5648)</v>
          </cell>
          <cell r="C4470" t="str">
            <v xml:space="preserve">UN    </v>
          </cell>
          <cell r="D4470">
            <v>0.94</v>
          </cell>
        </row>
        <row r="4471">
          <cell r="A4471">
            <v>7140</v>
          </cell>
          <cell r="B4471" t="str">
            <v>TE SOLDAVEL, PVC, 90 GRAUS, 32 MM, PARA AGUA FRIA PREDIAL (NBR 5648)</v>
          </cell>
          <cell r="C4471" t="str">
            <v xml:space="preserve">UN    </v>
          </cell>
          <cell r="D4471">
            <v>3.14</v>
          </cell>
        </row>
        <row r="4472">
          <cell r="A4472">
            <v>7141</v>
          </cell>
          <cell r="B4472" t="str">
            <v>TE SOLDAVEL, PVC, 90 GRAUS, 40 MM, PARA AGUA FRIA PREDIAL (NBR 5648)</v>
          </cell>
          <cell r="C4472" t="str">
            <v xml:space="preserve">UN    </v>
          </cell>
          <cell r="D4472">
            <v>6.86</v>
          </cell>
        </row>
        <row r="4473">
          <cell r="A4473">
            <v>7143</v>
          </cell>
          <cell r="B4473" t="str">
            <v>TE SOLDAVEL, PVC, 90 GRAUS, 60 MM, PARA AGUA FRIA PREDIAL (NBR 5648)</v>
          </cell>
          <cell r="C4473" t="str">
            <v xml:space="preserve">UN    </v>
          </cell>
          <cell r="D4473">
            <v>22.86</v>
          </cell>
        </row>
        <row r="4474">
          <cell r="A4474">
            <v>7144</v>
          </cell>
          <cell r="B4474" t="str">
            <v>TE SOLDAVEL, PVC, 90 GRAUS, 75 MM, PARA AGUA FRIA PREDIAL (NBR 5648)</v>
          </cell>
          <cell r="C4474" t="str">
            <v xml:space="preserve">UN    </v>
          </cell>
          <cell r="D4474">
            <v>45.74</v>
          </cell>
        </row>
        <row r="4475">
          <cell r="A4475">
            <v>7145</v>
          </cell>
          <cell r="B4475" t="str">
            <v>TE SOLDAVEL, PVC, 90 GRAUS, 85 MM, PARA AGUA FRIA PREDIAL (NBR 5648)</v>
          </cell>
          <cell r="C4475" t="str">
            <v xml:space="preserve">UN    </v>
          </cell>
          <cell r="D4475">
            <v>75.010000000000005</v>
          </cell>
        </row>
        <row r="4476">
          <cell r="A4476">
            <v>7142</v>
          </cell>
          <cell r="B4476" t="str">
            <v>TE SOLDAVEL, PVC, 90 GRAUS,50 MM, PARA AGUA FRIA PREDIAL (NBR 5648)</v>
          </cell>
          <cell r="C4476" t="str">
            <v xml:space="preserve">UN    </v>
          </cell>
          <cell r="D4476">
            <v>7.67</v>
          </cell>
        </row>
        <row r="4477">
          <cell r="A4477">
            <v>3593</v>
          </cell>
          <cell r="B4477" t="str">
            <v>TE 45 GRAUS DE FERRO GALVANIZADO, COM ROSCA BSP, DE 1 1/2"</v>
          </cell>
          <cell r="C4477" t="str">
            <v xml:space="preserve">UN    </v>
          </cell>
          <cell r="D4477">
            <v>50.87</v>
          </cell>
        </row>
        <row r="4478">
          <cell r="A4478">
            <v>3588</v>
          </cell>
          <cell r="B4478" t="str">
            <v>TE 45 GRAUS DE FERRO GALVANIZADO, COM ROSCA BSP, DE 1 1/4"</v>
          </cell>
          <cell r="C4478" t="str">
            <v xml:space="preserve">UN    </v>
          </cell>
          <cell r="D4478">
            <v>39.21</v>
          </cell>
        </row>
        <row r="4479">
          <cell r="A4479">
            <v>3585</v>
          </cell>
          <cell r="B4479" t="str">
            <v>TE 45 GRAUS DE FERRO GALVANIZADO, COM ROSCA BSP, DE 1/2"</v>
          </cell>
          <cell r="C4479" t="str">
            <v xml:space="preserve">UN    </v>
          </cell>
          <cell r="D4479">
            <v>12.11</v>
          </cell>
        </row>
        <row r="4480">
          <cell r="A4480">
            <v>3587</v>
          </cell>
          <cell r="B4480" t="str">
            <v>TE 45 GRAUS DE FERRO GALVANIZADO, COM ROSCA BSP, DE 1"</v>
          </cell>
          <cell r="C4480" t="str">
            <v xml:space="preserve">UN    </v>
          </cell>
          <cell r="D4480">
            <v>24.33</v>
          </cell>
        </row>
        <row r="4481">
          <cell r="A4481">
            <v>3590</v>
          </cell>
          <cell r="B4481" t="str">
            <v>TE 45 GRAUS DE FERRO GALVANIZADO, COM ROSCA BSP, DE 2 1/2"</v>
          </cell>
          <cell r="C4481" t="str">
            <v xml:space="preserve">UN    </v>
          </cell>
          <cell r="D4481">
            <v>144.44</v>
          </cell>
        </row>
        <row r="4482">
          <cell r="A4482">
            <v>3589</v>
          </cell>
          <cell r="B4482" t="str">
            <v>TE 45 GRAUS DE FERRO GALVANIZADO, COM ROSCA BSP, DE 2"</v>
          </cell>
          <cell r="C4482" t="str">
            <v xml:space="preserve">UN    </v>
          </cell>
          <cell r="D4482">
            <v>77.53</v>
          </cell>
        </row>
        <row r="4483">
          <cell r="A4483">
            <v>3586</v>
          </cell>
          <cell r="B4483" t="str">
            <v>TE 45 GRAUS DE FERRO GALVANIZADO, COM ROSCA BSP, DE 3/4"</v>
          </cell>
          <cell r="C4483" t="str">
            <v xml:space="preserve">UN    </v>
          </cell>
          <cell r="D4483">
            <v>15.86</v>
          </cell>
        </row>
        <row r="4484">
          <cell r="A4484">
            <v>3592</v>
          </cell>
          <cell r="B4484" t="str">
            <v>TE 45 GRAUS DE FERRO GALVANIZADO, COM ROSCA BSP, DE 3"</v>
          </cell>
          <cell r="C4484" t="str">
            <v xml:space="preserve">UN    </v>
          </cell>
          <cell r="D4484">
            <v>228.32</v>
          </cell>
        </row>
        <row r="4485">
          <cell r="A4485">
            <v>3591</v>
          </cell>
          <cell r="B4485" t="str">
            <v>TE 45 GRAUS DE FERRO GALVANIZADO, COM ROSCA BSP, DE 4"</v>
          </cell>
          <cell r="C4485" t="str">
            <v xml:space="preserve">UN    </v>
          </cell>
          <cell r="D4485">
            <v>366</v>
          </cell>
        </row>
        <row r="4486">
          <cell r="A4486">
            <v>40396</v>
          </cell>
          <cell r="B4486" t="str">
            <v>TE 90 GRAUS EM ACO CARBONO, SOLDAVEL, PRESSAO 3.000 LBS, DN 1 1/2"</v>
          </cell>
          <cell r="C4486" t="str">
            <v xml:space="preserve">UN    </v>
          </cell>
          <cell r="D4486">
            <v>73.95</v>
          </cell>
        </row>
        <row r="4487">
          <cell r="A4487">
            <v>40395</v>
          </cell>
          <cell r="B4487" t="str">
            <v>TE 90 GRAUS EM ACO CARBONO, SOLDAVEL, PRESSAO 3.000 LBS, DN 1 1/4"</v>
          </cell>
          <cell r="C4487" t="str">
            <v xml:space="preserve">UN    </v>
          </cell>
          <cell r="D4487">
            <v>56.75</v>
          </cell>
        </row>
        <row r="4488">
          <cell r="A4488">
            <v>40392</v>
          </cell>
          <cell r="B4488" t="str">
            <v>TE 90 GRAUS EM ACO CARBONO, SOLDAVEL, PRESSAO 3.000 LBS, DN 1/2"</v>
          </cell>
          <cell r="C4488" t="str">
            <v xml:space="preserve">UN    </v>
          </cell>
          <cell r="D4488">
            <v>18.260000000000002</v>
          </cell>
        </row>
        <row r="4489">
          <cell r="A4489">
            <v>40394</v>
          </cell>
          <cell r="B4489" t="str">
            <v>TE 90 GRAUS EM ACO CARBONO, SOLDAVEL, PRESSAO 3.000 LBS, DN 1"</v>
          </cell>
          <cell r="C4489" t="str">
            <v xml:space="preserve">UN    </v>
          </cell>
          <cell r="D4489">
            <v>36.950000000000003</v>
          </cell>
        </row>
        <row r="4490">
          <cell r="A4490">
            <v>40398</v>
          </cell>
          <cell r="B4490" t="str">
            <v>TE 90 GRAUS EM ACO CARBONO, SOLDAVEL, PRESSAO 3.000 LBS, DN 2 1/2"</v>
          </cell>
          <cell r="C4490" t="str">
            <v xml:space="preserve">UN    </v>
          </cell>
          <cell r="D4490">
            <v>237.26</v>
          </cell>
        </row>
        <row r="4491">
          <cell r="A4491">
            <v>40397</v>
          </cell>
          <cell r="B4491" t="str">
            <v>TE 90 GRAUS EM ACO CARBONO, SOLDAVEL, PRESSAO 3.000 LBS, DN 2"</v>
          </cell>
          <cell r="C4491" t="str">
            <v xml:space="preserve">UN    </v>
          </cell>
          <cell r="D4491">
            <v>121.5</v>
          </cell>
        </row>
        <row r="4492">
          <cell r="A4492">
            <v>40393</v>
          </cell>
          <cell r="B4492" t="str">
            <v>TE 90 GRAUS EM ACO CARBONO, SOLDAVEL, PRESSAO 3.000 LBS, DN 3/4"</v>
          </cell>
          <cell r="C4492" t="str">
            <v xml:space="preserve">UN    </v>
          </cell>
          <cell r="D4492">
            <v>23.52</v>
          </cell>
        </row>
        <row r="4493">
          <cell r="A4493">
            <v>40399</v>
          </cell>
          <cell r="B4493" t="str">
            <v>TE 90 GRAUS EM ACO CARBONO, SOLDAVEL, PRESSAO 3.000 LBS, DN 3"</v>
          </cell>
          <cell r="C4493" t="str">
            <v xml:space="preserve">UN    </v>
          </cell>
          <cell r="D4493">
            <v>388.15</v>
          </cell>
        </row>
        <row r="4494">
          <cell r="A4494">
            <v>39322</v>
          </cell>
          <cell r="B4494" t="str">
            <v>TE, PLASTICO, DN 16 MM, PARA CONEXAO COM CRIMPAGEM EM TUBO PEX</v>
          </cell>
          <cell r="C4494" t="str">
            <v xml:space="preserve">UN    </v>
          </cell>
          <cell r="D4494">
            <v>17.440000000000001</v>
          </cell>
        </row>
        <row r="4495">
          <cell r="A4495">
            <v>39289</v>
          </cell>
          <cell r="B4495" t="str">
            <v>TE, PLASTICO, DN 20 MM, PARA CONEXAO COM CRIMPAGEM EM TUBO PEX</v>
          </cell>
          <cell r="C4495" t="str">
            <v xml:space="preserve">UN    </v>
          </cell>
          <cell r="D4495">
            <v>20.89</v>
          </cell>
        </row>
        <row r="4496">
          <cell r="A4496">
            <v>39290</v>
          </cell>
          <cell r="B4496" t="str">
            <v>TE, PLASTICO, DN 25 MM, PARA CONEXAO COM CRIMPAGEM EM TUBO PEX</v>
          </cell>
          <cell r="C4496" t="str">
            <v xml:space="preserve">UN    </v>
          </cell>
          <cell r="D4496">
            <v>35.46</v>
          </cell>
        </row>
        <row r="4497">
          <cell r="A4497">
            <v>39291</v>
          </cell>
          <cell r="B4497" t="str">
            <v>TE, PLASTICO, DN 32 MM, PARA CONEXAO COM CRIMPAGEM EM TUBO PEX</v>
          </cell>
          <cell r="C4497" t="str">
            <v xml:space="preserve">UN    </v>
          </cell>
          <cell r="D4497">
            <v>53.09</v>
          </cell>
        </row>
        <row r="4498">
          <cell r="A4498">
            <v>20174</v>
          </cell>
          <cell r="B4498" t="str">
            <v>TE, PVC LEVE, CURTO, 90 GRAUS, 150 MM, PARA ESGOTO</v>
          </cell>
          <cell r="C4498" t="str">
            <v xml:space="preserve">UN    </v>
          </cell>
          <cell r="D4498">
            <v>27.91</v>
          </cell>
        </row>
        <row r="4499">
          <cell r="A4499">
            <v>41892</v>
          </cell>
          <cell r="B4499" t="str">
            <v>TE, PVC PBA, BBB, 90 GRAUS, DN 100 / DE 110 MM, PARA REDE  AGUA (NBR 10351)</v>
          </cell>
          <cell r="C4499" t="str">
            <v xml:space="preserve">UN    </v>
          </cell>
          <cell r="D4499">
            <v>85.06</v>
          </cell>
        </row>
        <row r="4500">
          <cell r="A4500">
            <v>7048</v>
          </cell>
          <cell r="B4500" t="str">
            <v>TE, PVC PBA, BBB, 90 GRAUS, DN 50 / DE 60 MM, PARA REDE AGUA (NBR 10351)</v>
          </cell>
          <cell r="C4500" t="str">
            <v xml:space="preserve">UN    </v>
          </cell>
          <cell r="D4500">
            <v>18.36</v>
          </cell>
        </row>
        <row r="4501">
          <cell r="A4501">
            <v>7088</v>
          </cell>
          <cell r="B4501" t="str">
            <v>TE, PVC PBA, BBB, 90 GRAUS, DN 75 / DE 85 MM, PARA REDE AGUA (NBR 10351)</v>
          </cell>
          <cell r="C4501" t="str">
            <v xml:space="preserve">UN    </v>
          </cell>
          <cell r="D4501">
            <v>40.15</v>
          </cell>
        </row>
        <row r="4502">
          <cell r="A4502">
            <v>20179</v>
          </cell>
          <cell r="B4502" t="str">
            <v>TE, PVC, SERIE R, 100 X 100 MM, PARA ESGOTO PREDIAL</v>
          </cell>
          <cell r="C4502" t="str">
            <v xml:space="preserve">UN    </v>
          </cell>
          <cell r="D4502">
            <v>37.57</v>
          </cell>
        </row>
        <row r="4503">
          <cell r="A4503">
            <v>20178</v>
          </cell>
          <cell r="B4503" t="str">
            <v>TE, PVC, SERIE R, 100 X 75 MM, PARA ESGOTO PREDIAL</v>
          </cell>
          <cell r="C4503" t="str">
            <v xml:space="preserve">UN    </v>
          </cell>
          <cell r="D4503">
            <v>33.200000000000003</v>
          </cell>
        </row>
        <row r="4504">
          <cell r="A4504">
            <v>20180</v>
          </cell>
          <cell r="B4504" t="str">
            <v>TE, PVC, SERIE R, 150 X 100 MM, PARA ESGOTO PREDIAL</v>
          </cell>
          <cell r="C4504" t="str">
            <v xml:space="preserve">UN    </v>
          </cell>
          <cell r="D4504">
            <v>61.01</v>
          </cell>
        </row>
        <row r="4505">
          <cell r="A4505">
            <v>20181</v>
          </cell>
          <cell r="B4505" t="str">
            <v>TE, PVC, SERIE R, 150 X 150 MM, PARA ESGOTO PREDIAL</v>
          </cell>
          <cell r="C4505" t="str">
            <v xml:space="preserve">UN    </v>
          </cell>
          <cell r="D4505">
            <v>90.51</v>
          </cell>
        </row>
        <row r="4506">
          <cell r="A4506">
            <v>20177</v>
          </cell>
          <cell r="B4506" t="str">
            <v>TE, PVC, SERIE R, 75 X 75 MM, PARA ESGOTO PREDIAL</v>
          </cell>
          <cell r="C4506" t="str">
            <v xml:space="preserve">UN    </v>
          </cell>
          <cell r="D4506">
            <v>21.76</v>
          </cell>
        </row>
        <row r="4507">
          <cell r="A4507">
            <v>7082</v>
          </cell>
          <cell r="B4507" t="str">
            <v>TE, PVC, 90 GRAUS, BBB, JE, DN 100 MM, PARA REDE COLETORA ESGOTO (NBR 10569)</v>
          </cell>
          <cell r="C4507" t="str">
            <v xml:space="preserve">UN    </v>
          </cell>
          <cell r="D4507">
            <v>30.08</v>
          </cell>
        </row>
        <row r="4508">
          <cell r="A4508">
            <v>42707</v>
          </cell>
          <cell r="B4508" t="str">
            <v>TE, PVC, 90 GRAUS, BBB, JE, DN 100 MM, PARA TUBO CORRUGADO E/OU LISO, REDE COLETORA ESGOTO (NBR 10569</v>
          </cell>
          <cell r="C4508" t="str">
            <v xml:space="preserve">UN    </v>
          </cell>
          <cell r="D4508">
            <v>81.680000000000007</v>
          </cell>
        </row>
        <row r="4509">
          <cell r="A4509">
            <v>7069</v>
          </cell>
          <cell r="B4509" t="str">
            <v>TE, PVC, 90 GRAUS, BBB, JE, DN 150 MM, PARA REDE COLETORA ESGOTO (NBR 10569)</v>
          </cell>
          <cell r="C4509" t="str">
            <v xml:space="preserve">UN    </v>
          </cell>
          <cell r="D4509">
            <v>66.75</v>
          </cell>
        </row>
        <row r="4510">
          <cell r="A4510">
            <v>42708</v>
          </cell>
          <cell r="B4510" t="str">
            <v>TE, PVC, 90 GRAUS, BBB, JE, DN 150 MM, PARA TUBO CORRUGADO E/OU LISO, REDE COLETORA ESGOTO (NBR 10569)</v>
          </cell>
          <cell r="C4510" t="str">
            <v xml:space="preserve">UN    </v>
          </cell>
          <cell r="D4510">
            <v>214.4</v>
          </cell>
        </row>
        <row r="4511">
          <cell r="A4511">
            <v>7070</v>
          </cell>
          <cell r="B4511" t="str">
            <v>TE, PVC, 90 GRAUS, BBB, JE, DN 200 MM, PARA REDE COLETORA ESGOTO (NBR 10569)</v>
          </cell>
          <cell r="C4511" t="str">
            <v xml:space="preserve">UN    </v>
          </cell>
          <cell r="D4511">
            <v>95.59</v>
          </cell>
        </row>
        <row r="4512">
          <cell r="A4512">
            <v>42709</v>
          </cell>
          <cell r="B4512" t="str">
            <v>TE, PVC, 90 GRAUS, BBB, JE, DN 200 MM, PARA TUBO CORRUGADO E/OU LISO, REDE COLETORA ESGOTO (NBR 10569)</v>
          </cell>
          <cell r="C4512" t="str">
            <v xml:space="preserve">UN    </v>
          </cell>
          <cell r="D4512">
            <v>320.64</v>
          </cell>
        </row>
        <row r="4513">
          <cell r="A4513">
            <v>42710</v>
          </cell>
          <cell r="B4513" t="str">
            <v>TE, PVC, 90 GRAUS, BBB, JE, DN 250 MM, PARA TUBO CORRUGADO E/OU LISO, REDE COLETORA ESGOTO (NBR 10569)</v>
          </cell>
          <cell r="C4513" t="str">
            <v xml:space="preserve">UN    </v>
          </cell>
          <cell r="D4513">
            <v>921.7</v>
          </cell>
        </row>
        <row r="4514">
          <cell r="A4514">
            <v>42716</v>
          </cell>
          <cell r="B4514" t="str">
            <v>TE, PVC, 90 GRAUS, BBB, JE, DN 300 MM, PARA TUBO CORRUGADO E/OU LISO, REDE COLETORA ESGOTO (NBR 10569)</v>
          </cell>
          <cell r="C4514" t="str">
            <v xml:space="preserve">UN    </v>
          </cell>
          <cell r="D4514">
            <v>1147.21</v>
          </cell>
        </row>
        <row r="4515">
          <cell r="A4515">
            <v>20172</v>
          </cell>
          <cell r="B4515" t="str">
            <v>TE, PVC, 90 GRAUS, BBP, JE, DN 100 MM, PARA REDE COLETORA ESGOTO (NBR 10569)</v>
          </cell>
          <cell r="C4515" t="str">
            <v xml:space="preserve">UN    </v>
          </cell>
          <cell r="D4515">
            <v>22.06</v>
          </cell>
        </row>
        <row r="4516">
          <cell r="A4516">
            <v>40945</v>
          </cell>
          <cell r="B4516" t="str">
            <v>TECNICO DE EDIFICACOES</v>
          </cell>
          <cell r="C4516" t="str">
            <v xml:space="preserve">H     </v>
          </cell>
          <cell r="D4516">
            <v>13.66</v>
          </cell>
        </row>
        <row r="4517">
          <cell r="A4517">
            <v>40946</v>
          </cell>
          <cell r="B4517" t="str">
            <v>TECNICO DE EDIFICACOES (MENSALISTA)</v>
          </cell>
          <cell r="C4517" t="str">
            <v xml:space="preserve">MES   </v>
          </cell>
          <cell r="D4517">
            <v>2422.54</v>
          </cell>
        </row>
        <row r="4518">
          <cell r="A4518">
            <v>7153</v>
          </cell>
          <cell r="B4518" t="str">
            <v>TECNICO EM LABORATORIO E CAMPO DE CONSTRUCAO CIVIL</v>
          </cell>
          <cell r="C4518" t="str">
            <v xml:space="preserve">H     </v>
          </cell>
          <cell r="D4518">
            <v>21.31</v>
          </cell>
        </row>
        <row r="4519">
          <cell r="A4519">
            <v>41089</v>
          </cell>
          <cell r="B4519" t="str">
            <v>TECNICO EM LABORATORIO E CAMPO DE CONSTRUCAO CIVIL (MENSALISTA)</v>
          </cell>
          <cell r="C4519" t="str">
            <v xml:space="preserve">MES   </v>
          </cell>
          <cell r="D4519">
            <v>3781.44</v>
          </cell>
        </row>
        <row r="4520">
          <cell r="A4520">
            <v>40943</v>
          </cell>
          <cell r="B4520" t="str">
            <v>TECNICO EM SEGURANCA DO TRABALHO</v>
          </cell>
          <cell r="C4520" t="str">
            <v xml:space="preserve">H     </v>
          </cell>
          <cell r="D4520">
            <v>22.44</v>
          </cell>
        </row>
        <row r="4521">
          <cell r="A4521">
            <v>40944</v>
          </cell>
          <cell r="B4521" t="str">
            <v>TECNICO EM SEGURANCA DO TRABALHO (MENSALISTA)</v>
          </cell>
          <cell r="C4521" t="str">
            <v xml:space="preserve">MES   </v>
          </cell>
          <cell r="D4521">
            <v>3982.35</v>
          </cell>
        </row>
        <row r="4522">
          <cell r="A4522">
            <v>6175</v>
          </cell>
          <cell r="B4522" t="str">
            <v>TECNICO EM SONDAGEM</v>
          </cell>
          <cell r="C4522" t="str">
            <v xml:space="preserve">H     </v>
          </cell>
          <cell r="D4522">
            <v>18.989999999999998</v>
          </cell>
        </row>
        <row r="4523">
          <cell r="A4523">
            <v>41092</v>
          </cell>
          <cell r="B4523" t="str">
            <v>TECNICO EM SONDAGEM (MENSALISTA)</v>
          </cell>
          <cell r="C4523" t="str">
            <v xml:space="preserve">MES   </v>
          </cell>
          <cell r="D4523">
            <v>3368.19</v>
          </cell>
        </row>
        <row r="4524">
          <cell r="A4524">
            <v>37712</v>
          </cell>
          <cell r="B4524" t="str">
            <v>TELA ARAME GALVANIZADO REVESTIDO COM POLIMERO, MALHA HEXAGONAL DUPLA TORCAO, 8 X 10 CM (ZN/AL REVESTIDO COM POLIMERO), FIO *2,4* MM</v>
          </cell>
          <cell r="C4524" t="str">
            <v xml:space="preserve">M2    </v>
          </cell>
          <cell r="D4524">
            <v>61.49</v>
          </cell>
        </row>
        <row r="4525">
          <cell r="A4525">
            <v>34547</v>
          </cell>
          <cell r="B4525" t="str">
            <v>TELA DE ACO SOLDADA GALVANIZADA/ZINCADA PARA ALVENARIA, FIO  D = *1,20 A 1,70* MM, MALHA 15 X 15 MM, (C X L) *50 X 12* CM</v>
          </cell>
          <cell r="C4525" t="str">
            <v xml:space="preserve">M     </v>
          </cell>
          <cell r="D4525">
            <v>2.94</v>
          </cell>
        </row>
        <row r="4526">
          <cell r="A4526">
            <v>34548</v>
          </cell>
          <cell r="B4526" t="str">
            <v>TELA DE ACO SOLDADA GALVANIZADA/ZINCADA PARA ALVENARIA, FIO  D = *1,20 A 1,70* MM, MALHA 15 X 15 MM, (C X L) *50 X 17,5* CM</v>
          </cell>
          <cell r="C4526" t="str">
            <v xml:space="preserve">M     </v>
          </cell>
          <cell r="D4526">
            <v>4.83</v>
          </cell>
        </row>
        <row r="4527">
          <cell r="A4527">
            <v>34558</v>
          </cell>
          <cell r="B4527" t="str">
            <v>TELA DE ACO SOLDADA GALVANIZADA/ZINCADA PARA ALVENARIA, FIO D = *1,20 A 1,70* MM, MALHA 15 X 15 MM, (C X L) *50 X 10,5* CM</v>
          </cell>
          <cell r="C4527" t="str">
            <v xml:space="preserve">M     </v>
          </cell>
          <cell r="D4527">
            <v>2.39</v>
          </cell>
        </row>
        <row r="4528">
          <cell r="A4528">
            <v>34550</v>
          </cell>
          <cell r="B4528" t="str">
            <v>TELA DE ACO SOLDADA GALVANIZADA/ZINCADA PARA ALVENARIA, FIO D = *1,20 A 1,70* MM, MALHA 15 X 15 MM, (C X L) *50 X 6* CM</v>
          </cell>
          <cell r="C4528" t="str">
            <v xml:space="preserve">M     </v>
          </cell>
          <cell r="D4528">
            <v>1.27</v>
          </cell>
        </row>
        <row r="4529">
          <cell r="A4529">
            <v>34557</v>
          </cell>
          <cell r="B4529" t="str">
            <v>TELA DE ACO SOLDADA GALVANIZADA/ZINCADA PARA ALVENARIA, FIO D = *1,20 A 1,70* MM, MALHA 15 X 15 MM, (C X L) *50 X 7,5* CM</v>
          </cell>
          <cell r="C4529" t="str">
            <v xml:space="preserve">M     </v>
          </cell>
          <cell r="D4529">
            <v>1.86</v>
          </cell>
        </row>
        <row r="4530">
          <cell r="A4530">
            <v>37411</v>
          </cell>
          <cell r="B4530" t="str">
            <v>TELA DE ACO SOLDADA GALVANIZADA/ZINCADA PARA ALVENARIA, FIO D = *1,24 MM, MALHA 25 X 25 MM</v>
          </cell>
          <cell r="C4530" t="str">
            <v xml:space="preserve">M2    </v>
          </cell>
          <cell r="D4530">
            <v>13.63</v>
          </cell>
        </row>
        <row r="4531">
          <cell r="A4531">
            <v>39508</v>
          </cell>
          <cell r="B4531" t="str">
            <v>TELA DE ACO SOLDADA NERVURADA, CA-60, L-159, (1,69 KG/M2), DIAMETRO DO FIO = 4,5 MM, LARGURA = 2,45 M, ESPACAMENTO DA MALHA = 30 X 10 CM</v>
          </cell>
          <cell r="C4531" t="str">
            <v xml:space="preserve">M2    </v>
          </cell>
          <cell r="D4531">
            <v>7.66</v>
          </cell>
        </row>
        <row r="4532">
          <cell r="A4532">
            <v>39507</v>
          </cell>
          <cell r="B4532" t="str">
            <v>TELA DE ACO SOLDADA NERVURADA, CA-60, Q-113, (1,8 KG/M2), DIAMETRO DO FIO = 3,8 MM, LARGURA = 2,45 M, ESPACAMENTO DA MALHA = 10 X 10 CM</v>
          </cell>
          <cell r="C4532" t="str">
            <v xml:space="preserve">M2    </v>
          </cell>
          <cell r="D4532">
            <v>11.42</v>
          </cell>
        </row>
        <row r="4533">
          <cell r="A4533">
            <v>7155</v>
          </cell>
          <cell r="B4533" t="str">
            <v>TELA DE ACO SOLDADA NERVURADA, CA-60, Q-138, (2,20 KG/M2), DIAMETRO DO FIO = 4,2 MM, LARGURA = 2,45 M, ESPACAMENTO DA MALHA = 10  X 10 CM</v>
          </cell>
          <cell r="C4533" t="str">
            <v xml:space="preserve">M2    </v>
          </cell>
          <cell r="D4533">
            <v>14.66</v>
          </cell>
        </row>
        <row r="4534">
          <cell r="A4534">
            <v>42406</v>
          </cell>
          <cell r="B4534" t="str">
            <v>TELA DE ACO SOLDADA NERVURADA, CA-60, Q-159, (2,52 KG/M2), DIAMETRO DO FIO = 4,5 MM, LARGURA =  2,45 M, ESPACAMENTO DA MALHA = 10 X 10 CM</v>
          </cell>
          <cell r="C4534" t="str">
            <v xml:space="preserve">M2    </v>
          </cell>
          <cell r="D4534">
            <v>16.809999999999999</v>
          </cell>
        </row>
        <row r="4535">
          <cell r="A4535">
            <v>7156</v>
          </cell>
          <cell r="B4535" t="str">
            <v>TELA DE ACO SOLDADA NERVURADA, CA-60, Q-196, (3,11 KG/M2), DIAMETRO DO FIO = 5,0 MM, LARGURA = 2,45 M, ESPACAMENTO DA MALHA = 10 X 10 CM</v>
          </cell>
          <cell r="C4535" t="str">
            <v xml:space="preserve">M2    </v>
          </cell>
          <cell r="D4535">
            <v>21.04</v>
          </cell>
        </row>
        <row r="4536">
          <cell r="A4536">
            <v>43127</v>
          </cell>
          <cell r="B4536" t="str">
            <v>TELA DE ACO SOLDADA NERVURADA, CA-60, Q-283 (4,48 KG/M2), DIAMETRO DO FIO = 6,0 MM, LARGURA = 2,45 X 6,00 M DE COMPRIMENTO, ESPACAMENTO DA MALHA = 10 X 10 CM</v>
          </cell>
          <cell r="C4536" t="str">
            <v xml:space="preserve">M2    </v>
          </cell>
          <cell r="D4536">
            <v>30.11</v>
          </cell>
        </row>
        <row r="4537">
          <cell r="A4537">
            <v>10917</v>
          </cell>
          <cell r="B4537" t="str">
            <v>TELA DE ACO SOLDADA NERVURADA, CA-60, Q-61, (0,97 KG/M2), DIAMETRO DO FIO = 3,4 MM, LARGURA = 2,45 M, ESPACAMENTO DA MALHA = 15 X 15 CM</v>
          </cell>
          <cell r="C4537" t="str">
            <v xml:space="preserve">M2    </v>
          </cell>
          <cell r="D4537">
            <v>6.35</v>
          </cell>
        </row>
        <row r="4538">
          <cell r="A4538">
            <v>21141</v>
          </cell>
          <cell r="B4538" t="str">
            <v>TELA DE ACO SOLDADA NERVURADA, CA-60, Q-92, (1,48 KG/M2), DIAMETRO DO FIO = 4,2 MM, LARGURA = 2,45 X 60 M DE COMPRIMENTO, ESPACAMENTO DA MALHA = 15  X 15 CM</v>
          </cell>
          <cell r="C4538" t="str">
            <v xml:space="preserve">M2    </v>
          </cell>
          <cell r="D4538">
            <v>9.84</v>
          </cell>
        </row>
        <row r="4539">
          <cell r="A4539">
            <v>39509</v>
          </cell>
          <cell r="B4539" t="str">
            <v>TELA DE ACO SOLDADA NERVURADA, CA-60, T-196, (2,11 KG/M2), DIAMETRO DO FIO = 5,0 MM, LARGURA = 2,45 M, ESPACAMENTO DA MALHA = 30 X 10 CM</v>
          </cell>
          <cell r="C4539" t="str">
            <v xml:space="preserve">M2    </v>
          </cell>
          <cell r="D4539">
            <v>9.4600000000000009</v>
          </cell>
        </row>
        <row r="4540">
          <cell r="A4540">
            <v>25988</v>
          </cell>
          <cell r="B4540" t="str">
            <v>TELA DE ANIAGEM (JUTA)</v>
          </cell>
          <cell r="C4540" t="str">
            <v xml:space="preserve">M2    </v>
          </cell>
          <cell r="D4540">
            <v>9.43</v>
          </cell>
        </row>
        <row r="4541">
          <cell r="A4541">
            <v>7167</v>
          </cell>
          <cell r="B4541" t="str">
            <v>TELA DE ARAME GALVANIZADA QUADRANGULAR / LOSANGULAR, FIO 2,11 MM (14 BWG), MALHA 5 X 5 CM, H = 2 M</v>
          </cell>
          <cell r="C4541" t="str">
            <v xml:space="preserve">M2    </v>
          </cell>
          <cell r="D4541">
            <v>18.71</v>
          </cell>
        </row>
        <row r="4542">
          <cell r="A4542">
            <v>10928</v>
          </cell>
          <cell r="B4542" t="str">
            <v>TELA DE ARAME GALVANIZADA QUADRANGULAR / LOSANGULAR, FIO 2,11 MM (14 BWG), MALHA 8 X 8 CM, H = 2 M</v>
          </cell>
          <cell r="C4542" t="str">
            <v xml:space="preserve">M2    </v>
          </cell>
          <cell r="D4542">
            <v>10.75</v>
          </cell>
        </row>
        <row r="4543">
          <cell r="A4543">
            <v>10933</v>
          </cell>
          <cell r="B4543" t="str">
            <v>TELA DE ARAME GALVANIZADA QUADRANGULAR / LOSANGULAR, FIO 2,77 MM (12 BWG), MALHA 10 X 10 CM, H = 2 M</v>
          </cell>
          <cell r="C4543" t="str">
            <v xml:space="preserve">M2    </v>
          </cell>
          <cell r="D4543">
            <v>16.21</v>
          </cell>
        </row>
        <row r="4544">
          <cell r="A4544">
            <v>7158</v>
          </cell>
          <cell r="B4544" t="str">
            <v>TELA DE ARAME GALVANIZADA QUADRANGULAR / LOSANGULAR, FIO 2,77 MM (12 BWG), MALHA 5 X 5 CM, H = 2 M</v>
          </cell>
          <cell r="C4544" t="str">
            <v xml:space="preserve">M2    </v>
          </cell>
          <cell r="D4544">
            <v>27.5</v>
          </cell>
        </row>
        <row r="4545">
          <cell r="A4545">
            <v>10927</v>
          </cell>
          <cell r="B4545" t="str">
            <v>TELA DE ARAME GALVANIZADA QUADRANGULAR / LOSANGULAR, FIO 2,77 MM (12 BWG), MALHA 8 X 8 CM, H = 2 M</v>
          </cell>
          <cell r="C4545" t="str">
            <v xml:space="preserve">M2    </v>
          </cell>
          <cell r="D4545">
            <v>17.579999999999998</v>
          </cell>
        </row>
        <row r="4546">
          <cell r="A4546">
            <v>7162</v>
          </cell>
          <cell r="B4546" t="str">
            <v>TELA DE ARAME GALVANIZADA QUADRANGULAR / LOSANGULAR, FIO 3,4 MM (10 BWG), MALHA 5 X 5 CM, H = 2 M</v>
          </cell>
          <cell r="C4546" t="str">
            <v xml:space="preserve">M2    </v>
          </cell>
          <cell r="D4546">
            <v>43.03</v>
          </cell>
        </row>
        <row r="4547">
          <cell r="A4547">
            <v>10932</v>
          </cell>
          <cell r="B4547" t="str">
            <v>TELA DE ARAME GALVANIZADA QUADRANGULAR / LOSANGULAR, FIO 4,19 MM (8 BWG), MALHA 5 X 5 CM, H = 2 M</v>
          </cell>
          <cell r="C4547" t="str">
            <v xml:space="preserve">M2    </v>
          </cell>
          <cell r="D4547">
            <v>74.849999999999994</v>
          </cell>
        </row>
        <row r="4548">
          <cell r="A4548">
            <v>10937</v>
          </cell>
          <cell r="B4548" t="str">
            <v>TELA DE ARAME GALVANIZADA REVESTIDA EM PVC, QUADRANGULAR / LOSANGULAR, FIO 2,11 MM (14 BWG), BITOLA FINAL = *2,8* MM, MALHA *8 X 8* CM, H = 2 M</v>
          </cell>
          <cell r="C4548" t="str">
            <v xml:space="preserve">M2    </v>
          </cell>
          <cell r="D4548">
            <v>19.239999999999998</v>
          </cell>
        </row>
        <row r="4549">
          <cell r="A4549">
            <v>10935</v>
          </cell>
          <cell r="B4549" t="str">
            <v>TELA DE ARAME GALVANIZADA REVESTIDA EM PVC, QUADRANGULAR / LOSANGULAR, FIO 2,77 MM (12 BWG), BITOLA FINAL = *3,8* MM, MALHA 7,5 X 7,5 CM, H = 2 M</v>
          </cell>
          <cell r="C4549" t="str">
            <v xml:space="preserve">M2    </v>
          </cell>
          <cell r="D4549">
            <v>33.36</v>
          </cell>
        </row>
        <row r="4550">
          <cell r="A4550">
            <v>10931</v>
          </cell>
          <cell r="B4550" t="str">
            <v>TELA DE ARAME GALVANIZADA, HEXAGONAL, FIO 0,56 MM (24 BWG), MALHA 1/2", H = 1 M</v>
          </cell>
          <cell r="C4550" t="str">
            <v xml:space="preserve">M2    </v>
          </cell>
          <cell r="D4550">
            <v>9.3800000000000008</v>
          </cell>
        </row>
        <row r="4551">
          <cell r="A4551">
            <v>7164</v>
          </cell>
          <cell r="B4551" t="str">
            <v>TELA DE ARAME ONDULADA, FIO *2,77* MM (12 BWG), MALHA 5 X 5 CM, H = 2 M</v>
          </cell>
          <cell r="C4551" t="str">
            <v xml:space="preserve">M2    </v>
          </cell>
          <cell r="D4551">
            <v>31.06</v>
          </cell>
        </row>
        <row r="4552">
          <cell r="A4552">
            <v>36887</v>
          </cell>
          <cell r="B4552" t="str">
            <v>TELA DE FIBRA DE VIDRO, ACABAMENTO ANTI-ALCALINO, MALHA 10 X 10 MM</v>
          </cell>
          <cell r="C4552" t="str">
            <v xml:space="preserve">M2    </v>
          </cell>
          <cell r="D4552">
            <v>14.07</v>
          </cell>
        </row>
        <row r="4553">
          <cell r="A4553">
            <v>34630</v>
          </cell>
          <cell r="B4553" t="str">
            <v>TELA EM MALHA HEXAGONAL DE DUPLA TORCAO 8 X 10 CM (ZN/AL REVESTIDO COM POLIMERO), FIO 2,7 MM, COM GEOMANTA OU BIOMANTA, DIMENSOES 4,0 X 2,0 X 0,6 M, COM INCLINACAO DE 70 GRAUS, PARA SOLO REFORCADO</v>
          </cell>
          <cell r="C4553" t="str">
            <v xml:space="preserve">UN    </v>
          </cell>
          <cell r="D4553">
            <v>999.44</v>
          </cell>
        </row>
        <row r="4554">
          <cell r="A4554">
            <v>7161</v>
          </cell>
          <cell r="B4554" t="str">
            <v>TELA EM METAL PARA ESTUQUE (DEPLOYE)</v>
          </cell>
          <cell r="C4554" t="str">
            <v xml:space="preserve">M2    </v>
          </cell>
          <cell r="D4554">
            <v>3.86</v>
          </cell>
        </row>
        <row r="4555">
          <cell r="A4555">
            <v>7170</v>
          </cell>
          <cell r="B4555" t="str">
            <v>TELA FACHADEIRA EM POLIETILENO, ROLO DE 3 X 100 M (L X C), COR BRANCA, SEM LOGOMARCA - PARA PROTECAO DE OBRAS</v>
          </cell>
          <cell r="C4555" t="str">
            <v xml:space="preserve">M2    </v>
          </cell>
          <cell r="D4555">
            <v>2</v>
          </cell>
        </row>
        <row r="4556">
          <cell r="A4556">
            <v>37524</v>
          </cell>
          <cell r="B4556" t="str">
            <v>TELA PLASTICA LARANJA, TIPO TAPUME PARA SINALIZACAO, MALHA RETANGULAR, ROLO 1.20 X 50 M (L X C)</v>
          </cell>
          <cell r="C4556" t="str">
            <v xml:space="preserve">M     </v>
          </cell>
          <cell r="D4556">
            <v>1.91</v>
          </cell>
        </row>
        <row r="4557">
          <cell r="A4557">
            <v>37525</v>
          </cell>
          <cell r="B4557" t="str">
            <v>TELA PLASTICA TECIDA LISTRADA BRANCA E LARANJA, TIPO GUARDA CORPO, EM POLIETILENO MONOFILADO, ROLO 1,20 X 50 M (L X C)</v>
          </cell>
          <cell r="C4557" t="str">
            <v xml:space="preserve">M     </v>
          </cell>
          <cell r="D4557">
            <v>2.2799999999999998</v>
          </cell>
        </row>
        <row r="4558">
          <cell r="A4558">
            <v>36789</v>
          </cell>
          <cell r="B4558" t="str">
            <v>TELHA CERAMICA TIPO AMERICANA, COMPRIMENTO DE *45* CM, RENDIMENTO DE *12* TELHAS/M2</v>
          </cell>
          <cell r="C4558" t="str">
            <v xml:space="preserve">UN    </v>
          </cell>
          <cell r="D4558">
            <v>2.4700000000000002</v>
          </cell>
        </row>
        <row r="4559">
          <cell r="A4559">
            <v>7173</v>
          </cell>
          <cell r="B4559" t="str">
            <v>TELHA DE BARRO / CERAMICA, NAO ESMALTADA, TIPO COLONIAL, CANAL, PLAN, PAULISTA, COMPRIMENTO DE *44 A 50* CM, RENDIMENTO DE COBERTURA DE *26* TELHAS/M2</v>
          </cell>
          <cell r="C4559" t="str">
            <v xml:space="preserve">MIL   </v>
          </cell>
          <cell r="D4559">
            <v>1600</v>
          </cell>
        </row>
        <row r="4560">
          <cell r="A4560">
            <v>7175</v>
          </cell>
          <cell r="B4560" t="str">
            <v>TELHA DE BARRO / CERAMICA, TIPO ROMANA, AMERICANA, PORTUGUESA, FRANCESA, COMPRIMENTO DE *41* CM,  RENDIMENTO DE *16* TELHAS/M2</v>
          </cell>
          <cell r="C4560" t="str">
            <v xml:space="preserve">UN    </v>
          </cell>
          <cell r="D4560">
            <v>1.81</v>
          </cell>
        </row>
        <row r="4561">
          <cell r="A4561">
            <v>40741</v>
          </cell>
          <cell r="B4561" t="str">
            <v>TELHA DE CONCRETO TIPO CLASSICA, COR CINZA, COMPRIMENTO DE *42* CM,  RENDIMENTO DE *10* TELHAS/M2</v>
          </cell>
          <cell r="C4561" t="str">
            <v xml:space="preserve">UN    </v>
          </cell>
          <cell r="D4561">
            <v>2.0499999999999998</v>
          </cell>
        </row>
        <row r="4562">
          <cell r="A4562">
            <v>7184</v>
          </cell>
          <cell r="B4562" t="str">
            <v>TELHA DE FIBRA DE VIDRO ONDULADA INCOLOR, E = 0,6 MM, DE *0,50 X 2,44* M</v>
          </cell>
          <cell r="C4562" t="str">
            <v xml:space="preserve">M2    </v>
          </cell>
          <cell r="D4562">
            <v>32.97</v>
          </cell>
        </row>
        <row r="4563">
          <cell r="A4563">
            <v>34458</v>
          </cell>
          <cell r="B4563" t="str">
            <v>TELHA DE FIBROCIMENTO E = 6 MM, DE 3,00 X 1,06 M (SEM AMIANTO)</v>
          </cell>
          <cell r="C4563" t="str">
            <v xml:space="preserve">UN    </v>
          </cell>
          <cell r="D4563">
            <v>106.26</v>
          </cell>
        </row>
        <row r="4564">
          <cell r="A4564">
            <v>34464</v>
          </cell>
          <cell r="B4564" t="str">
            <v>TELHA DE FIBROCIMENTO E = 6 MM, DE 4,10 X 1,06 M (SEM AMIANTO)</v>
          </cell>
          <cell r="C4564" t="str">
            <v xml:space="preserve">UN    </v>
          </cell>
          <cell r="D4564">
            <v>142.56</v>
          </cell>
        </row>
        <row r="4565">
          <cell r="A4565">
            <v>34468</v>
          </cell>
          <cell r="B4565" t="str">
            <v>TELHA DE FIBROCIMENTO E = 6 MM, DE 4,60 X 1,06 M (SEM AMIANTO)</v>
          </cell>
          <cell r="C4565" t="str">
            <v xml:space="preserve">UN    </v>
          </cell>
          <cell r="D4565">
            <v>164.53</v>
          </cell>
        </row>
        <row r="4566">
          <cell r="A4566">
            <v>34473</v>
          </cell>
          <cell r="B4566" t="str">
            <v>TELHA DE FIBROCIMENTO E = 8 MM, DE 3,00 X 1,06 M (SEM AMIANTO)</v>
          </cell>
          <cell r="C4566" t="str">
            <v xml:space="preserve">UN    </v>
          </cell>
          <cell r="D4566">
            <v>134.56</v>
          </cell>
        </row>
        <row r="4567">
          <cell r="A4567">
            <v>34480</v>
          </cell>
          <cell r="B4567" t="str">
            <v>TELHA DE FIBROCIMENTO E = 8 MM, DE 4,10 X 1,06 M (SEM AMIANTO)</v>
          </cell>
          <cell r="C4567" t="str">
            <v xml:space="preserve">UN    </v>
          </cell>
          <cell r="D4567">
            <v>183.5</v>
          </cell>
        </row>
        <row r="4568">
          <cell r="A4568">
            <v>34486</v>
          </cell>
          <cell r="B4568" t="str">
            <v>TELHA DE FIBROCIMENTO E = 8 MM, DE 4,60 X 1,06 M (SEM AMIANTO)</v>
          </cell>
          <cell r="C4568" t="str">
            <v xml:space="preserve">UN    </v>
          </cell>
          <cell r="D4568">
            <v>205.52</v>
          </cell>
        </row>
        <row r="4569">
          <cell r="A4569">
            <v>7202</v>
          </cell>
          <cell r="B4569" t="str">
            <v>TELHA DE FIBROCIMENTO E= 8 MM, DE *3,70 X 1,06* M (SEM AMIANTO)</v>
          </cell>
          <cell r="C4569" t="str">
            <v xml:space="preserve">M2    </v>
          </cell>
          <cell r="D4569">
            <v>42.11</v>
          </cell>
        </row>
        <row r="4570">
          <cell r="A4570">
            <v>7190</v>
          </cell>
          <cell r="B4570" t="str">
            <v>TELHA DE FIBROCIMENTO ONDULADA E = 4 MM, DE 1,22 X 0,50 M (SEM AMIANTO)</v>
          </cell>
          <cell r="C4570" t="str">
            <v xml:space="preserve">UN    </v>
          </cell>
          <cell r="D4570">
            <v>7.22</v>
          </cell>
        </row>
        <row r="4571">
          <cell r="A4571">
            <v>34417</v>
          </cell>
          <cell r="B4571" t="str">
            <v>TELHA DE FIBROCIMENTO ONDULADA E = 4 MM, DE 2,13 X 0,50 M (SEM AMIANTO)</v>
          </cell>
          <cell r="C4571" t="str">
            <v xml:space="preserve">UN    </v>
          </cell>
          <cell r="D4571">
            <v>12.56</v>
          </cell>
        </row>
        <row r="4572">
          <cell r="A4572">
            <v>7191</v>
          </cell>
          <cell r="B4572" t="str">
            <v>TELHA DE FIBROCIMENTO ONDULADA E = 4 MM, DE 2,44 X 0,50 M (SEM AMIANTO)</v>
          </cell>
          <cell r="C4572" t="str">
            <v xml:space="preserve">UN    </v>
          </cell>
          <cell r="D4572">
            <v>14.55</v>
          </cell>
        </row>
        <row r="4573">
          <cell r="A4573">
            <v>7213</v>
          </cell>
          <cell r="B4573" t="str">
            <v>TELHA DE FIBROCIMENTO ONDULADA E = 4 MM, DE 2,44 X 0,50 M (SEM AMIANTO)</v>
          </cell>
          <cell r="C4573" t="str">
            <v xml:space="preserve">M2    </v>
          </cell>
          <cell r="D4573">
            <v>11.93</v>
          </cell>
        </row>
        <row r="4574">
          <cell r="A4574">
            <v>7195</v>
          </cell>
          <cell r="B4574" t="str">
            <v>TELHA DE FIBROCIMENTO ONDULADA E = 6 MM, DE 1,53 X 1,10 M (SEM AMIANTO)</v>
          </cell>
          <cell r="C4574" t="str">
            <v xml:space="preserve">UN    </v>
          </cell>
          <cell r="D4574">
            <v>34.68</v>
          </cell>
        </row>
        <row r="4575">
          <cell r="A4575">
            <v>7186</v>
          </cell>
          <cell r="B4575" t="str">
            <v>TELHA DE FIBROCIMENTO ONDULADA E = 6 MM, DE 1,83 X 1,10 M (SEM AMIANTO)</v>
          </cell>
          <cell r="C4575" t="str">
            <v xml:space="preserve">UN    </v>
          </cell>
          <cell r="D4575">
            <v>41.49</v>
          </cell>
        </row>
        <row r="4576">
          <cell r="A4576">
            <v>7194</v>
          </cell>
          <cell r="B4576" t="str">
            <v>TELHA DE FIBROCIMENTO ONDULADA E = 6 MM, DE 2,44 X 1,10 M (SEM AMIANTO)</v>
          </cell>
          <cell r="C4576" t="str">
            <v xml:space="preserve">M2    </v>
          </cell>
          <cell r="D4576">
            <v>20.57</v>
          </cell>
        </row>
        <row r="4577">
          <cell r="A4577">
            <v>7207</v>
          </cell>
          <cell r="B4577" t="str">
            <v>TELHA DE FIBROCIMENTO ONDULADA E = 6 MM, DE 2,44 X 1,10 M (SEM AMIANTO)</v>
          </cell>
          <cell r="C4577" t="str">
            <v xml:space="preserve">UN    </v>
          </cell>
          <cell r="D4577">
            <v>55.22</v>
          </cell>
        </row>
        <row r="4578">
          <cell r="A4578">
            <v>7197</v>
          </cell>
          <cell r="B4578" t="str">
            <v>TELHA DE FIBROCIMENTO ONDULADA E = 6 MM, DE 3,66 X 1,10 M (SEM AMIANTO)</v>
          </cell>
          <cell r="C4578" t="str">
            <v xml:space="preserve">UN    </v>
          </cell>
          <cell r="D4578">
            <v>82.96</v>
          </cell>
        </row>
        <row r="4579">
          <cell r="A4579">
            <v>7192</v>
          </cell>
          <cell r="B4579" t="str">
            <v>TELHA DE FIBROCIMENTO ONDULADA E = 8 MM, DE 1,53 X 1,10 M (SEM AMIANTO)</v>
          </cell>
          <cell r="C4579" t="str">
            <v xml:space="preserve">UN    </v>
          </cell>
          <cell r="D4579">
            <v>45.63</v>
          </cell>
        </row>
        <row r="4580">
          <cell r="A4580">
            <v>7193</v>
          </cell>
          <cell r="B4580" t="str">
            <v>TELHA DE FIBROCIMENTO ONDULADA E = 8 MM, DE 1,83 X 1,10 M (SEM AMIANTO)</v>
          </cell>
          <cell r="C4580" t="str">
            <v xml:space="preserve">UN    </v>
          </cell>
          <cell r="D4580">
            <v>54.47</v>
          </cell>
        </row>
        <row r="4581">
          <cell r="A4581">
            <v>7189</v>
          </cell>
          <cell r="B4581" t="str">
            <v>TELHA DE FIBROCIMENTO ONDULADA E = 8 MM, DE 2,44 X 1,10 M (SEM AMIANTO)</v>
          </cell>
          <cell r="C4581" t="str">
            <v xml:space="preserve">UN    </v>
          </cell>
          <cell r="D4581">
            <v>76.5</v>
          </cell>
        </row>
        <row r="4582">
          <cell r="A4582">
            <v>7198</v>
          </cell>
          <cell r="B4582" t="str">
            <v>TELHA DE FIBROCIMENTO ONDULADA E = 8 MM, DE 3,66 X 1,10 M (SEM AMIANTO)</v>
          </cell>
          <cell r="C4582" t="str">
            <v xml:space="preserve">M2    </v>
          </cell>
          <cell r="D4582">
            <v>28.48</v>
          </cell>
        </row>
        <row r="4583">
          <cell r="A4583">
            <v>34402</v>
          </cell>
          <cell r="B4583" t="str">
            <v>TELHA DE FIBROCIMENTO ONDULADA E = 8 MM, DE 3,66 X 1,10 M (SEM AMIANTO)</v>
          </cell>
          <cell r="C4583" t="str">
            <v xml:space="preserve">UN    </v>
          </cell>
          <cell r="D4583">
            <v>114.67</v>
          </cell>
        </row>
        <row r="4584">
          <cell r="A4584">
            <v>7245</v>
          </cell>
          <cell r="B4584" t="str">
            <v>TELHA DE VIDRO TIPO FRANCESA, *39 X 23* CM</v>
          </cell>
          <cell r="C4584" t="str">
            <v xml:space="preserve">UN    </v>
          </cell>
          <cell r="D4584">
            <v>38.92</v>
          </cell>
        </row>
        <row r="4585">
          <cell r="A4585">
            <v>34425</v>
          </cell>
          <cell r="B4585" t="str">
            <v>TELHA ESTRUTURAL DE FIBROCIMENTO 1 ABA, DE 0,52 X 2,00 M (SEM AMIANTO)</v>
          </cell>
          <cell r="C4585" t="str">
            <v xml:space="preserve">UN    </v>
          </cell>
          <cell r="D4585">
            <v>70.91</v>
          </cell>
        </row>
        <row r="4586">
          <cell r="A4586">
            <v>7223</v>
          </cell>
          <cell r="B4586" t="str">
            <v>TELHA ESTRUTURAL DE FIBROCIMENTO 1 ABA, DE 0,52 X 2,50 M (SEM AMIANTO)</v>
          </cell>
          <cell r="C4586" t="str">
            <v xml:space="preserve">UN    </v>
          </cell>
          <cell r="D4586">
            <v>82.64</v>
          </cell>
        </row>
        <row r="4587">
          <cell r="A4587">
            <v>7234</v>
          </cell>
          <cell r="B4587" t="str">
            <v>TELHA ESTRUTURAL DE FIBROCIMENTO 1 ABA, DE 0,52 X 3,60 M (SEM AMIANTO)</v>
          </cell>
          <cell r="C4587" t="str">
            <v xml:space="preserve">UN    </v>
          </cell>
          <cell r="D4587">
            <v>119.2</v>
          </cell>
        </row>
        <row r="4588">
          <cell r="A4588">
            <v>7224</v>
          </cell>
          <cell r="B4588" t="str">
            <v>TELHA ESTRUTURAL DE FIBROCIMENTO 1 ABA, DE 0,52 X 4,00 M (SEM AMIANTO)</v>
          </cell>
          <cell r="C4588" t="str">
            <v xml:space="preserve">UN    </v>
          </cell>
          <cell r="D4588">
            <v>131.66</v>
          </cell>
        </row>
        <row r="4589">
          <cell r="A4589">
            <v>7221</v>
          </cell>
          <cell r="B4589" t="str">
            <v>TELHA ESTRUTURAL DE FIBROCIMENTO 1 ABA, DE 0,52 X 4,50 M (SEM AMIANTO)</v>
          </cell>
          <cell r="C4589" t="str">
            <v xml:space="preserve">M2    </v>
          </cell>
          <cell r="D4589">
            <v>64.02</v>
          </cell>
        </row>
        <row r="4590">
          <cell r="A4590">
            <v>7210</v>
          </cell>
          <cell r="B4590" t="str">
            <v>TELHA ESTRUTURAL DE FIBROCIMENTO 1 ABA, DE 0,52 X 4,50 M (SEM AMIANTO)</v>
          </cell>
          <cell r="C4590" t="str">
            <v xml:space="preserve">UN    </v>
          </cell>
          <cell r="D4590">
            <v>149.81</v>
          </cell>
        </row>
        <row r="4591">
          <cell r="A4591">
            <v>7225</v>
          </cell>
          <cell r="B4591" t="str">
            <v>TELHA ESTRUTURAL DE FIBROCIMENTO 1 ABA, DE 0,52 X 5,00 M (SEM AMIANTO)</v>
          </cell>
          <cell r="C4591" t="str">
            <v xml:space="preserve">UN    </v>
          </cell>
          <cell r="D4591">
            <v>166.46</v>
          </cell>
        </row>
        <row r="4592">
          <cell r="A4592">
            <v>7226</v>
          </cell>
          <cell r="B4592" t="str">
            <v>TELHA ESTRUTURAL DE FIBROCIMENTO 1 ABA, DE 0,52 X 5,50 M (SEM AMIANTO)</v>
          </cell>
          <cell r="C4592" t="str">
            <v xml:space="preserve">UN    </v>
          </cell>
          <cell r="D4592">
            <v>183.18</v>
          </cell>
        </row>
        <row r="4593">
          <cell r="A4593">
            <v>7236</v>
          </cell>
          <cell r="B4593" t="str">
            <v>TELHA ESTRUTURAL DE FIBROCIMENTO 1 ABA, DE 0,52 X 6,00 M (SEM AMIANTO)</v>
          </cell>
          <cell r="C4593" t="str">
            <v xml:space="preserve">UN    </v>
          </cell>
          <cell r="D4593">
            <v>199.78</v>
          </cell>
        </row>
        <row r="4594">
          <cell r="A4594">
            <v>7227</v>
          </cell>
          <cell r="B4594" t="str">
            <v>TELHA ESTRUTURAL DE FIBROCIMENTO 1 ABA, DE 0,52 X 6,50 M (SEM AMIANTO)</v>
          </cell>
          <cell r="C4594" t="str">
            <v xml:space="preserve">UN    </v>
          </cell>
          <cell r="D4594">
            <v>216.43</v>
          </cell>
        </row>
        <row r="4595">
          <cell r="A4595">
            <v>7212</v>
          </cell>
          <cell r="B4595" t="str">
            <v>TELHA ESTRUTURAL DE FIBROCIMENTO 1 ABA, DE 0,52 X 7,20 M (SEM AMIANTO)</v>
          </cell>
          <cell r="C4595" t="str">
            <v xml:space="preserve">UN    </v>
          </cell>
          <cell r="D4595">
            <v>239.64</v>
          </cell>
        </row>
        <row r="4596">
          <cell r="A4596">
            <v>7229</v>
          </cell>
          <cell r="B4596" t="str">
            <v>TELHA ESTRUTURAL DE FIBROCIMENTO 2 ABAS, DE 1,00 X 3,00 M (SEM AMIANTO)</v>
          </cell>
          <cell r="C4596" t="str">
            <v xml:space="preserve">UN    </v>
          </cell>
          <cell r="D4596">
            <v>158.47999999999999</v>
          </cell>
        </row>
        <row r="4597">
          <cell r="A4597">
            <v>7230</v>
          </cell>
          <cell r="B4597" t="str">
            <v>TELHA ESTRUTURAL DE FIBROCIMENTO 2 ABAS, DE 1,00 X 4,60 M (SEM AMIANTO)</v>
          </cell>
          <cell r="C4597" t="str">
            <v xml:space="preserve">UN    </v>
          </cell>
          <cell r="D4597">
            <v>252.54</v>
          </cell>
        </row>
        <row r="4598">
          <cell r="A4598">
            <v>7231</v>
          </cell>
          <cell r="B4598" t="str">
            <v>TELHA ESTRUTURAL DE FIBROCIMENTO 2 ABAS, DE 1,00 X 6,00 M (SEM AMIANTO)</v>
          </cell>
          <cell r="C4598" t="str">
            <v xml:space="preserve">UN    </v>
          </cell>
          <cell r="D4598">
            <v>331.66</v>
          </cell>
        </row>
        <row r="4599">
          <cell r="A4599">
            <v>7220</v>
          </cell>
          <cell r="B4599" t="str">
            <v>TELHA ESTRUTURAL DE FIBROCIMENTO 2 ABAS, DE 1,00 X 7,40 M (SEM AMIANTO)</v>
          </cell>
          <cell r="C4599" t="str">
            <v xml:space="preserve">UN    </v>
          </cell>
          <cell r="D4599">
            <v>407.75</v>
          </cell>
        </row>
        <row r="4600">
          <cell r="A4600">
            <v>34447</v>
          </cell>
          <cell r="B4600" t="str">
            <v>TELHA ESTRUTURAL DE FIBROCIMENTO 2 ABAS, DE 1,00 X 8,20 M (SEM AMIANTO)</v>
          </cell>
          <cell r="C4600" t="str">
            <v xml:space="preserve">UN    </v>
          </cell>
          <cell r="D4600">
            <v>453.84</v>
          </cell>
        </row>
        <row r="4601">
          <cell r="A4601">
            <v>7233</v>
          </cell>
          <cell r="B4601" t="str">
            <v>TELHA ESTRUTURAL DE FIBROCIMENTO 2 ABAS, DE 1,00 X 9,20 M (SEM AMIANTO)</v>
          </cell>
          <cell r="C4601" t="str">
            <v xml:space="preserve">UN    </v>
          </cell>
          <cell r="D4601">
            <v>508.09</v>
          </cell>
        </row>
        <row r="4602">
          <cell r="A4602">
            <v>40740</v>
          </cell>
          <cell r="B4602" t="str">
            <v>TELHA GALVALUME COM ISOLAMENTO TERMOACUSTICO EM ESPUMA RIGIDA DE POLIURETANO (PU) INJETADO, ESPESSURA DE 30 MM, DENSIDADE DE 35 KG/M3, COM DUAS FACES TRAPEZOIDAIS, ACABAMENTO NATURAL (NAO INCLUI ACESSORIOS DE FIXACAO)</v>
          </cell>
          <cell r="C4602" t="str">
            <v xml:space="preserve">M2    </v>
          </cell>
          <cell r="D4602">
            <v>103.09</v>
          </cell>
        </row>
        <row r="4603">
          <cell r="A4603">
            <v>25007</v>
          </cell>
          <cell r="B4603" t="str">
            <v>TELHA ONDULADA EM ACO ZINCADO, ALTURA DE 17 MM, ESPESSURA DE 0,50 MM, LARGURA UTIL DE APROXIMADAMENTE 985 MM, SEM PINTURA</v>
          </cell>
          <cell r="C4603" t="str">
            <v xml:space="preserve">M2    </v>
          </cell>
          <cell r="D4603">
            <v>29.5</v>
          </cell>
        </row>
        <row r="4604">
          <cell r="A4604">
            <v>43071</v>
          </cell>
          <cell r="B4604"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4604" t="str">
            <v xml:space="preserve">M2    </v>
          </cell>
          <cell r="D4604">
            <v>116.08</v>
          </cell>
        </row>
        <row r="4605">
          <cell r="A4605">
            <v>39520</v>
          </cell>
          <cell r="B4605" t="str">
            <v>TELHA TERMOISOLANTE REVESTIDA EM ACO GALVANIZADO, FACE SUPERIOR EM TELHA TRAPEZOIDAL E FACE INFERIOR EM CHAPA PLANA (SEM ACESSORIOS DE FIXACAO), REVESTIMENTO COM ESPESSURA DE 0,50 MM COM PRE-PINTURA NAS DUAS FACES, NUCLEO EM POLIESTIRENO (EPS) DE 30 MM</v>
          </cell>
          <cell r="C4605" t="str">
            <v xml:space="preserve">M2    </v>
          </cell>
          <cell r="D4605">
            <v>94.7</v>
          </cell>
        </row>
        <row r="4606">
          <cell r="A4606">
            <v>39521</v>
          </cell>
          <cell r="B4606" t="str">
            <v>TELHA TERMOISOLANTE REVESTIDA EM ACO GALVANIZADO, FACE SUPERIOR EM TELHA TRAPEZOIDAL E FACE INFERIOR EM CHAPA PLANA (SEM ACESSORIOS DE FIXACAO), REVESTIMENTO COM ESPESSURA DE 0,50 MM COM PRE-PINTURA NAS DUAS FACES, NUCLEO EM POLIESTIRENO (EPS) DE 50 MM</v>
          </cell>
          <cell r="C4606" t="str">
            <v xml:space="preserve">M2    </v>
          </cell>
          <cell r="D4606">
            <v>97.8</v>
          </cell>
        </row>
        <row r="4607">
          <cell r="A4607">
            <v>39522</v>
          </cell>
          <cell r="B4607" t="str">
            <v>TELHA TERMOISOLANTE REVESTIDA EM ACO GALVANIZADO, FACES SUPERIOR E INFERIOR EM TELHA TRAPEZOIDAL (SEM ACESSORIOS DE FIXACAO), REVESTIMENTO COM ESPESSURA DE 0,50 MM COM PRE-PINTURA NAS DUAS FACES, NUCLEO EM POLIESTIRENO (EPS) DE 50 MM</v>
          </cell>
          <cell r="C4607" t="str">
            <v xml:space="preserve">M2    </v>
          </cell>
          <cell r="D4607">
            <v>100.99</v>
          </cell>
        </row>
        <row r="4608">
          <cell r="A4608">
            <v>7243</v>
          </cell>
          <cell r="B4608" t="str">
            <v>TELHA TRAPEZOIDAL EM ACO ZINCADO, SEM PINTURA, ALTURA DE APROXIMADAMENTE 40 MM, ESPESSURA DE 0,50 MM E LARGURA UTIL DE 980 MM</v>
          </cell>
          <cell r="C4608" t="str">
            <v xml:space="preserve">M2    </v>
          </cell>
          <cell r="D4608">
            <v>30.82</v>
          </cell>
        </row>
        <row r="4609">
          <cell r="A4609">
            <v>11067</v>
          </cell>
          <cell r="B4609" t="str">
            <v>TELHA TRAPEZOIDAL EM ALUMINIO, ALTURA DE *38* MM E ESPESSURA DE 0,5 MM (LARGURA TOTAL DE 1056 MM E COMPRIMENTO DE 5000 MM)</v>
          </cell>
          <cell r="C4609" t="str">
            <v xml:space="preserve">UN    </v>
          </cell>
          <cell r="D4609">
            <v>270.11</v>
          </cell>
        </row>
        <row r="4610">
          <cell r="A4610">
            <v>11068</v>
          </cell>
          <cell r="B4610" t="str">
            <v>TELHA TRAPEZOIDAL EM ALUMINIO, ALTURA DE *38* MM E ESPESSURA DE 0,7 MM (LARGURA TOTAL DE 1056 MM E COMPRIMENTO DE 5000 MM)</v>
          </cell>
          <cell r="C4610" t="str">
            <v xml:space="preserve">UN    </v>
          </cell>
          <cell r="D4610">
            <v>341.25</v>
          </cell>
        </row>
        <row r="4611">
          <cell r="A4611">
            <v>7246</v>
          </cell>
          <cell r="B4611" t="str">
            <v>TELHA VIDRO TIPO CANAL OU COLONIAL, C = 46 A 50 CM</v>
          </cell>
          <cell r="C4611" t="str">
            <v xml:space="preserve">UN    </v>
          </cell>
          <cell r="D4611">
            <v>36.21</v>
          </cell>
        </row>
        <row r="4612">
          <cell r="A4612">
            <v>12869</v>
          </cell>
          <cell r="B4612" t="str">
            <v>TELHADOR</v>
          </cell>
          <cell r="C4612" t="str">
            <v xml:space="preserve">H     </v>
          </cell>
          <cell r="D4612">
            <v>16.149999999999999</v>
          </cell>
        </row>
        <row r="4613">
          <cell r="A4613">
            <v>41097</v>
          </cell>
          <cell r="B4613" t="str">
            <v>TELHADOR  (MENSALISTA)</v>
          </cell>
          <cell r="C4613" t="str">
            <v xml:space="preserve">MES   </v>
          </cell>
          <cell r="D4613">
            <v>2867.93</v>
          </cell>
        </row>
        <row r="4614">
          <cell r="A4614">
            <v>1574</v>
          </cell>
          <cell r="B4614" t="str">
            <v>TERMINAL A COMPRESSAO EM COBRE ESTANHADO PARA CABO 10 MM2, 1 FURO E 1 COMPRESSAO, PARA PARAFUSO DE FIXACAO M6</v>
          </cell>
          <cell r="C4614" t="str">
            <v xml:space="preserve">UN    </v>
          </cell>
          <cell r="D4614">
            <v>1.17</v>
          </cell>
        </row>
        <row r="4615">
          <cell r="A4615">
            <v>1581</v>
          </cell>
          <cell r="B4615" t="str">
            <v>TERMINAL A COMPRESSAO EM COBRE ESTANHADO PARA CABO 120 MM2, 1 FURO E 1 COMPRESSAO, PARA PARAFUSO DE FIXACAO M12</v>
          </cell>
          <cell r="C4615" t="str">
            <v xml:space="preserve">UN    </v>
          </cell>
          <cell r="D4615">
            <v>8.11</v>
          </cell>
        </row>
        <row r="4616">
          <cell r="A4616">
            <v>1575</v>
          </cell>
          <cell r="B4616" t="str">
            <v>TERMINAL A COMPRESSAO EM COBRE ESTANHADO PARA CABO 16 MM2, 1 FURO E 1 COMPRESSAO, PARA PARAFUSO DE FIXACAO M6</v>
          </cell>
          <cell r="C4616" t="str">
            <v xml:space="preserve">UN    </v>
          </cell>
          <cell r="D4616">
            <v>1.38</v>
          </cell>
        </row>
        <row r="4617">
          <cell r="A4617">
            <v>1570</v>
          </cell>
          <cell r="B4617" t="str">
            <v>TERMINAL A COMPRESSAO EM COBRE ESTANHADO PARA CABO 2,5 MM2, 1 FURO E 1 COMPRESSAO, PARA PARAFUSO DE FIXACAO M5</v>
          </cell>
          <cell r="C4617" t="str">
            <v xml:space="preserve">UN    </v>
          </cell>
          <cell r="D4617">
            <v>0.69</v>
          </cell>
        </row>
        <row r="4618">
          <cell r="A4618">
            <v>1576</v>
          </cell>
          <cell r="B4618" t="str">
            <v>TERMINAL A COMPRESSAO EM COBRE ESTANHADO PARA CABO 25 MM2, 1 FURO E 1 COMPRESSAO, PARA PARAFUSO DE FIXACAO M8</v>
          </cell>
          <cell r="C4618" t="str">
            <v xml:space="preserve">UN    </v>
          </cell>
          <cell r="D4618">
            <v>1.92</v>
          </cell>
        </row>
        <row r="4619">
          <cell r="A4619">
            <v>1577</v>
          </cell>
          <cell r="B4619" t="str">
            <v>TERMINAL A COMPRESSAO EM COBRE ESTANHADO PARA CABO 35 MM2, 1 FURO E 1 COMPRESSAO, PARA PARAFUSO DE FIXACAO M8</v>
          </cell>
          <cell r="C4619" t="str">
            <v xml:space="preserve">UN    </v>
          </cell>
          <cell r="D4619">
            <v>2.16</v>
          </cell>
        </row>
        <row r="4620">
          <cell r="A4620">
            <v>1571</v>
          </cell>
          <cell r="B4620" t="str">
            <v>TERMINAL A COMPRESSAO EM COBRE ESTANHADO PARA CABO 4 MM2, 1 FURO E 1 COMPRESSAO, PARA PARAFUSO DE FIXACAO M5</v>
          </cell>
          <cell r="C4620" t="str">
            <v xml:space="preserve">UN    </v>
          </cell>
          <cell r="D4620">
            <v>0.9</v>
          </cell>
        </row>
        <row r="4621">
          <cell r="A4621">
            <v>1578</v>
          </cell>
          <cell r="B4621" t="str">
            <v>TERMINAL A COMPRESSAO EM COBRE ESTANHADO PARA CABO 50 MM2, 1 FURO E 1 COMPRESSAO, PARA PARAFUSO DE FIXACAO M8</v>
          </cell>
          <cell r="C4621" t="str">
            <v xml:space="preserve">UN    </v>
          </cell>
          <cell r="D4621">
            <v>3.75</v>
          </cell>
        </row>
        <row r="4622">
          <cell r="A4622">
            <v>1573</v>
          </cell>
          <cell r="B4622" t="str">
            <v>TERMINAL A COMPRESSAO EM COBRE ESTANHADO PARA CABO 6 MM2, 1 FURO E 1 COMPRESSAO, PARA PARAFUSO DE FIXACAO M6</v>
          </cell>
          <cell r="C4622" t="str">
            <v xml:space="preserve">UN    </v>
          </cell>
          <cell r="D4622">
            <v>1.08</v>
          </cell>
        </row>
        <row r="4623">
          <cell r="A4623">
            <v>1579</v>
          </cell>
          <cell r="B4623" t="str">
            <v>TERMINAL A COMPRESSAO EM COBRE ESTANHADO PARA CABO 70 MM2, 1 FURO E 1 COMPRESSAO, PARA PARAFUSO DE FIXACAO M10</v>
          </cell>
          <cell r="C4623" t="str">
            <v xml:space="preserve">UN    </v>
          </cell>
          <cell r="D4623">
            <v>4.68</v>
          </cell>
        </row>
        <row r="4624">
          <cell r="A4624">
            <v>1580</v>
          </cell>
          <cell r="B4624" t="str">
            <v>TERMINAL A COMPRESSAO EM COBRE ESTANHADO PARA CABO 95 MM2, 1 FURO E 1 COMPRESSAO, PARA PARAFUSO DE FIXACAO M12</v>
          </cell>
          <cell r="C4624" t="str">
            <v xml:space="preserve">UN    </v>
          </cell>
          <cell r="D4624">
            <v>5.76</v>
          </cell>
        </row>
        <row r="4625">
          <cell r="A4625">
            <v>7571</v>
          </cell>
          <cell r="B4625" t="str">
            <v>TERMINAL AEREO EM ACO GALVANIZADO DN 5/16", COMPRIMENTO DE 350MM, COM BASE DE FIXACAO HORIZONTAL</v>
          </cell>
          <cell r="C4625" t="str">
            <v xml:space="preserve">UN    </v>
          </cell>
          <cell r="D4625">
            <v>10.46</v>
          </cell>
        </row>
        <row r="4626">
          <cell r="A4626">
            <v>39321</v>
          </cell>
          <cell r="B4626" t="str">
            <v>TERMINAL DE VENTILACAO, 100 MM, SERIE NORMAL, ESGOTO PREDIAL</v>
          </cell>
          <cell r="C4626" t="str">
            <v xml:space="preserve">UN    </v>
          </cell>
          <cell r="D4626">
            <v>12.61</v>
          </cell>
        </row>
        <row r="4627">
          <cell r="A4627">
            <v>39319</v>
          </cell>
          <cell r="B4627" t="str">
            <v>TERMINAL DE VENTILACAO, 50 MM, SERIE NORMAL, ESGOTO PREDIAL</v>
          </cell>
          <cell r="C4627" t="str">
            <v xml:space="preserve">UN    </v>
          </cell>
          <cell r="D4627">
            <v>4.92</v>
          </cell>
        </row>
        <row r="4628">
          <cell r="A4628">
            <v>39320</v>
          </cell>
          <cell r="B4628" t="str">
            <v>TERMINAL DE VENTILACAO, 75 MM, SERIE NORMAL, ESGOTO PREDIAL</v>
          </cell>
          <cell r="C4628" t="str">
            <v xml:space="preserve">UN    </v>
          </cell>
          <cell r="D4628">
            <v>8.18</v>
          </cell>
        </row>
        <row r="4629">
          <cell r="A4629">
            <v>1591</v>
          </cell>
          <cell r="B4629" t="str">
            <v>TERMINAL METALICO A PRESSAO PARA 1 CABO DE 120 MM2, COM 1 FURO DE FIXACAO</v>
          </cell>
          <cell r="C4629" t="str">
            <v xml:space="preserve">UN    </v>
          </cell>
          <cell r="D4629">
            <v>17.88</v>
          </cell>
        </row>
        <row r="4630">
          <cell r="A4630">
            <v>1547</v>
          </cell>
          <cell r="B4630" t="str">
            <v>TERMINAL METALICO A PRESSAO PARA 1 CABO DE 150 A 185 MM2, COM 2 FUROS PARA FIXACAO</v>
          </cell>
          <cell r="C4630" t="str">
            <v xml:space="preserve">UN    </v>
          </cell>
          <cell r="D4630">
            <v>93.69</v>
          </cell>
        </row>
        <row r="4631">
          <cell r="A4631">
            <v>38196</v>
          </cell>
          <cell r="B4631" t="str">
            <v>TERMINAL METALICO A PRESSAO PARA 1 CABO DE 150 MM2, COM 1 FURO DE FIXACAO</v>
          </cell>
          <cell r="C4631" t="str">
            <v xml:space="preserve">UN    </v>
          </cell>
          <cell r="D4631">
            <v>18.25</v>
          </cell>
        </row>
        <row r="4632">
          <cell r="A4632">
            <v>1543</v>
          </cell>
          <cell r="B4632" t="str">
            <v>TERMINAL METALICO A PRESSAO PARA 1 CABO DE 16 A 25 MM2, COM 2 FUROS PARA FIXACAO</v>
          </cell>
          <cell r="C4632" t="str">
            <v xml:space="preserve">UN    </v>
          </cell>
          <cell r="D4632">
            <v>19.39</v>
          </cell>
        </row>
        <row r="4633">
          <cell r="A4633">
            <v>1585</v>
          </cell>
          <cell r="B4633" t="str">
            <v>TERMINAL METALICO A PRESSAO PARA 1 CABO DE 16 MM2, COM 1 FURO DE FIXACAO</v>
          </cell>
          <cell r="C4633" t="str">
            <v xml:space="preserve">UN    </v>
          </cell>
          <cell r="D4633">
            <v>3.75</v>
          </cell>
        </row>
        <row r="4634">
          <cell r="A4634">
            <v>1593</v>
          </cell>
          <cell r="B4634" t="str">
            <v>TERMINAL METALICO A PRESSAO PARA 1 CABO DE 185 MM2, COM 1 FURO DE FIXACAO</v>
          </cell>
          <cell r="C4634" t="str">
            <v xml:space="preserve">UN    </v>
          </cell>
          <cell r="D4634">
            <v>19.940000000000001</v>
          </cell>
        </row>
        <row r="4635">
          <cell r="A4635">
            <v>11838</v>
          </cell>
          <cell r="B4635" t="str">
            <v>TERMINAL METALICO A PRESSAO PARA 1 CABO DE 240 MM2, COM 1 FURO DE FIXACAO</v>
          </cell>
          <cell r="C4635" t="str">
            <v xml:space="preserve">UN    </v>
          </cell>
          <cell r="D4635">
            <v>26.31</v>
          </cell>
        </row>
        <row r="4636">
          <cell r="A4636">
            <v>1594</v>
          </cell>
          <cell r="B4636" t="str">
            <v>TERMINAL METALICO A PRESSAO PARA 1 CABO DE 25 A 35 MM2, COM 2 FUROS PARA FIXACAO</v>
          </cell>
          <cell r="C4636" t="str">
            <v xml:space="preserve">UN    </v>
          </cell>
          <cell r="D4636">
            <v>26.6</v>
          </cell>
        </row>
        <row r="4637">
          <cell r="A4637">
            <v>1586</v>
          </cell>
          <cell r="B4637" t="str">
            <v>TERMINAL METALICO A PRESSAO PARA 1 CABO DE 25 MM2, COM 1 FURO DE FIXACAO</v>
          </cell>
          <cell r="C4637" t="str">
            <v xml:space="preserve">UN    </v>
          </cell>
          <cell r="D4637">
            <v>4.75</v>
          </cell>
        </row>
        <row r="4638">
          <cell r="A4638">
            <v>11839</v>
          </cell>
          <cell r="B4638" t="str">
            <v>TERMINAL METALICO A PRESSAO PARA 1 CABO DE 300 MM2, COM 1 FURO DE FIXACAO</v>
          </cell>
          <cell r="C4638" t="str">
            <v xml:space="preserve">UN    </v>
          </cell>
          <cell r="D4638">
            <v>38.29</v>
          </cell>
        </row>
        <row r="4639">
          <cell r="A4639">
            <v>1587</v>
          </cell>
          <cell r="B4639" t="str">
            <v>TERMINAL METALICO A PRESSAO PARA 1 CABO DE 35 MM2, COM 1 FURO DE FIXACAO</v>
          </cell>
          <cell r="C4639" t="str">
            <v xml:space="preserve">UN    </v>
          </cell>
          <cell r="D4639">
            <v>4.84</v>
          </cell>
        </row>
        <row r="4640">
          <cell r="A4640">
            <v>1545</v>
          </cell>
          <cell r="B4640" t="str">
            <v>TERMINAL METALICO A PRESSAO PARA 1 CABO DE 50 A 70 MM2, COM 2 FUROS PARA FIXACAO</v>
          </cell>
          <cell r="C4640" t="str">
            <v xml:space="preserve">UN    </v>
          </cell>
          <cell r="D4640">
            <v>45.94</v>
          </cell>
        </row>
        <row r="4641">
          <cell r="A4641">
            <v>1588</v>
          </cell>
          <cell r="B4641" t="str">
            <v>TERMINAL METALICO A PRESSAO PARA 1 CABO DE 50 MM2, COM 1 FURO DE FIXACAO</v>
          </cell>
          <cell r="C4641" t="str">
            <v xml:space="preserve">UN    </v>
          </cell>
          <cell r="D4641">
            <v>6.64</v>
          </cell>
        </row>
        <row r="4642">
          <cell r="A4642">
            <v>1535</v>
          </cell>
          <cell r="B4642" t="str">
            <v>TERMINAL METALICO A PRESSAO PARA 1 CABO DE 6 A 10 MM2, COM 1 FURO DE FIXACAO</v>
          </cell>
          <cell r="C4642" t="str">
            <v xml:space="preserve">UN    </v>
          </cell>
          <cell r="D4642">
            <v>3.82</v>
          </cell>
        </row>
        <row r="4643">
          <cell r="A4643">
            <v>1589</v>
          </cell>
          <cell r="B4643" t="str">
            <v>TERMINAL METALICO A PRESSAO PARA 1 CABO DE 70 MM2, COM 1 FURO DE FIXACAO</v>
          </cell>
          <cell r="C4643" t="str">
            <v xml:space="preserve">UN    </v>
          </cell>
          <cell r="D4643">
            <v>6.85</v>
          </cell>
        </row>
        <row r="4644">
          <cell r="A4644">
            <v>1546</v>
          </cell>
          <cell r="B4644" t="str">
            <v>TERMINAL METALICO A PRESSAO PARA 1 CABO DE 95 A 120 MM2, COM 2 FUROS PARA FIXACAO</v>
          </cell>
          <cell r="C4644" t="str">
            <v xml:space="preserve">UN    </v>
          </cell>
          <cell r="D4644">
            <v>77.53</v>
          </cell>
        </row>
        <row r="4645">
          <cell r="A4645">
            <v>1590</v>
          </cell>
          <cell r="B4645" t="str">
            <v>TERMINAL METALICO A PRESSAO PARA 1 CABO DE 95 MM2, COM 1 FURO DE FIXACAO</v>
          </cell>
          <cell r="C4645" t="str">
            <v xml:space="preserve">UN    </v>
          </cell>
          <cell r="D4645">
            <v>12.06</v>
          </cell>
        </row>
        <row r="4646">
          <cell r="A4646">
            <v>1542</v>
          </cell>
          <cell r="B4646" t="str">
            <v>TERMINAL METALICO A PRESSAO 1 CABO, PARA CABOS DE 4 A 10 MM2, COM 2 FUROS PARA FIXACAO</v>
          </cell>
          <cell r="C4646" t="str">
            <v xml:space="preserve">UN    </v>
          </cell>
          <cell r="D4646">
            <v>15.97</v>
          </cell>
        </row>
        <row r="4647">
          <cell r="A4647">
            <v>38415</v>
          </cell>
          <cell r="B4647" t="str">
            <v>TERMOFUSORA PARA TUBOS E CONEXOES EM PPR COM DIAMETROS DE 20 A 63 MM, POTENCIA DE 800 W, TENSAO 220 V</v>
          </cell>
          <cell r="C4647" t="str">
            <v xml:space="preserve">UN    </v>
          </cell>
          <cell r="D4647">
            <v>925.46</v>
          </cell>
        </row>
        <row r="4648">
          <cell r="A4648">
            <v>38414</v>
          </cell>
          <cell r="B4648" t="str">
            <v>TERMOFUSORA PARA TUBOS E CONEXOES EM PPR COM DIAMETROS DE 75 A 110 MM, POTENCIA DE *1100* W, TENSAO 220 V</v>
          </cell>
          <cell r="C4648" t="str">
            <v xml:space="preserve">UN    </v>
          </cell>
          <cell r="D4648">
            <v>1298.8900000000001</v>
          </cell>
        </row>
        <row r="4649">
          <cell r="A4649">
            <v>38128</v>
          </cell>
          <cell r="B4649" t="str">
            <v>TERRA VEGETAL (ENSACADA)</v>
          </cell>
          <cell r="C4649" t="str">
            <v xml:space="preserve">KG    </v>
          </cell>
          <cell r="D4649">
            <v>0.51</v>
          </cell>
        </row>
        <row r="4650">
          <cell r="A4650">
            <v>7253</v>
          </cell>
          <cell r="B4650" t="str">
            <v>TERRA VEGETAL (GRANEL)</v>
          </cell>
          <cell r="C4650" t="str">
            <v xml:space="preserve">M3    </v>
          </cell>
          <cell r="D4650">
            <v>109.28</v>
          </cell>
        </row>
        <row r="4651">
          <cell r="A4651">
            <v>4806</v>
          </cell>
          <cell r="B4651" t="str">
            <v>TESTEIRA ANTIDERRAPANTE PARA PISO VINILICO *5 X 2,5* CM, E = 2 MM</v>
          </cell>
          <cell r="C4651" t="str">
            <v xml:space="preserve">M     </v>
          </cell>
          <cell r="D4651">
            <v>14.55</v>
          </cell>
        </row>
        <row r="4652">
          <cell r="A4652">
            <v>34401</v>
          </cell>
          <cell r="B4652" t="str">
            <v>TIJOLO CERAMICO LAMINADO 5,5 X 11 X 23 CM (L X A X C)</v>
          </cell>
          <cell r="C4652" t="str">
            <v xml:space="preserve">UN    </v>
          </cell>
          <cell r="D4652">
            <v>1.42</v>
          </cell>
        </row>
        <row r="4653">
          <cell r="A4653">
            <v>7260</v>
          </cell>
          <cell r="B4653" t="str">
            <v>TIJOLO CERAMICO MACICO APARENTE *6 X 12 X 24* CM (L X A X C)</v>
          </cell>
          <cell r="C4653" t="str">
            <v xml:space="preserve">UN    </v>
          </cell>
          <cell r="D4653">
            <v>1.26</v>
          </cell>
        </row>
        <row r="4654">
          <cell r="A4654">
            <v>7256</v>
          </cell>
          <cell r="B4654" t="str">
            <v>TIJOLO CERAMICO MACICO APARENTE 2 FUROS, *6,5 X 10 X 20* CM (L X A X C)</v>
          </cell>
          <cell r="C4654" t="str">
            <v xml:space="preserve">UN    </v>
          </cell>
          <cell r="D4654">
            <v>1.25</v>
          </cell>
        </row>
        <row r="4655">
          <cell r="A4655">
            <v>7258</v>
          </cell>
          <cell r="B4655" t="str">
            <v>TIJOLO CERAMICO MACICO COMUM *5 X 10 X 20* CM (L X A X C)</v>
          </cell>
          <cell r="C4655" t="str">
            <v xml:space="preserve">UN    </v>
          </cell>
          <cell r="D4655">
            <v>0.51</v>
          </cell>
        </row>
        <row r="4656">
          <cell r="A4656">
            <v>34400</v>
          </cell>
          <cell r="B4656" t="str">
            <v>TIJOLO CERAMICO REFRATARIO 2,5 X 11,4 X 22,9 CM (L X A X C)</v>
          </cell>
          <cell r="C4656" t="str">
            <v xml:space="preserve">UN    </v>
          </cell>
          <cell r="D4656">
            <v>2.19</v>
          </cell>
        </row>
        <row r="4657">
          <cell r="A4657">
            <v>10617</v>
          </cell>
          <cell r="B4657" t="str">
            <v>TIJOLO CERAMICO REFRATARIO 6,3 X 11,4 X 22,9 CM (L X A X C)</v>
          </cell>
          <cell r="C4657" t="str">
            <v xml:space="preserve">UN    </v>
          </cell>
          <cell r="D4657">
            <v>4.1900000000000004</v>
          </cell>
        </row>
        <row r="4658">
          <cell r="A4658">
            <v>7274</v>
          </cell>
          <cell r="B4658" t="str">
            <v>TIL PARA LIGACAO PREDIAL, EM PVC, JE, BBB, DN 100 X 100 MM, PARA REDE COLETORA ESGOTO (NBR 10569)</v>
          </cell>
          <cell r="C4658" t="str">
            <v xml:space="preserve">UN    </v>
          </cell>
          <cell r="D4658">
            <v>26.54</v>
          </cell>
        </row>
        <row r="4659">
          <cell r="A4659">
            <v>11663</v>
          </cell>
          <cell r="B4659" t="str">
            <v>TIL TUBO QUEDA, EM PVC, JE, BBB, DN 100 X 100 MM, PARA REDE COLETORA DE ESGOTO (NBR 10569)</v>
          </cell>
          <cell r="C4659" t="str">
            <v xml:space="preserve">UN    </v>
          </cell>
          <cell r="D4659">
            <v>218.35</v>
          </cell>
        </row>
        <row r="4660">
          <cell r="A4660">
            <v>154</v>
          </cell>
          <cell r="B4660" t="str">
            <v>TINTA / REVESTIMENTO A BASE DE RESINA EPOXI COM ALCATRAO, BICOMPONENTE</v>
          </cell>
          <cell r="C4660" t="str">
            <v xml:space="preserve">L     </v>
          </cell>
          <cell r="D4660">
            <v>51.1</v>
          </cell>
        </row>
        <row r="4661">
          <cell r="A4661">
            <v>38121</v>
          </cell>
          <cell r="B4661" t="str">
            <v>TINTA A BASE DE RESINA ACRILICA EMULSIONADA EM AGUA, PARA SINALIZACAO HORIZONTAL VIARIA (NBR 13699)</v>
          </cell>
          <cell r="C4661" t="str">
            <v xml:space="preserve">L     </v>
          </cell>
          <cell r="D4661">
            <v>7.03</v>
          </cell>
        </row>
        <row r="4662">
          <cell r="A4662">
            <v>7343</v>
          </cell>
          <cell r="B4662" t="str">
            <v>TINTA A BASE DE RESINA ACRILICA, PARA SINALIZACAO HORIZONTAL VIARIA (NBR 11862)</v>
          </cell>
          <cell r="C4662" t="str">
            <v xml:space="preserve">L     </v>
          </cell>
          <cell r="D4662">
            <v>7.11</v>
          </cell>
        </row>
        <row r="4663">
          <cell r="A4663">
            <v>7350</v>
          </cell>
          <cell r="B4663" t="str">
            <v>TINTA ACRILICA PARA CERAMICA</v>
          </cell>
          <cell r="C4663" t="str">
            <v xml:space="preserve">L     </v>
          </cell>
          <cell r="D4663">
            <v>23.69</v>
          </cell>
        </row>
        <row r="4664">
          <cell r="A4664">
            <v>7348</v>
          </cell>
          <cell r="B4664" t="str">
            <v>TINTA ACRILICA PREMIUM PARA PISO</v>
          </cell>
          <cell r="C4664" t="str">
            <v xml:space="preserve">L     </v>
          </cell>
          <cell r="D4664">
            <v>13.29</v>
          </cell>
        </row>
        <row r="4665">
          <cell r="A4665">
            <v>7356</v>
          </cell>
          <cell r="B4665" t="str">
            <v>TINTA ACRILICA PREMIUM, COR BRANCO FOSCO</v>
          </cell>
          <cell r="C4665" t="str">
            <v xml:space="preserve">L     </v>
          </cell>
          <cell r="D4665">
            <v>19.920000000000002</v>
          </cell>
        </row>
        <row r="4666">
          <cell r="A4666">
            <v>7313</v>
          </cell>
          <cell r="B4666" t="str">
            <v>TINTA ASFALTICA IMPERMEABILIZANTE DILUIDA EM SOLVENTE, PARA MATERIAIS CIMENTICIOS, METAL E MADEIRA</v>
          </cell>
          <cell r="C4666" t="str">
            <v xml:space="preserve">L     </v>
          </cell>
          <cell r="D4666">
            <v>12.36</v>
          </cell>
        </row>
        <row r="4667">
          <cell r="A4667">
            <v>7319</v>
          </cell>
          <cell r="B4667" t="str">
            <v>TINTA ASFALTICA IMPERMEABILIZANTE DISPERSA EM AGUA, PARA MATERIAIS CIMENTICIOS</v>
          </cell>
          <cell r="C4667" t="str">
            <v xml:space="preserve">L     </v>
          </cell>
          <cell r="D4667">
            <v>7.07</v>
          </cell>
        </row>
        <row r="4668">
          <cell r="A4668">
            <v>38119</v>
          </cell>
          <cell r="B4668" t="str">
            <v>TINTA BORRACHA CLORADA, ACABAMENTO SEMIBRILHO, BRANCA</v>
          </cell>
          <cell r="C4668" t="str">
            <v xml:space="preserve">L     </v>
          </cell>
          <cell r="D4668">
            <v>95.61</v>
          </cell>
        </row>
        <row r="4669">
          <cell r="A4669">
            <v>7314</v>
          </cell>
          <cell r="B4669" t="str">
            <v>TINTA BORRACHA CLORADA, ACABAMENTO SEMIBRILHO, CORES VIVAS</v>
          </cell>
          <cell r="C4669" t="str">
            <v xml:space="preserve">L     </v>
          </cell>
          <cell r="D4669">
            <v>103.04</v>
          </cell>
        </row>
        <row r="4670">
          <cell r="A4670">
            <v>38131</v>
          </cell>
          <cell r="B4670" t="str">
            <v>TINTA BORRACHA, CLORADA, ACABAMENTO SEMIBRILHO, PRETA</v>
          </cell>
          <cell r="C4670" t="str">
            <v xml:space="preserve">L     </v>
          </cell>
          <cell r="D4670">
            <v>96.47</v>
          </cell>
        </row>
        <row r="4671">
          <cell r="A4671">
            <v>7304</v>
          </cell>
          <cell r="B4671" t="str">
            <v>TINTA EPOXI PREMIUM, BRANCA</v>
          </cell>
          <cell r="C4671" t="str">
            <v xml:space="preserve">L     </v>
          </cell>
          <cell r="D4671">
            <v>54.99</v>
          </cell>
        </row>
        <row r="4672">
          <cell r="A4672">
            <v>7293</v>
          </cell>
          <cell r="B4672" t="str">
            <v>TINTA ESMALTE SINTETICO GRAFITE COM PROTECAO PARA METAIS FERROSOS</v>
          </cell>
          <cell r="C4672" t="str">
            <v xml:space="preserve">L     </v>
          </cell>
          <cell r="D4672">
            <v>24.65</v>
          </cell>
        </row>
        <row r="4673">
          <cell r="A4673">
            <v>7311</v>
          </cell>
          <cell r="B4673" t="str">
            <v>TINTA ESMALTE SINTETICO PREMIUM ACETINADO</v>
          </cell>
          <cell r="C4673" t="str">
            <v xml:space="preserve">L     </v>
          </cell>
          <cell r="D4673">
            <v>23.84</v>
          </cell>
        </row>
        <row r="4674">
          <cell r="A4674">
            <v>7292</v>
          </cell>
          <cell r="B4674" t="str">
            <v>TINTA ESMALTE SINTETICO PREMIUM BRILHANTE</v>
          </cell>
          <cell r="C4674" t="str">
            <v xml:space="preserve">L     </v>
          </cell>
          <cell r="D4674">
            <v>23.15</v>
          </cell>
        </row>
        <row r="4675">
          <cell r="A4675">
            <v>7288</v>
          </cell>
          <cell r="B4675" t="str">
            <v>TINTA ESMALTE SINTETICO PREMIUM FOSCO</v>
          </cell>
          <cell r="C4675" t="str">
            <v xml:space="preserve">L     </v>
          </cell>
          <cell r="D4675">
            <v>26.23</v>
          </cell>
        </row>
        <row r="4676">
          <cell r="A4676">
            <v>35693</v>
          </cell>
          <cell r="B4676" t="str">
            <v>TINTA LATEX ACRILICA ECONOMICA, COR BRANCA</v>
          </cell>
          <cell r="C4676" t="str">
            <v xml:space="preserve">L     </v>
          </cell>
          <cell r="D4676">
            <v>9.14</v>
          </cell>
        </row>
        <row r="4677">
          <cell r="A4677">
            <v>35692</v>
          </cell>
          <cell r="B4677" t="str">
            <v>TINTA LATEX ACRILICA STANDARD, COR BRANCA</v>
          </cell>
          <cell r="C4677" t="str">
            <v xml:space="preserve">L     </v>
          </cell>
          <cell r="D4677">
            <v>48.98</v>
          </cell>
        </row>
        <row r="4678">
          <cell r="A4678">
            <v>7342</v>
          </cell>
          <cell r="B4678" t="str">
            <v>TINTA MINERAL IMPERMEAVEL EM PO, BRANCA</v>
          </cell>
          <cell r="C4678" t="str">
            <v xml:space="preserve">KG    </v>
          </cell>
          <cell r="D4678">
            <v>1.35</v>
          </cell>
        </row>
        <row r="4679">
          <cell r="A4679">
            <v>7306</v>
          </cell>
          <cell r="B4679" t="str">
            <v>TINTA PROTETORA SUPERFICIE METALICA ALUMINIO</v>
          </cell>
          <cell r="C4679" t="str">
            <v xml:space="preserve">L     </v>
          </cell>
          <cell r="D4679">
            <v>28.27</v>
          </cell>
        </row>
        <row r="4680">
          <cell r="A4680">
            <v>39574</v>
          </cell>
          <cell r="B4680" t="str">
            <v>TIRANTE COM ELO, EM ARAME GALVANIZADO RIGIDO, NUMERO 10, COMPRIMENTO 2000 MM, PARA PENDURAL DE FORRO REMOVIVEL</v>
          </cell>
          <cell r="C4680" t="str">
            <v xml:space="preserve">UN    </v>
          </cell>
          <cell r="D4680">
            <v>3.33</v>
          </cell>
        </row>
        <row r="4681">
          <cell r="A4681">
            <v>11060</v>
          </cell>
          <cell r="B4681" t="str">
            <v>TIRANTE EM FERRO GALVANIZADO PARA CONTRAVENTAMENTO DE TELHA CANALETE 90, 1/4 " X 400 MM</v>
          </cell>
          <cell r="C4681" t="str">
            <v xml:space="preserve">UN    </v>
          </cell>
          <cell r="D4681">
            <v>24.82</v>
          </cell>
        </row>
        <row r="4682">
          <cell r="A4682">
            <v>37401</v>
          </cell>
          <cell r="B4682" t="str">
            <v>TOALHEIRO PLASTICO TIPO DISPENSER PARA PAPEL TOALHA INTERFOLHADO</v>
          </cell>
          <cell r="C4682" t="str">
            <v xml:space="preserve">UN    </v>
          </cell>
          <cell r="D4682">
            <v>53.04</v>
          </cell>
        </row>
        <row r="4683">
          <cell r="A4683">
            <v>7525</v>
          </cell>
          <cell r="B4683" t="str">
            <v>TOMADA INDUSTRIAL DE EMBUTIR 3P+T 30 A, 440 V, COM TRAVA, COM PLACA</v>
          </cell>
          <cell r="C4683" t="str">
            <v xml:space="preserve">UN    </v>
          </cell>
          <cell r="D4683">
            <v>27.13</v>
          </cell>
        </row>
        <row r="4684">
          <cell r="A4684">
            <v>7524</v>
          </cell>
          <cell r="B4684" t="str">
            <v>TOMADA INDUSTRIAL DE EMBUTIR 3P+T 30 A, 440 V, COM TRAVA, SEM PLACA</v>
          </cell>
          <cell r="C4684" t="str">
            <v xml:space="preserve">UN    </v>
          </cell>
          <cell r="D4684">
            <v>25.56</v>
          </cell>
        </row>
        <row r="4685">
          <cell r="A4685">
            <v>38105</v>
          </cell>
          <cell r="B4685" t="str">
            <v>TOMADA PARA ANTENA DE TV, CABO COAXIAL DE 9 MM (APENAS MODULO)</v>
          </cell>
          <cell r="C4685" t="str">
            <v xml:space="preserve">UN    </v>
          </cell>
          <cell r="D4685">
            <v>6.56</v>
          </cell>
        </row>
        <row r="4686">
          <cell r="A4686">
            <v>38084</v>
          </cell>
          <cell r="B4686" t="str">
            <v>TOMADA PARA ANTENA DE TV, CABO COAXIAL DE 9 MM, CONJUNTO MONTADO PARA EMBUTIR 4" X 2" (PLACA + SUPORTE + MODULO)</v>
          </cell>
          <cell r="C4686" t="str">
            <v xml:space="preserve">UN    </v>
          </cell>
          <cell r="D4686">
            <v>9.32</v>
          </cell>
        </row>
        <row r="4687">
          <cell r="A4687">
            <v>38103</v>
          </cell>
          <cell r="B4687" t="str">
            <v>TOMADA RJ11, 2 FIOS (APENAS MODULO)</v>
          </cell>
          <cell r="C4687" t="str">
            <v xml:space="preserve">UN    </v>
          </cell>
          <cell r="D4687">
            <v>9.86</v>
          </cell>
        </row>
        <row r="4688">
          <cell r="A4688">
            <v>38082</v>
          </cell>
          <cell r="B4688" t="str">
            <v>TOMADA RJ11, 2 FIOS, CONJUNTO MONTADO PARA EMBUTIR 4" X 2" (PLACA + SUPORTE + MODULO)</v>
          </cell>
          <cell r="C4688" t="str">
            <v xml:space="preserve">UN    </v>
          </cell>
          <cell r="D4688">
            <v>12.14</v>
          </cell>
        </row>
        <row r="4689">
          <cell r="A4689">
            <v>38104</v>
          </cell>
          <cell r="B4689" t="str">
            <v>TOMADA RJ45, 8 FIOS, CAT 5E (APENAS MODULO)</v>
          </cell>
          <cell r="C4689" t="str">
            <v xml:space="preserve">UN    </v>
          </cell>
          <cell r="D4689">
            <v>19.3</v>
          </cell>
        </row>
        <row r="4690">
          <cell r="A4690">
            <v>38083</v>
          </cell>
          <cell r="B4690" t="str">
            <v>TOMADA RJ45, 8 FIOS, CAT 5E, CONJUNTO MONTADO PARA EMBUTIR 4" X 2" (PLACA + SUPORTE + MODULO)</v>
          </cell>
          <cell r="C4690" t="str">
            <v xml:space="preserve">UN    </v>
          </cell>
          <cell r="D4690">
            <v>21.43</v>
          </cell>
        </row>
        <row r="4691">
          <cell r="A4691">
            <v>38101</v>
          </cell>
          <cell r="B4691" t="str">
            <v>TOMADA 2P+T 10A, 250V  (APENAS MODULO)</v>
          </cell>
          <cell r="C4691" t="str">
            <v xml:space="preserve">UN    </v>
          </cell>
          <cell r="D4691">
            <v>4.6900000000000004</v>
          </cell>
        </row>
        <row r="4692">
          <cell r="A4692">
            <v>7528</v>
          </cell>
          <cell r="B4692" t="str">
            <v>TOMADA 2P+T 10A, 250V, CONJUNTO MONTADO PARA EMBUTIR 4" X 2" (PLACA + SUPORTE + MODULO)</v>
          </cell>
          <cell r="C4692" t="str">
            <v xml:space="preserve">UN    </v>
          </cell>
          <cell r="D4692">
            <v>5.51</v>
          </cell>
        </row>
        <row r="4693">
          <cell r="A4693">
            <v>12147</v>
          </cell>
          <cell r="B4693" t="str">
            <v>TOMADA 2P+T 10A, 250V, CONJUNTO MONTADO PARA SOBREPOR 4" X 2" (CAIXA + MODULO)</v>
          </cell>
          <cell r="C4693" t="str">
            <v xml:space="preserve">UN    </v>
          </cell>
          <cell r="D4693">
            <v>8.4</v>
          </cell>
        </row>
        <row r="4694">
          <cell r="A4694">
            <v>38075</v>
          </cell>
          <cell r="B4694" t="str">
            <v>TOMADA 2P+T 20A 250V, CONJUNTO MONTADO PARA EMBUTIR 4" X 2" (PLACA + SUPORTE + MODULO)</v>
          </cell>
          <cell r="C4694" t="str">
            <v xml:space="preserve">UN    </v>
          </cell>
          <cell r="D4694">
            <v>9.5399999999999991</v>
          </cell>
        </row>
        <row r="4695">
          <cell r="A4695">
            <v>38102</v>
          </cell>
          <cell r="B4695" t="str">
            <v>TOMADA 2P+T 20A, 250V  (APENAS MODULO)</v>
          </cell>
          <cell r="C4695" t="str">
            <v xml:space="preserve">UN    </v>
          </cell>
          <cell r="D4695">
            <v>6</v>
          </cell>
        </row>
        <row r="4696">
          <cell r="A4696">
            <v>38076</v>
          </cell>
          <cell r="B4696" t="str">
            <v>TOMADAS (2 MODULOS) 2P+T 10A, 250V, CONJUNTO MONTADO PARA EMBUTIR 4" X 2" (PLACA + SUPORTE + MODULOS)</v>
          </cell>
          <cell r="C4696" t="str">
            <v xml:space="preserve">UN    </v>
          </cell>
          <cell r="D4696">
            <v>10.7</v>
          </cell>
        </row>
        <row r="4697">
          <cell r="A4697">
            <v>7592</v>
          </cell>
          <cell r="B4697" t="str">
            <v>TOPOGRAFO</v>
          </cell>
          <cell r="C4697" t="str">
            <v xml:space="preserve">H     </v>
          </cell>
          <cell r="D4697">
            <v>14.32</v>
          </cell>
        </row>
        <row r="4698">
          <cell r="A4698">
            <v>40820</v>
          </cell>
          <cell r="B4698" t="str">
            <v>TOPOGRAFO (MENSALISTA)</v>
          </cell>
          <cell r="C4698" t="str">
            <v xml:space="preserve">MES   </v>
          </cell>
          <cell r="D4698">
            <v>2539.59</v>
          </cell>
        </row>
        <row r="4699">
          <cell r="A4699">
            <v>11762</v>
          </cell>
          <cell r="B4699" t="str">
            <v>TORNEIRA CROMADA COM BICO PARA JARDIM/TANQUE 1/2 " OU 3/4 " (REF 1153)</v>
          </cell>
          <cell r="C4699" t="str">
            <v xml:space="preserve">UN    </v>
          </cell>
          <cell r="D4699">
            <v>57.01</v>
          </cell>
        </row>
        <row r="4700">
          <cell r="A4700">
            <v>13418</v>
          </cell>
          <cell r="B4700" t="str">
            <v>TORNEIRA CROMADA CURTA SEM BICO PARA TANQUE, PADRAO POPULAR, 1/2 " OU 3/4 " (REF 1140)</v>
          </cell>
          <cell r="C4700" t="str">
            <v xml:space="preserve">UN    </v>
          </cell>
          <cell r="D4700">
            <v>15.93</v>
          </cell>
        </row>
        <row r="4701">
          <cell r="A4701">
            <v>13984</v>
          </cell>
          <cell r="B4701" t="str">
            <v>TORNEIRA CROMADA CURTA SEM BICO PARA USO GERAL  1/2 " OU 3/4 " (REF 1152)</v>
          </cell>
          <cell r="C4701" t="str">
            <v xml:space="preserve">UN    </v>
          </cell>
          <cell r="D4701">
            <v>39.840000000000003</v>
          </cell>
        </row>
        <row r="4702">
          <cell r="A4702">
            <v>11772</v>
          </cell>
          <cell r="B4702" t="str">
            <v>TORNEIRA CROMADA DE MESA PARA COZINHA BICA MOVEL COM AREJADOR 1/2 " OU 3/4 " (REF 1167)</v>
          </cell>
          <cell r="C4702" t="str">
            <v xml:space="preserve">UN    </v>
          </cell>
          <cell r="D4702">
            <v>96.76</v>
          </cell>
        </row>
        <row r="4703">
          <cell r="A4703">
            <v>36795</v>
          </cell>
          <cell r="B4703" t="str">
            <v>TORNEIRA CROMADA DE MESA PARA LAVATORIO COM SENSOR DE PRESENCA</v>
          </cell>
          <cell r="C4703" t="str">
            <v xml:space="preserve">UN    </v>
          </cell>
          <cell r="D4703">
            <v>622.35</v>
          </cell>
        </row>
        <row r="4704">
          <cell r="A4704">
            <v>36796</v>
          </cell>
          <cell r="B4704" t="str">
            <v>TORNEIRA CROMADA DE MESA PARA LAVATORIO TEMPORIZADA PRESSAO BICA BAIXA</v>
          </cell>
          <cell r="C4704" t="str">
            <v xml:space="preserve">UN    </v>
          </cell>
          <cell r="D4704">
            <v>160.24</v>
          </cell>
        </row>
        <row r="4705">
          <cell r="A4705">
            <v>36791</v>
          </cell>
          <cell r="B4705" t="str">
            <v>TORNEIRA CROMADA DE MESA PARA LAVATORIO, BICA ALTA (REF 1195)</v>
          </cell>
          <cell r="C4705" t="str">
            <v xml:space="preserve">UN    </v>
          </cell>
          <cell r="D4705">
            <v>82.56</v>
          </cell>
        </row>
        <row r="4706">
          <cell r="A4706">
            <v>13415</v>
          </cell>
          <cell r="B4706" t="str">
            <v>TORNEIRA CROMADA DE MESA PARA LAVATORIO, PADRAO POPULAR, 1/2 " OU 3/4 " (REF 1193)</v>
          </cell>
          <cell r="C4706" t="str">
            <v xml:space="preserve">UN    </v>
          </cell>
          <cell r="D4706">
            <v>47.99</v>
          </cell>
        </row>
        <row r="4707">
          <cell r="A4707">
            <v>36792</v>
          </cell>
          <cell r="B4707" t="str">
            <v>TORNEIRA CROMADA DE PAREDE LONGA PARA LAVATORIO (REF 1178)</v>
          </cell>
          <cell r="C4707" t="str">
            <v xml:space="preserve">UN    </v>
          </cell>
          <cell r="D4707">
            <v>157.81</v>
          </cell>
        </row>
        <row r="4708">
          <cell r="A4708">
            <v>11773</v>
          </cell>
          <cell r="B4708" t="str">
            <v>TORNEIRA CROMADA DE PAREDE PARA COZINHA BICA MOVEL COM AREJADOR 1/2 " OU 3/4 " (REF 1168)</v>
          </cell>
          <cell r="C4708" t="str">
            <v xml:space="preserve">UN    </v>
          </cell>
          <cell r="D4708">
            <v>92.38</v>
          </cell>
        </row>
        <row r="4709">
          <cell r="A4709">
            <v>11775</v>
          </cell>
          <cell r="B4709" t="str">
            <v>TORNEIRA CROMADA DE PAREDE PARA COZINHA COM AREJADOR 1/2 " OU 3/4 " (REF 1157)</v>
          </cell>
          <cell r="C4709" t="str">
            <v xml:space="preserve">UN    </v>
          </cell>
          <cell r="D4709">
            <v>96.46</v>
          </cell>
        </row>
        <row r="4710">
          <cell r="A4710">
            <v>13983</v>
          </cell>
          <cell r="B4710" t="str">
            <v>TORNEIRA CROMADA DE PAREDE PARA COZINHA COM AREJADOR, PADRAO POPULAR, 1/2 " OU 3/4 " (REF 1159)</v>
          </cell>
          <cell r="C4710" t="str">
            <v xml:space="preserve">UN    </v>
          </cell>
          <cell r="D4710">
            <v>49.28</v>
          </cell>
        </row>
        <row r="4711">
          <cell r="A4711">
            <v>13416</v>
          </cell>
          <cell r="B4711" t="str">
            <v>TORNEIRA CROMADA DE PAREDE PARA COZINHA SEM AREJADOR, PADRAO POPULAR, 1/2 " OU 3/4 " (REF 1158)</v>
          </cell>
          <cell r="C4711" t="str">
            <v xml:space="preserve">UN    </v>
          </cell>
          <cell r="D4711">
            <v>39.74</v>
          </cell>
        </row>
        <row r="4712">
          <cell r="A4712">
            <v>13417</v>
          </cell>
          <cell r="B4712" t="str">
            <v>TORNEIRA CROMADA SEM BICO PARA TANQUE 1/2 " OU 3/4 " (REF 1143)</v>
          </cell>
          <cell r="C4712" t="str">
            <v xml:space="preserve">UN    </v>
          </cell>
          <cell r="D4712">
            <v>35.06</v>
          </cell>
        </row>
        <row r="4713">
          <cell r="A4713">
            <v>7604</v>
          </cell>
          <cell r="B4713" t="str">
            <v>TORNEIRA CROMADA SEM BICO PARA TANQUE, PADRAO POPULAR, 1/2 " OU 3/4 " (REF 1126)</v>
          </cell>
          <cell r="C4713" t="str">
            <v xml:space="preserve">UN    </v>
          </cell>
          <cell r="D4713">
            <v>15.18</v>
          </cell>
        </row>
        <row r="4714">
          <cell r="A4714">
            <v>11763</v>
          </cell>
          <cell r="B4714" t="str">
            <v>TORNEIRA DE BOIA CONVENCIONAL PARA CAIXA D'AGUA, 1.1/2", COM HASTE E TORNEIRA METALICOS E BALAO PLASTICO</v>
          </cell>
          <cell r="C4714" t="str">
            <v xml:space="preserve">UN    </v>
          </cell>
          <cell r="D4714">
            <v>69.400000000000006</v>
          </cell>
        </row>
        <row r="4715">
          <cell r="A4715">
            <v>11764</v>
          </cell>
          <cell r="B4715" t="str">
            <v>TORNEIRA DE BOIA CONVENCIONAL PARA CAIXA D'AGUA, 1.1/4", COM HASTE E TORNEIRA METALICOS E BALAO PLASTICO</v>
          </cell>
          <cell r="C4715" t="str">
            <v xml:space="preserve">UN    </v>
          </cell>
          <cell r="D4715">
            <v>74.13</v>
          </cell>
        </row>
        <row r="4716">
          <cell r="A4716">
            <v>11829</v>
          </cell>
          <cell r="B4716" t="str">
            <v>TORNEIRA DE BOIA CONVENCIONAL PARA CAIXA D'AGUA, 1/2", COM HASTE E TORNEIRA METALICOS E BALAO PLASTICO</v>
          </cell>
          <cell r="C4716" t="str">
            <v xml:space="preserve">UN    </v>
          </cell>
          <cell r="D4716">
            <v>17.760000000000002</v>
          </cell>
        </row>
        <row r="4717">
          <cell r="A4717">
            <v>11825</v>
          </cell>
          <cell r="B4717" t="str">
            <v>TORNEIRA DE BOIA CONVENCIONAL PARA CAIXA D'AGUA, 1", COM HASTE E TORNEIRA METALICOS E BALAO PLASTICO</v>
          </cell>
          <cell r="C4717" t="str">
            <v xml:space="preserve">UN    </v>
          </cell>
          <cell r="D4717">
            <v>30.46</v>
          </cell>
        </row>
        <row r="4718">
          <cell r="A4718">
            <v>11767</v>
          </cell>
          <cell r="B4718" t="str">
            <v>TORNEIRA DE BOIA CONVENCIONAL PARA CAIXA D'AGUA, 2", COM HASTE E TORNEIRA METALICOS E BALAO PLASTICO</v>
          </cell>
          <cell r="C4718" t="str">
            <v xml:space="preserve">UN    </v>
          </cell>
          <cell r="D4718">
            <v>123.05</v>
          </cell>
        </row>
        <row r="4719">
          <cell r="A4719">
            <v>11830</v>
          </cell>
          <cell r="B4719" t="str">
            <v>TORNEIRA DE BOIA CONVENCIONAL PARA CAIXA D'AGUA, 3/4", COM HASTE E TORNEIRA METALICOS E BALAO PLASTICO</v>
          </cell>
          <cell r="C4719" t="str">
            <v xml:space="preserve">UN    </v>
          </cell>
          <cell r="D4719">
            <v>19.2</v>
          </cell>
        </row>
        <row r="4720">
          <cell r="A4720">
            <v>11766</v>
          </cell>
          <cell r="B4720" t="str">
            <v>TORNEIRA DE BOIA VAZAO TOTAL PARA CAIXA D'AGUA, 1/2", COM HASTE E TORNEIRA METALICOS E BALAO PLASTICO</v>
          </cell>
          <cell r="C4720" t="str">
            <v xml:space="preserve">UN    </v>
          </cell>
          <cell r="D4720">
            <v>34.130000000000003</v>
          </cell>
        </row>
        <row r="4721">
          <cell r="A4721">
            <v>11765</v>
          </cell>
          <cell r="B4721" t="str">
            <v>TORNEIRA DE BOIA VAZAO TOTAL PARA CAIXA D'AGUA, 1", COM HASTE E TORNEIRA METALICOS E BALAO PLASTICO</v>
          </cell>
          <cell r="C4721" t="str">
            <v xml:space="preserve">UN    </v>
          </cell>
          <cell r="D4721">
            <v>46.47</v>
          </cell>
        </row>
        <row r="4722">
          <cell r="A4722">
            <v>11824</v>
          </cell>
          <cell r="B4722" t="str">
            <v>TORNEIRA DE BOIA VAZAO TOTAL PARA CAIXA D'AGUA, 3/4", COM HASTE E TORNEIRA METALICOS E BALAO PLASTICO</v>
          </cell>
          <cell r="C4722" t="str">
            <v xml:space="preserve">UN    </v>
          </cell>
          <cell r="D4722">
            <v>35.200000000000003</v>
          </cell>
        </row>
        <row r="4723">
          <cell r="A4723">
            <v>11777</v>
          </cell>
          <cell r="B4723" t="str">
            <v>TORNEIRA ELETRICA DE PAREDE, BICA ALTA, PARA COZINHA, 5500 W (110/220 V)</v>
          </cell>
          <cell r="C4723" t="str">
            <v xml:space="preserve">UN    </v>
          </cell>
          <cell r="D4723">
            <v>138.22999999999999</v>
          </cell>
        </row>
        <row r="4724">
          <cell r="A4724">
            <v>7602</v>
          </cell>
          <cell r="B4724" t="str">
            <v>TORNEIRA METAL AMARELO COM BICO PARA JARDIM, PADRAO POPULAR, 1/2 " OU 3/4 " (REF 1128)</v>
          </cell>
          <cell r="C4724" t="str">
            <v xml:space="preserve">UN    </v>
          </cell>
          <cell r="D4724">
            <v>15.05</v>
          </cell>
        </row>
        <row r="4725">
          <cell r="A4725">
            <v>7603</v>
          </cell>
          <cell r="B4725" t="str">
            <v>TORNEIRA METAL AMARELO CURTA SEM BICO PARA TANQUE, PADRAO POPULAR, 1/2 " OU 3/4 " (REF 1120)</v>
          </cell>
          <cell r="C4725" t="str">
            <v xml:space="preserve">UN    </v>
          </cell>
          <cell r="D4725">
            <v>14.59</v>
          </cell>
        </row>
        <row r="4726">
          <cell r="A4726">
            <v>11826</v>
          </cell>
          <cell r="B4726" t="str">
            <v>TORNEIRA METALICA DE BOIA CONVENCIONAL PARA CAIXA D'AGUA, 1/2 ", COM HASTE, TORNEIRA E BALAO METALICOS</v>
          </cell>
          <cell r="C4726" t="str">
            <v xml:space="preserve">UN    </v>
          </cell>
          <cell r="D4726">
            <v>29.56</v>
          </cell>
        </row>
        <row r="4727">
          <cell r="A4727">
            <v>7606</v>
          </cell>
          <cell r="B4727" t="str">
            <v>TORNEIRA METALICA DE BOIA CONVENCIONAL PARA CAIXA D'AGUA, 3/4 ", COM HASTE, TORNEIRA E BALAO METALICOS</v>
          </cell>
          <cell r="C4727" t="str">
            <v xml:space="preserve">UN    </v>
          </cell>
          <cell r="D4727">
            <v>30.8</v>
          </cell>
        </row>
        <row r="4728">
          <cell r="A4728">
            <v>40329</v>
          </cell>
          <cell r="B4728" t="str">
            <v>TORNEIRA PLASTICA DE BOIA CONVENCIONAL PARA CAIXA DE AGUA, 3/4 ", COM HASTE METALICA E COM TORNEIRA E BALAO PLASTICOS (PADRAO POPULAR)</v>
          </cell>
          <cell r="C4728" t="str">
            <v xml:space="preserve">UN    </v>
          </cell>
          <cell r="D4728">
            <v>14.9</v>
          </cell>
        </row>
        <row r="4729">
          <cell r="A4729">
            <v>11823</v>
          </cell>
          <cell r="B4729" t="str">
            <v>TORNEIRA PLASTICA DE BOIA PARA CAIXA DE DESCARGA,  1/2", BALAO E TORNEIRA PLASTICOS, COM HASTE METALICA</v>
          </cell>
          <cell r="C4729" t="str">
            <v xml:space="preserve">UN    </v>
          </cell>
          <cell r="D4729">
            <v>6.44</v>
          </cell>
        </row>
        <row r="4730">
          <cell r="A4730">
            <v>11822</v>
          </cell>
          <cell r="B4730" t="str">
            <v>TORNEIRA PLASTICA DE MESA, BICA MOVEL, PARA COZINHA 1/2 "</v>
          </cell>
          <cell r="C4730" t="str">
            <v xml:space="preserve">UN    </v>
          </cell>
          <cell r="D4730">
            <v>35.08</v>
          </cell>
        </row>
        <row r="4731">
          <cell r="A4731">
            <v>11831</v>
          </cell>
          <cell r="B4731" t="str">
            <v>TORNEIRA PLASTICA PARA TANQUE 1/2 " OU 3/4 " COM BICO PARA MANGUEIRA</v>
          </cell>
          <cell r="C4731" t="str">
            <v xml:space="preserve">UN    </v>
          </cell>
          <cell r="D4731">
            <v>26.64</v>
          </cell>
        </row>
        <row r="4732">
          <cell r="A4732">
            <v>7613</v>
          </cell>
          <cell r="B4732" t="str">
            <v>TRANSFORMADOR TRIFASICO DE DISTRIBUICAO, POTENCIA DE 1000 KVA, TENSAO NOMINAL DE 15 KV, TENSAO SECUNDARIA DE 220/127V, EM OLEO ISOLANTE TIPO MINERAL</v>
          </cell>
          <cell r="C4732" t="str">
            <v xml:space="preserve">UN    </v>
          </cell>
          <cell r="D4732">
            <v>55959.45</v>
          </cell>
        </row>
        <row r="4733">
          <cell r="A4733">
            <v>7619</v>
          </cell>
          <cell r="B4733" t="str">
            <v>TRANSFORMADOR TRIFASICO DE DISTRIBUICAO, POTENCIA DE 112,5 KVA, TENSAO NOMINAL DE 15 KV, TENSAO SECUNDARIA DE 220/127V, EM OLEO ISOLANTE TIPO MINERAL</v>
          </cell>
          <cell r="C4733" t="str">
            <v xml:space="preserve">UN    </v>
          </cell>
          <cell r="D4733">
            <v>8650.1299999999992</v>
          </cell>
        </row>
        <row r="4734">
          <cell r="A4734">
            <v>12076</v>
          </cell>
          <cell r="B4734" t="str">
            <v>TRANSFORMADOR TRIFASICO DE DISTRIBUICAO, POTENCIA DE 15 KVA, TENSAO NOMINAL DE 15 KV, TENSAO SECUNDARIA DE 220/127V, EM OLEO ISOLANTE TIPO MINERAL</v>
          </cell>
          <cell r="C4734" t="str">
            <v xml:space="preserve">UN    </v>
          </cell>
          <cell r="D4734">
            <v>3967.95</v>
          </cell>
        </row>
        <row r="4735">
          <cell r="A4735">
            <v>7614</v>
          </cell>
          <cell r="B4735" t="str">
            <v>TRANSFORMADOR TRIFASICO DE DISTRIBUICAO, POTENCIA DE 150 KVA, TENSAO NOMINAL DE 15 KV, TENSAO SECUNDARIA DE 220/127V, EM OLEO ISOLANTE TIPO MINERAL</v>
          </cell>
          <cell r="C4735" t="str">
            <v xml:space="preserve">UN    </v>
          </cell>
          <cell r="D4735">
            <v>10909.88</v>
          </cell>
        </row>
        <row r="4736">
          <cell r="A4736">
            <v>7618</v>
          </cell>
          <cell r="B4736" t="str">
            <v>TRANSFORMADOR TRIFASICO DE DISTRIBUICAO, POTENCIA DE 1500 KVA, TENSAO NOMINAL DE 15 KV, TENSAO SECUNDARIA DE 220/127V, EM OLEO ISOLANTE TIPO MINERAL</v>
          </cell>
          <cell r="C4736" t="str">
            <v xml:space="preserve">UN    </v>
          </cell>
          <cell r="D4736">
            <v>70758.77</v>
          </cell>
        </row>
        <row r="4737">
          <cell r="A4737">
            <v>7620</v>
          </cell>
          <cell r="B4737" t="str">
            <v>TRANSFORMADOR TRIFASICO DE DISTRIBUICAO, POTENCIA DE 225 KVA, TENSAO NOMINAL DE 15 KV, TENSAO SECUNDARIA DE 220/127V, EM OLEO ISOLANTE TIPO MINERAL</v>
          </cell>
          <cell r="C4737" t="str">
            <v xml:space="preserve">UN    </v>
          </cell>
          <cell r="D4737">
            <v>15304.95</v>
          </cell>
        </row>
        <row r="4738">
          <cell r="A4738">
            <v>7610</v>
          </cell>
          <cell r="B4738" t="str">
            <v>TRANSFORMADOR TRIFASICO DE DISTRIBUICAO, POTENCIA DE 30 KVA, TENSAO NOMINAL DE 15 KV, TENSAO SECUNDARIA DE 220/127V, EM OLEO ISOLANTE TIPO MINERAL</v>
          </cell>
          <cell r="C4738" t="str">
            <v xml:space="preserve">UN    </v>
          </cell>
          <cell r="D4738">
            <v>4846.5600000000004</v>
          </cell>
        </row>
        <row r="4739">
          <cell r="A4739">
            <v>7615</v>
          </cell>
          <cell r="B4739" t="str">
            <v>TRANSFORMADOR TRIFASICO DE DISTRIBUICAO, POTENCIA DE 300 KVA, TENSAO NOMINAL DE 15 KV, TENSAO SECUNDARIA DE 220/127V, EM OLEO ISOLANTE TIPO MINERAL</v>
          </cell>
          <cell r="C4739" t="str">
            <v xml:space="preserve">UN    </v>
          </cell>
          <cell r="D4739">
            <v>17855.78</v>
          </cell>
        </row>
        <row r="4740">
          <cell r="A4740">
            <v>7617</v>
          </cell>
          <cell r="B4740" t="str">
            <v>TRANSFORMADOR TRIFASICO DE DISTRIBUICAO, POTENCIA DE 45 KVA, TENSAO NOMINAL DE 15 KV, TENSAO SECUNDARIA DE 220/127V, EM OLEO ISOLANTE TIPO MINERAL</v>
          </cell>
          <cell r="C4740" t="str">
            <v xml:space="preserve">UN    </v>
          </cell>
          <cell r="D4740">
            <v>5413.41</v>
          </cell>
        </row>
        <row r="4741">
          <cell r="A4741">
            <v>7616</v>
          </cell>
          <cell r="B4741" t="str">
            <v>TRANSFORMADOR TRIFASICO DE DISTRIBUICAO, POTENCIA DE 500 KVA, TENSAO NOMINAL DE 15 KV, TENSAO SECUNDARIA DE 220/127V, EM OLEO ISOLANTE TIPO MINERAL</v>
          </cell>
          <cell r="C4741" t="str">
            <v xml:space="preserve">UN    </v>
          </cell>
          <cell r="D4741">
            <v>29137.8</v>
          </cell>
        </row>
        <row r="4742">
          <cell r="A4742">
            <v>7611</v>
          </cell>
          <cell r="B4742" t="str">
            <v>TRANSFORMADOR TRIFASICO DE DISTRIBUICAO, POTENCIA DE 75 KVA, TENSAO NOMINAL DE 15 KV, TENSAO SECUNDARIA DE 220/127V, EM OLEO ISOLANTE TIPO MINERAL</v>
          </cell>
          <cell r="C4742" t="str">
            <v xml:space="preserve">UN    </v>
          </cell>
          <cell r="D4742">
            <v>7000.6</v>
          </cell>
        </row>
        <row r="4743">
          <cell r="A4743">
            <v>7612</v>
          </cell>
          <cell r="B4743" t="str">
            <v>TRANSFORMADOR TRIFASICO DE DISTRIBUICAO, POTENCIA DE 750 KVA, TENSAO NOMINAL DE 15 KV, TENSAO SECUNDARIA DE 220/127V, EM OLEO ISOLANTE TIPO MINERAL</v>
          </cell>
          <cell r="C4743" t="str">
            <v xml:space="preserve">UN    </v>
          </cell>
          <cell r="D4743">
            <v>39967.47</v>
          </cell>
        </row>
        <row r="4744">
          <cell r="A4744">
            <v>37371</v>
          </cell>
          <cell r="B4744" t="str">
            <v>TRANSPORTE - HORISTA (COLETADO CAIXA)</v>
          </cell>
          <cell r="C4744" t="str">
            <v xml:space="preserve">H     </v>
          </cell>
          <cell r="D4744">
            <v>0.71</v>
          </cell>
        </row>
        <row r="4745">
          <cell r="A4745">
            <v>40861</v>
          </cell>
          <cell r="B4745" t="str">
            <v>TRANSPORTE - MENSALISTA (COLETADO CAIXA)</v>
          </cell>
          <cell r="C4745" t="str">
            <v xml:space="preserve">MES   </v>
          </cell>
          <cell r="D4745">
            <v>133.68</v>
          </cell>
        </row>
        <row r="4746">
          <cell r="A4746">
            <v>36510</v>
          </cell>
          <cell r="B4746" t="str">
            <v>TRATOR DE ESTEIRAS, POTENCIA BRUTA DE 133 HP, PESO OPERACIONAL DE 14 T, COM LAMINA COM CAPACIDADE DE 3,00 M3</v>
          </cell>
          <cell r="C4746" t="str">
            <v xml:space="preserve">UN    </v>
          </cell>
          <cell r="D4746">
            <v>630519.85</v>
          </cell>
        </row>
        <row r="4747">
          <cell r="A4747">
            <v>25020</v>
          </cell>
          <cell r="B4747" t="str">
            <v>TRATOR DE ESTEIRAS, POTENCIA BRUTA DE 347 HP, PESO OPERACIONAL DE 38,5 T, COM ESCARIFICADOR E LAMINA COM CAPACIDADE DE 4,70M3</v>
          </cell>
          <cell r="C4747" t="str">
            <v xml:space="preserve">UN    </v>
          </cell>
          <cell r="D4747">
            <v>2597519.9500000002</v>
          </cell>
        </row>
        <row r="4748">
          <cell r="A4748">
            <v>7622</v>
          </cell>
          <cell r="B4748" t="str">
            <v>TRATOR DE ESTEIRAS, POTENCIA DE 100 HP, PESO OPERACIONAL DE 9,4 T, COM LAMINA COM CAPACIDADE DE 2,19 M3</v>
          </cell>
          <cell r="C4748" t="str">
            <v xml:space="preserve">UN    </v>
          </cell>
          <cell r="D4748">
            <v>611696.41</v>
          </cell>
        </row>
        <row r="4749">
          <cell r="A4749">
            <v>7624</v>
          </cell>
          <cell r="B4749" t="str">
            <v>TRATOR DE ESTEIRAS, POTENCIA DE 150 HP, PESO OPERACIONAL DE 16,7 T, COM RODA MOTRIZ ELEVADA E LAMINA COM CONTATO DE 3,18M3</v>
          </cell>
          <cell r="C4749" t="str">
            <v xml:space="preserve">UN    </v>
          </cell>
          <cell r="D4749">
            <v>793000</v>
          </cell>
        </row>
        <row r="4750">
          <cell r="A4750">
            <v>7625</v>
          </cell>
          <cell r="B4750" t="str">
            <v>TRATOR DE ESTEIRAS, POTENCIA DE 170 HP, PESO OPERACIONAL DE 19 T, COM LAMINA COM CAPACIDADE DE 5,2 M3</v>
          </cell>
          <cell r="C4750" t="str">
            <v xml:space="preserve">UN    </v>
          </cell>
          <cell r="D4750">
            <v>788149.77</v>
          </cell>
        </row>
        <row r="4751">
          <cell r="A4751">
            <v>7623</v>
          </cell>
          <cell r="B4751" t="str">
            <v>TRATOR DE ESTEIRAS, POTENCIA DE 347 HP, PESO OPERACIONAL DE 38,5 T, COM LAMINA COM CAPACIDADE DE 8,70M3</v>
          </cell>
          <cell r="C4751" t="str">
            <v xml:space="preserve">UN    </v>
          </cell>
          <cell r="D4751">
            <v>2597519.9500000002</v>
          </cell>
        </row>
        <row r="4752">
          <cell r="A4752">
            <v>36508</v>
          </cell>
          <cell r="B4752" t="str">
            <v>TRATOR DE ESTEIRAS, POTENCIA NO VOLANTE DE 200 HP, PESO OPERACIONAL DE 20,1 T, COM RODA MOTRIZ ELEVADA E LAMINA COM CAPACIDADE DE 3,89 M3</v>
          </cell>
          <cell r="C4752" t="str">
            <v xml:space="preserve">UN    </v>
          </cell>
          <cell r="D4752">
            <v>1168207.79</v>
          </cell>
        </row>
        <row r="4753">
          <cell r="A4753">
            <v>36509</v>
          </cell>
          <cell r="B4753" t="str">
            <v>TRATOR DE ESTEIRAS, POTENCIA 125 HP, PESO OPERACIONAL DE 12,9 T, COM LAMINA COM CAPACIDADE DE 2,7 M3</v>
          </cell>
          <cell r="C4753" t="str">
            <v xml:space="preserve">UN    </v>
          </cell>
          <cell r="D4753">
            <v>640220.14</v>
          </cell>
        </row>
        <row r="4754">
          <cell r="A4754">
            <v>13238</v>
          </cell>
          <cell r="B4754" t="str">
            <v>TRATOR DE PNEUS COM POTENCIA DE 105 CV, TRACAO 4 X 4, PESO COM LASTRO DE 5775 KG</v>
          </cell>
          <cell r="C4754" t="str">
            <v xml:space="preserve">UN    </v>
          </cell>
          <cell r="D4754">
            <v>158971.95000000001</v>
          </cell>
        </row>
        <row r="4755">
          <cell r="A4755">
            <v>36511</v>
          </cell>
          <cell r="B4755" t="str">
            <v>TRATOR DE PNEUS COM POTENCIA DE 122 CV, TRACAO 4 X 4, PESO COM LASTRO DE 4510 KG</v>
          </cell>
          <cell r="C4755" t="str">
            <v xml:space="preserve">UN    </v>
          </cell>
          <cell r="D4755">
            <v>184205.59</v>
          </cell>
        </row>
        <row r="4756">
          <cell r="A4756">
            <v>36515</v>
          </cell>
          <cell r="B4756" t="str">
            <v>TRATOR DE PNEUS COM POTENCIA DE 15 CV, PESO COM LASTRO DE 1160 KG</v>
          </cell>
          <cell r="C4756" t="str">
            <v xml:space="preserve">UN    </v>
          </cell>
          <cell r="D4756">
            <v>54252.32</v>
          </cell>
        </row>
        <row r="4757">
          <cell r="A4757">
            <v>10598</v>
          </cell>
          <cell r="B4757" t="str">
            <v>TRATOR DE PNEUS COM POTENCIA DE 50 CV, TRACAO 4 X 2, PESO COM LASTRO DE 2714 KG</v>
          </cell>
          <cell r="C4757" t="str">
            <v xml:space="preserve">UN    </v>
          </cell>
          <cell r="D4757">
            <v>87978.35</v>
          </cell>
        </row>
        <row r="4758">
          <cell r="A4758">
            <v>7640</v>
          </cell>
          <cell r="B4758" t="str">
            <v>TRATOR DE PNEUS COM POTENCIA DE 85 CV, TRACAO 4 X 4, PESO COM LASTRO DE 4675 KG</v>
          </cell>
          <cell r="C4758" t="str">
            <v xml:space="preserve">UN    </v>
          </cell>
          <cell r="D4758">
            <v>135000</v>
          </cell>
        </row>
        <row r="4759">
          <cell r="A4759">
            <v>36513</v>
          </cell>
          <cell r="B4759" t="str">
            <v>TRATOR DE PNEUS COM POTENCIA DE 85 CV, TURBO,  PESO COM LASTRO DE 4900 KG</v>
          </cell>
          <cell r="C4759" t="str">
            <v xml:space="preserve">UN    </v>
          </cell>
          <cell r="D4759">
            <v>130047.88</v>
          </cell>
        </row>
        <row r="4760">
          <cell r="A4760">
            <v>36514</v>
          </cell>
          <cell r="B4760" t="str">
            <v>TRATOR DE PNEUS COM POTENCIA DE 95 CV, TRACAO 4 X 4, PESO MAXIMO DE 5225 KG</v>
          </cell>
          <cell r="C4760" t="str">
            <v xml:space="preserve">UN    </v>
          </cell>
          <cell r="D4760">
            <v>145093.45000000001</v>
          </cell>
        </row>
        <row r="4761">
          <cell r="A4761">
            <v>36149</v>
          </cell>
          <cell r="B4761" t="str">
            <v>TRAVA-QUEDAS EM ACO PARA CORDA DE 12 MM, EXTENSOR DE 25 X 300 MM, COM MOSQUETAO TIPO GANCHO TRAVA DUPLA</v>
          </cell>
          <cell r="C4761" t="str">
            <v xml:space="preserve">UN    </v>
          </cell>
          <cell r="D4761">
            <v>141.58000000000001</v>
          </cell>
        </row>
        <row r="4762">
          <cell r="A4762">
            <v>42407</v>
          </cell>
          <cell r="B4762" t="str">
            <v>TRELICA NERVURADA (ESPACADOR), ALTURA = 120,0 MM, DIAMETRO DOS BANZOS INFERIORES E SUPERIOR = 6,0 MM, DIAMETRO DA DIAGONAL = 4,2 MM</v>
          </cell>
          <cell r="C4762" t="str">
            <v xml:space="preserve">M     </v>
          </cell>
          <cell r="D4762">
            <v>4.8</v>
          </cell>
        </row>
        <row r="4763">
          <cell r="A4763">
            <v>11581</v>
          </cell>
          <cell r="B4763" t="str">
            <v>TRILHO EM ALUMINIO "U", COM ABAULADO PARA ROLDANA DE PORTA DE CORRER, *40 X 40* MM</v>
          </cell>
          <cell r="C4763" t="str">
            <v xml:space="preserve">M     </v>
          </cell>
          <cell r="D4763">
            <v>25.52</v>
          </cell>
        </row>
        <row r="4764">
          <cell r="A4764">
            <v>11580</v>
          </cell>
          <cell r="B4764" t="str">
            <v>TRILHO QUADRADO, EM ALUMINIO (VERGALHAO MACICO), 1/4", (*6 X 6* CM), PARA RODIZIOS</v>
          </cell>
          <cell r="C4764" t="str">
            <v xml:space="preserve">M     </v>
          </cell>
          <cell r="D4764">
            <v>11.62</v>
          </cell>
        </row>
        <row r="4765">
          <cell r="A4765">
            <v>38177</v>
          </cell>
          <cell r="B4765" t="str">
            <v>TRINCO / FECHO TIPO AVIAO, EM ZAMAC CROMADO, *60* MM, PARA JANELAS - INCLUI PARAFUSOS</v>
          </cell>
          <cell r="C4765" t="str">
            <v xml:space="preserve">UN    </v>
          </cell>
          <cell r="D4765">
            <v>7.88</v>
          </cell>
        </row>
        <row r="4766">
          <cell r="A4766">
            <v>10743</v>
          </cell>
          <cell r="B4766" t="str">
            <v>TROLEY MANUAL CAPACIDADE 1 T</v>
          </cell>
          <cell r="C4766" t="str">
            <v xml:space="preserve">UN    </v>
          </cell>
          <cell r="D4766">
            <v>598.73</v>
          </cell>
        </row>
        <row r="4767">
          <cell r="A4767">
            <v>39848</v>
          </cell>
          <cell r="B4767" t="str">
            <v>TUBO / MANGUEIRA PRETA EM POLIETILENO, LINHA PESADA OU REFORCADA, TIPO ESPAGUETE, PARA INJECAO DE CALDA DE CIMENTO, D = 1/2", ESPESSURA 1,5 MM</v>
          </cell>
          <cell r="C4767" t="str">
            <v xml:space="preserve">M     </v>
          </cell>
          <cell r="D4767">
            <v>1.34</v>
          </cell>
        </row>
        <row r="4768">
          <cell r="A4768">
            <v>20999</v>
          </cell>
          <cell r="B4768" t="str">
            <v>TUBO ACO CARBONO COM COSTURA, NBR 5580, CLASSE L, DN = 15 MM, E = 2,25 MM, 1,06 KG/M</v>
          </cell>
          <cell r="C4768" t="str">
            <v xml:space="preserve">M     </v>
          </cell>
          <cell r="D4768">
            <v>7.32</v>
          </cell>
        </row>
        <row r="4769">
          <cell r="A4769">
            <v>21001</v>
          </cell>
          <cell r="B4769" t="str">
            <v>TUBO ACO CARBONO COM COSTURA, NBR 5580, CLASSE L, DN = 25 MM, E = 2,65 MM, 2,02 KG/M</v>
          </cell>
          <cell r="C4769" t="str">
            <v xml:space="preserve">M     </v>
          </cell>
          <cell r="D4769">
            <v>13.67</v>
          </cell>
        </row>
        <row r="4770">
          <cell r="A4770">
            <v>21003</v>
          </cell>
          <cell r="B4770" t="str">
            <v>TUBO ACO CARBONO COM COSTURA, NBR 5580, CLASSE L, DN = 40 MM, E = 3,0 MM, 3,34 KG/M</v>
          </cell>
          <cell r="C4770" t="str">
            <v xml:space="preserve">M     </v>
          </cell>
          <cell r="D4770">
            <v>22.46</v>
          </cell>
        </row>
        <row r="4771">
          <cell r="A4771">
            <v>21006</v>
          </cell>
          <cell r="B4771" t="str">
            <v>TUBO ACO CARBONO COM COSTURA, NBR 5580, CLASSE L, DN = 80 MM, E = 3,35 MM, 7,07 KG/M</v>
          </cell>
          <cell r="C4771" t="str">
            <v xml:space="preserve">M     </v>
          </cell>
          <cell r="D4771">
            <v>47.67</v>
          </cell>
        </row>
        <row r="4772">
          <cell r="A4772">
            <v>21019</v>
          </cell>
          <cell r="B4772" t="str">
            <v>TUBO ACO CARBONO COM COSTURA, NBR 5580, CLASSE M, DN = 25 MM, E = 3,35 MM, *2,50* KG//M</v>
          </cell>
          <cell r="C4772" t="str">
            <v xml:space="preserve">M     </v>
          </cell>
          <cell r="D4772">
            <v>16.57</v>
          </cell>
        </row>
        <row r="4773">
          <cell r="A4773">
            <v>21021</v>
          </cell>
          <cell r="B4773" t="str">
            <v>TUBO ACO CARBONO COM COSTURA, NBR 5580, CLASSE M, DN = 40 MM, E = 3,35 MM, *3,71* KG//M</v>
          </cell>
          <cell r="C4773" t="str">
            <v xml:space="preserve">M     </v>
          </cell>
          <cell r="D4773">
            <v>26.19</v>
          </cell>
        </row>
        <row r="4774">
          <cell r="A4774">
            <v>21024</v>
          </cell>
          <cell r="B4774" t="str">
            <v>TUBO ACO CARBONO COM COSTURA, NBR 5580, CLASSE M, DN = 80 MM, E = 4,05 MM, *8,47* KG/M</v>
          </cell>
          <cell r="C4774" t="str">
            <v xml:space="preserve">M     </v>
          </cell>
          <cell r="D4774">
            <v>56.12</v>
          </cell>
        </row>
        <row r="4775">
          <cell r="A4775">
            <v>40624</v>
          </cell>
          <cell r="B4775" t="str">
            <v>TUBO ACO CARBONO SEM COSTURA 1 1/2", E= *3,68 MM, SCHEDULE 40, 4,05 KG/M</v>
          </cell>
          <cell r="C4775" t="str">
            <v xml:space="preserve">M     </v>
          </cell>
          <cell r="D4775">
            <v>42.39</v>
          </cell>
        </row>
        <row r="4776">
          <cell r="A4776">
            <v>42575</v>
          </cell>
          <cell r="B4776" t="str">
            <v>TUBO ACO CARBONO SEM COSTURA 1 1/4", E= *3,56 MM, SCHEDULE 40, *3,38* KG/M</v>
          </cell>
          <cell r="C4776" t="str">
            <v xml:space="preserve">M     </v>
          </cell>
          <cell r="D4776">
            <v>38.9</v>
          </cell>
        </row>
        <row r="4777">
          <cell r="A4777">
            <v>13127</v>
          </cell>
          <cell r="B4777" t="str">
            <v>TUBO ACO CARBONO SEM COSTURA 1/2", E= *2,77 MM, SCHEDULE 40, *1,27 KG/M</v>
          </cell>
          <cell r="C4777" t="str">
            <v xml:space="preserve">M     </v>
          </cell>
          <cell r="D4777">
            <v>18.899999999999999</v>
          </cell>
        </row>
        <row r="4778">
          <cell r="A4778">
            <v>13137</v>
          </cell>
          <cell r="B4778" t="str">
            <v>TUBO ACO CARBONO SEM COSTURA 1/2", E= *3,73 MM, SCHEDULE 80, *1,62 KG/M</v>
          </cell>
          <cell r="C4778" t="str">
            <v xml:space="preserve">M     </v>
          </cell>
          <cell r="D4778">
            <v>25.09</v>
          </cell>
        </row>
        <row r="4779">
          <cell r="A4779">
            <v>42574</v>
          </cell>
          <cell r="B4779" t="str">
            <v>TUBO ACO CARBONO SEM COSTURA 1", E= *3,38 MM, SCHEDULE 40, *2,50* KG/M</v>
          </cell>
          <cell r="C4779" t="str">
            <v xml:space="preserve">M     </v>
          </cell>
          <cell r="D4779">
            <v>29.03</v>
          </cell>
        </row>
        <row r="4780">
          <cell r="A4780">
            <v>20989</v>
          </cell>
          <cell r="B4780" t="str">
            <v>TUBO ACO CARBONO SEM COSTURA 14", E= *11,13 MM, SCHEDULE 40, *94,55 KG/M</v>
          </cell>
          <cell r="C4780" t="str">
            <v xml:space="preserve">M     </v>
          </cell>
          <cell r="D4780">
            <v>898.92</v>
          </cell>
        </row>
        <row r="4781">
          <cell r="A4781">
            <v>21147</v>
          </cell>
          <cell r="B4781" t="str">
            <v>TUBO ACO CARBONO SEM COSTURA 2 1/2", E = 5,16 MM, SCHEDULE 40 (8,62 KG/M)</v>
          </cell>
          <cell r="C4781" t="str">
            <v xml:space="preserve">M     </v>
          </cell>
          <cell r="D4781">
            <v>84.28</v>
          </cell>
        </row>
        <row r="4782">
          <cell r="A4782">
            <v>21148</v>
          </cell>
          <cell r="B4782" t="str">
            <v>TUBO ACO CARBONO SEM COSTURA 2", E= *3,91* MM, SCHEDULE 40, *5,43* KG/M</v>
          </cell>
          <cell r="C4782" t="str">
            <v xml:space="preserve">M     </v>
          </cell>
          <cell r="D4782">
            <v>52.02</v>
          </cell>
        </row>
        <row r="4783">
          <cell r="A4783">
            <v>20984</v>
          </cell>
          <cell r="B4783" t="str">
            <v>TUBO ACO CARBONO SEM COSTURA 20", E= *12,70 MM, SCHEDULE 30, *154,97 KG/M</v>
          </cell>
          <cell r="C4783" t="str">
            <v xml:space="preserve">M     </v>
          </cell>
          <cell r="D4783">
            <v>1724.85</v>
          </cell>
        </row>
        <row r="4784">
          <cell r="A4784">
            <v>13042</v>
          </cell>
          <cell r="B4784" t="str">
            <v>TUBO ACO CARBONO SEM COSTURA 20", E= *6,35 MM,  SCHEDULE 10, *78,46 KG/M</v>
          </cell>
          <cell r="C4784" t="str">
            <v xml:space="preserve">M     </v>
          </cell>
          <cell r="D4784">
            <v>955.82</v>
          </cell>
        </row>
        <row r="4785">
          <cell r="A4785">
            <v>21150</v>
          </cell>
          <cell r="B4785" t="str">
            <v>TUBO ACO CARBONO SEM COSTURA 3/4", E= *2,87 MM, SCHEDULE 40, *1,69 KG/M</v>
          </cell>
          <cell r="C4785" t="str">
            <v xml:space="preserve">M     </v>
          </cell>
          <cell r="D4785">
            <v>25.79</v>
          </cell>
        </row>
        <row r="4786">
          <cell r="A4786">
            <v>13141</v>
          </cell>
          <cell r="B4786" t="str">
            <v>TUBO ACO CARBONO SEM COSTURA 3/4", E= *3,91 MM, SCHEDULE 80, *2,19 KG/M.</v>
          </cell>
          <cell r="C4786" t="str">
            <v xml:space="preserve">M     </v>
          </cell>
          <cell r="D4786">
            <v>32.5</v>
          </cell>
        </row>
        <row r="4787">
          <cell r="A4787">
            <v>42576</v>
          </cell>
          <cell r="B4787" t="str">
            <v>TUBO ACO CARBONO SEM COSTURA 3", E= *5,49 MM, SCHEDULE 40, *11,28* KG/M</v>
          </cell>
          <cell r="C4787" t="str">
            <v xml:space="preserve">M     </v>
          </cell>
          <cell r="D4787">
            <v>106.11</v>
          </cell>
        </row>
        <row r="4788">
          <cell r="A4788">
            <v>21151</v>
          </cell>
          <cell r="B4788" t="str">
            <v>TUBO ACO CARBONO SEM COSTURA 4", E= *6,02 MM, SCHEDULE 40, *16,06 KG/M</v>
          </cell>
          <cell r="C4788" t="str">
            <v xml:space="preserve">M     </v>
          </cell>
          <cell r="D4788">
            <v>154.38999999999999</v>
          </cell>
        </row>
        <row r="4789">
          <cell r="A4789">
            <v>13142</v>
          </cell>
          <cell r="B4789" t="str">
            <v>TUBO ACO CARBONO SEM COSTURA 4", E= *8,56 MM, SCHEDULE 80, *22,31 KG/M</v>
          </cell>
          <cell r="C4789" t="str">
            <v xml:space="preserve">M     </v>
          </cell>
          <cell r="D4789">
            <v>220.72</v>
          </cell>
        </row>
        <row r="4790">
          <cell r="A4790">
            <v>42577</v>
          </cell>
          <cell r="B4790" t="str">
            <v>TUBO ACO CARBONO SEM COSTURA 5", E= *6,55 MM, SCHEDULE 40, *21,75* KG/M</v>
          </cell>
          <cell r="C4790" t="str">
            <v xml:space="preserve">M     </v>
          </cell>
          <cell r="D4790">
            <v>242.19</v>
          </cell>
        </row>
        <row r="4791">
          <cell r="A4791">
            <v>20994</v>
          </cell>
          <cell r="B4791" t="str">
            <v>TUBO ACO CARBONO SEM COSTURA 6", E= *10,97 MM, SCHEDULE 80, *42,56 KG/M</v>
          </cell>
          <cell r="C4791" t="str">
            <v xml:space="preserve">M     </v>
          </cell>
          <cell r="D4791">
            <v>416.15</v>
          </cell>
        </row>
        <row r="4792">
          <cell r="A4792">
            <v>7672</v>
          </cell>
          <cell r="B4792" t="str">
            <v>TUBO ACO CARBONO SEM COSTURA 6", E= 7,11 MM,  SCHEDULE 40, *28,26 KG/M</v>
          </cell>
          <cell r="C4792" t="str">
            <v xml:space="preserve">M     </v>
          </cell>
          <cell r="D4792">
            <v>272.62</v>
          </cell>
        </row>
        <row r="4793">
          <cell r="A4793">
            <v>20995</v>
          </cell>
          <cell r="B4793" t="str">
            <v>TUBO ACO CARBONO SEM COSTURA 8", E= *12,70 MM, SCHEDULE 80, *64,64 KG/M</v>
          </cell>
          <cell r="C4793" t="str">
            <v xml:space="preserve">M     </v>
          </cell>
          <cell r="D4793">
            <v>546.9</v>
          </cell>
        </row>
        <row r="4794">
          <cell r="A4794">
            <v>7690</v>
          </cell>
          <cell r="B4794" t="str">
            <v>TUBO ACO CARBONO SEM COSTURA 8", E= *6,35 MM,  SCHEDULE 20, *33,27 KG/M</v>
          </cell>
          <cell r="C4794" t="str">
            <v xml:space="preserve">M     </v>
          </cell>
          <cell r="D4794">
            <v>316.31</v>
          </cell>
        </row>
        <row r="4795">
          <cell r="A4795">
            <v>20980</v>
          </cell>
          <cell r="B4795" t="str">
            <v>TUBO ACO CARBONO SEM COSTURA 8", E= *7,04 MM, SCHEDULE 30, *36,75 KG/M</v>
          </cell>
          <cell r="C4795" t="str">
            <v xml:space="preserve">M     </v>
          </cell>
          <cell r="D4795">
            <v>345.06</v>
          </cell>
        </row>
        <row r="4796">
          <cell r="A4796">
            <v>7661</v>
          </cell>
          <cell r="B4796" t="str">
            <v>TUBO ACO CARBONO SEM COSTURA 8", E= *8,18 MM, SCHEDULE 40, *42,55 KG/M</v>
          </cell>
          <cell r="C4796" t="str">
            <v xml:space="preserve">M     </v>
          </cell>
          <cell r="D4796">
            <v>410.48</v>
          </cell>
        </row>
        <row r="4797">
          <cell r="A4797">
            <v>21016</v>
          </cell>
          <cell r="B4797" t="str">
            <v>TUBO ACO GALVANIZADO COM COSTURA, CLASSE LEVE, DN 100 MM ( 4"),  E = 3,75 MM,  *10,55* KG/M (NBR 5580)</v>
          </cell>
          <cell r="C4797" t="str">
            <v xml:space="preserve">M     </v>
          </cell>
          <cell r="D4797">
            <v>91.71</v>
          </cell>
        </row>
        <row r="4798">
          <cell r="A4798">
            <v>21008</v>
          </cell>
          <cell r="B4798" t="str">
            <v>TUBO ACO GALVANIZADO COM COSTURA, CLASSE LEVE, DN 15 MM ( 1/2"),  E = 2,25 MM,  *1,2* KG/M (NBR 5580)</v>
          </cell>
          <cell r="C4798" t="str">
            <v xml:space="preserve">M     </v>
          </cell>
          <cell r="D4798">
            <v>10.71</v>
          </cell>
        </row>
        <row r="4799">
          <cell r="A4799">
            <v>21009</v>
          </cell>
          <cell r="B4799" t="str">
            <v>TUBO ACO GALVANIZADO COM COSTURA, CLASSE LEVE, DN 20 MM ( 3/4"),  E = 2,25 MM,  *1,3* KG/M (NBR 5580)</v>
          </cell>
          <cell r="C4799" t="str">
            <v xml:space="preserve">M     </v>
          </cell>
          <cell r="D4799">
            <v>13.95</v>
          </cell>
        </row>
        <row r="4800">
          <cell r="A4800">
            <v>21010</v>
          </cell>
          <cell r="B4800" t="str">
            <v>TUBO ACO GALVANIZADO COM COSTURA, CLASSE LEVE, DN 25 MM ( 1"),  E = 2,65 MM,  *2,11* KG/M (NBR 5580)</v>
          </cell>
          <cell r="C4800" t="str">
            <v xml:space="preserve">M     </v>
          </cell>
          <cell r="D4800">
            <v>18.73</v>
          </cell>
        </row>
        <row r="4801">
          <cell r="A4801">
            <v>21011</v>
          </cell>
          <cell r="B4801" t="str">
            <v>TUBO ACO GALVANIZADO COM COSTURA, CLASSE LEVE, DN 32 MM ( 1 1/4"),  E = 2,65 MM,  *2,71* KG/M (NBR 5580)</v>
          </cell>
          <cell r="C4801" t="str">
            <v xml:space="preserve">M     </v>
          </cell>
          <cell r="D4801">
            <v>27.3</v>
          </cell>
        </row>
        <row r="4802">
          <cell r="A4802">
            <v>21012</v>
          </cell>
          <cell r="B4802" t="str">
            <v>TUBO ACO GALVANIZADO COM COSTURA, CLASSE LEVE, DN 40 MM ( 1 1/2"),  E = 3,00 MM,  *3,48* KG/M (NBR 5580)</v>
          </cell>
          <cell r="C4802" t="str">
            <v xml:space="preserve">M     </v>
          </cell>
          <cell r="D4802">
            <v>30.16</v>
          </cell>
        </row>
        <row r="4803">
          <cell r="A4803">
            <v>21013</v>
          </cell>
          <cell r="B4803" t="str">
            <v>TUBO ACO GALVANIZADO COM COSTURA, CLASSE LEVE, DN 50 MM ( 2"),  E = 3,00 MM,  *4,40* KG/M (NBR 5580)</v>
          </cell>
          <cell r="C4803" t="str">
            <v xml:space="preserve">M     </v>
          </cell>
          <cell r="D4803">
            <v>39.36</v>
          </cell>
        </row>
        <row r="4804">
          <cell r="A4804">
            <v>21014</v>
          </cell>
          <cell r="B4804" t="str">
            <v>TUBO ACO GALVANIZADO COM COSTURA, CLASSE LEVE, DN 65 MM ( 2 1/2"),  E = 3,35 MM, * 6,23* KG/M (NBR 5580)</v>
          </cell>
          <cell r="C4804" t="str">
            <v xml:space="preserve">M     </v>
          </cell>
          <cell r="D4804">
            <v>55.08</v>
          </cell>
        </row>
        <row r="4805">
          <cell r="A4805">
            <v>21015</v>
          </cell>
          <cell r="B4805" t="str">
            <v>TUBO ACO GALVANIZADO COM COSTURA, CLASSE LEVE, DN 80 MM ( 3"),  E = 3,35 MM, *7,32* KG/M (NBR 5580)</v>
          </cell>
          <cell r="C4805" t="str">
            <v xml:space="preserve">M     </v>
          </cell>
          <cell r="D4805">
            <v>63.28</v>
          </cell>
        </row>
        <row r="4806">
          <cell r="A4806">
            <v>7697</v>
          </cell>
          <cell r="B4806" t="str">
            <v>TUBO ACO GALVANIZADO COM COSTURA, CLASSE MEDIA, DN 1.1/2", E = *3,25* MM, PESO *3,61* KG/M (NBR 5580)</v>
          </cell>
          <cell r="C4806" t="str">
            <v xml:space="preserve">M     </v>
          </cell>
          <cell r="D4806">
            <v>30.19</v>
          </cell>
        </row>
        <row r="4807">
          <cell r="A4807">
            <v>7698</v>
          </cell>
          <cell r="B4807" t="str">
            <v>TUBO ACO GALVANIZADO COM COSTURA, CLASSE MEDIA, DN 1.1/4", E = *3,25* MM, PESO *3,14* KG/M (NBR 5580)</v>
          </cell>
          <cell r="C4807" t="str">
            <v xml:space="preserve">M     </v>
          </cell>
          <cell r="D4807">
            <v>25.99</v>
          </cell>
        </row>
        <row r="4808">
          <cell r="A4808">
            <v>7691</v>
          </cell>
          <cell r="B4808" t="str">
            <v>TUBO ACO GALVANIZADO COM COSTURA, CLASSE MEDIA, DN 1/2", E = *2,65* MM, PESO *1,22* KG/M (NBR 5580)</v>
          </cell>
          <cell r="C4808" t="str">
            <v xml:space="preserve">M     </v>
          </cell>
          <cell r="D4808">
            <v>10.98</v>
          </cell>
        </row>
        <row r="4809">
          <cell r="A4809">
            <v>40626</v>
          </cell>
          <cell r="B4809" t="str">
            <v>TUBO ACO GALVANIZADO COM COSTURA, CLASSE MEDIA, DN 1", E = 3,38 MM, PESO 2,50 KG/M (NBR 5580)</v>
          </cell>
          <cell r="C4809" t="str">
            <v xml:space="preserve">M     </v>
          </cell>
          <cell r="D4809">
            <v>20.61</v>
          </cell>
        </row>
        <row r="4810">
          <cell r="A4810">
            <v>7701</v>
          </cell>
          <cell r="B4810" t="str">
            <v>TUBO ACO GALVANIZADO COM COSTURA, CLASSE MEDIA, DN 2.1/2", E = *3,65* MM, PESO *6,51* KG/M (NBR 5580)</v>
          </cell>
          <cell r="C4810" t="str">
            <v xml:space="preserve">M     </v>
          </cell>
          <cell r="D4810">
            <v>54.04</v>
          </cell>
        </row>
        <row r="4811">
          <cell r="A4811">
            <v>7696</v>
          </cell>
          <cell r="B4811" t="str">
            <v>TUBO ACO GALVANIZADO COM COSTURA, CLASSE MEDIA, DN 2", E = *3,65* MM, PESO *5,10* KG/M (NBR 5580)</v>
          </cell>
          <cell r="C4811" t="str">
            <v xml:space="preserve">M     </v>
          </cell>
          <cell r="D4811">
            <v>43.54</v>
          </cell>
        </row>
        <row r="4812">
          <cell r="A4812">
            <v>7700</v>
          </cell>
          <cell r="B4812" t="str">
            <v>TUBO ACO GALVANIZADO COM COSTURA, CLASSE MEDIA, DN 3/4", E = *2,65* MM, PESO *1,58* KG/M (NBR 5580)</v>
          </cell>
          <cell r="C4812" t="str">
            <v xml:space="preserve">M     </v>
          </cell>
          <cell r="D4812">
            <v>13.89</v>
          </cell>
        </row>
        <row r="4813">
          <cell r="A4813">
            <v>7694</v>
          </cell>
          <cell r="B4813" t="str">
            <v>TUBO ACO GALVANIZADO COM COSTURA, CLASSE MEDIA, DN 3", E = *4,05* MM, PESO *8,47* KG/M (NBR 5580)</v>
          </cell>
          <cell r="C4813" t="str">
            <v xml:space="preserve">M     </v>
          </cell>
          <cell r="D4813">
            <v>72.72</v>
          </cell>
        </row>
        <row r="4814">
          <cell r="A4814">
            <v>7693</v>
          </cell>
          <cell r="B4814" t="str">
            <v>TUBO ACO GALVANIZADO COM COSTURA, CLASSE MEDIA, DN 4", E = 4,50* MM, PESO 12,10* KG/M (NBR 5580)</v>
          </cell>
          <cell r="C4814" t="str">
            <v xml:space="preserve">M     </v>
          </cell>
          <cell r="D4814">
            <v>100.15</v>
          </cell>
        </row>
        <row r="4815">
          <cell r="A4815">
            <v>7692</v>
          </cell>
          <cell r="B4815" t="str">
            <v>TUBO ACO GALVANIZADO COM COSTURA, CLASSE MEDIA, DN 5", E = *5,40* MM, PESO *17,80* KG/M (NBR 5580)</v>
          </cell>
          <cell r="C4815" t="str">
            <v xml:space="preserve">M     </v>
          </cell>
          <cell r="D4815">
            <v>149.94</v>
          </cell>
        </row>
        <row r="4816">
          <cell r="A4816">
            <v>7695</v>
          </cell>
          <cell r="B4816" t="str">
            <v>TUBO ACO GALVANIZADO COM COSTURA, CLASSE MEDIA, DN 6", E = 4,85* MM, PESO 19,68* KG/M (NBR 5580)</v>
          </cell>
          <cell r="C4816" t="str">
            <v xml:space="preserve">M     </v>
          </cell>
          <cell r="D4816">
            <v>162.61000000000001</v>
          </cell>
        </row>
        <row r="4817">
          <cell r="A4817">
            <v>13356</v>
          </cell>
          <cell r="B4817" t="str">
            <v>TUBO ACO INDUSTRIAL DN 2" (50,8 MM) E=1,50MM, PESO= 1,8237 KG/M</v>
          </cell>
          <cell r="C4817" t="str">
            <v xml:space="preserve">M     </v>
          </cell>
          <cell r="D4817">
            <v>11.79</v>
          </cell>
        </row>
        <row r="4818">
          <cell r="A4818">
            <v>36365</v>
          </cell>
          <cell r="B4818" t="str">
            <v>TUBO COLETOR DE ESGOTO PVC, JEI, DN 100 MM (NBR  7362)</v>
          </cell>
          <cell r="C4818" t="str">
            <v xml:space="preserve">M     </v>
          </cell>
          <cell r="D4818">
            <v>16.239999999999998</v>
          </cell>
        </row>
        <row r="4819">
          <cell r="A4819">
            <v>41930</v>
          </cell>
          <cell r="B4819" t="str">
            <v>TUBO COLETOR DE ESGOTO PVC, JEI, DN 200 MM (NBR 7362)</v>
          </cell>
          <cell r="C4819" t="str">
            <v xml:space="preserve">M     </v>
          </cell>
          <cell r="D4819">
            <v>52.57</v>
          </cell>
        </row>
        <row r="4820">
          <cell r="A4820">
            <v>41931</v>
          </cell>
          <cell r="B4820" t="str">
            <v>TUBO COLETOR DE ESGOTO PVC, JEI, DN 250 MM (NBR 7362)</v>
          </cell>
          <cell r="C4820" t="str">
            <v xml:space="preserve">M     </v>
          </cell>
          <cell r="D4820">
            <v>89.64</v>
          </cell>
        </row>
        <row r="4821">
          <cell r="A4821">
            <v>41932</v>
          </cell>
          <cell r="B4821" t="str">
            <v>TUBO COLETOR DE ESGOTO PVC, JEI, DN 300 MM (NBR 7362)</v>
          </cell>
          <cell r="C4821" t="str">
            <v xml:space="preserve">M     </v>
          </cell>
          <cell r="D4821">
            <v>144.79</v>
          </cell>
        </row>
        <row r="4822">
          <cell r="A4822">
            <v>41933</v>
          </cell>
          <cell r="B4822" t="str">
            <v>TUBO COLETOR DE ESGOTO PVC, JEI, DN 350 MM (NBR 7362)</v>
          </cell>
          <cell r="C4822" t="str">
            <v xml:space="preserve">M     </v>
          </cell>
          <cell r="D4822">
            <v>179.32</v>
          </cell>
        </row>
        <row r="4823">
          <cell r="A4823">
            <v>41934</v>
          </cell>
          <cell r="B4823" t="str">
            <v>TUBO COLETOR DE ESGOTO PVC, JEI, DN 400 MM (NBR 7362)</v>
          </cell>
          <cell r="C4823" t="str">
            <v xml:space="preserve">M     </v>
          </cell>
          <cell r="D4823">
            <v>232.27</v>
          </cell>
        </row>
        <row r="4824">
          <cell r="A4824">
            <v>41936</v>
          </cell>
          <cell r="B4824" t="str">
            <v>TUBO COLETOR DE ESGOTO, PVC, JEI, DN 150 MM  (NBR 7362)</v>
          </cell>
          <cell r="C4824" t="str">
            <v xml:space="preserve">M     </v>
          </cell>
          <cell r="D4824">
            <v>35.020000000000003</v>
          </cell>
        </row>
        <row r="4825">
          <cell r="A4825">
            <v>41785</v>
          </cell>
          <cell r="B4825" t="str">
            <v>TUBO CORRUGADO PEAD, PAREDE DUPLA, INTERNA LISA, JEI, DN/DI *1000* MM, PARA SANEAMENTO</v>
          </cell>
          <cell r="C4825" t="str">
            <v xml:space="preserve">M     </v>
          </cell>
          <cell r="D4825">
            <v>925.9</v>
          </cell>
        </row>
        <row r="4826">
          <cell r="A4826">
            <v>41781</v>
          </cell>
          <cell r="B4826" t="str">
            <v>TUBO CORRUGADO PEAD, PAREDE DUPLA, INTERNA LISA, JEI, DN/DI *400* MM, PARA SANEAMENTO</v>
          </cell>
          <cell r="C4826" t="str">
            <v xml:space="preserve">M     </v>
          </cell>
          <cell r="D4826">
            <v>263.98</v>
          </cell>
        </row>
        <row r="4827">
          <cell r="A4827">
            <v>41783</v>
          </cell>
          <cell r="B4827" t="str">
            <v>TUBO CORRUGADO PEAD, PAREDE DUPLA, INTERNA LISA, JEI, DN/DI *800* MM, PARA SANEAMENTO</v>
          </cell>
          <cell r="C4827" t="str">
            <v xml:space="preserve">M     </v>
          </cell>
          <cell r="D4827">
            <v>696.61</v>
          </cell>
        </row>
        <row r="4828">
          <cell r="A4828">
            <v>41786</v>
          </cell>
          <cell r="B4828" t="str">
            <v>TUBO CORRUGADO PEAD, PAREDE DUPLA, INTERNA LISA, JEI, DN/DI 1200 MM, PARA SANEAMENTO</v>
          </cell>
          <cell r="C4828" t="str">
            <v xml:space="preserve">M     </v>
          </cell>
          <cell r="D4828">
            <v>1453.2</v>
          </cell>
        </row>
        <row r="4829">
          <cell r="A4829">
            <v>41779</v>
          </cell>
          <cell r="B4829" t="str">
            <v>TUBO CORRUGADO PEAD, PAREDE DUPLA, INTERNA LISA, JEI, DN/DI 250 MM, PARA SANEAMENTO</v>
          </cell>
          <cell r="C4829" t="str">
            <v xml:space="preserve">M     </v>
          </cell>
          <cell r="D4829">
            <v>101.24</v>
          </cell>
        </row>
        <row r="4830">
          <cell r="A4830">
            <v>41780</v>
          </cell>
          <cell r="B4830" t="str">
            <v>TUBO CORRUGADO PEAD, PAREDE DUPLA, INTERNA LISA, JEI, DN/DI 300 MM, PARA SANEAMENTO</v>
          </cell>
          <cell r="C4830" t="str">
            <v xml:space="preserve">M     </v>
          </cell>
          <cell r="D4830">
            <v>119.74</v>
          </cell>
        </row>
        <row r="4831">
          <cell r="A4831">
            <v>41782</v>
          </cell>
          <cell r="B4831" t="str">
            <v>TUBO CORRUGADO PEAD, PAREDE DUPLA, INTERNA LISA, JEI, DN/DI 600 MM, PARA SANEAMENTO</v>
          </cell>
          <cell r="C4831" t="str">
            <v xml:space="preserve">M     </v>
          </cell>
          <cell r="D4831">
            <v>493.63</v>
          </cell>
        </row>
        <row r="4832">
          <cell r="A4832">
            <v>38130</v>
          </cell>
          <cell r="B4832" t="str">
            <v>TUBO CPVC SOLDAVEL, 35 MM, AGUA QUENTE PREDIAL (NBR 15884)</v>
          </cell>
          <cell r="C4832" t="str">
            <v xml:space="preserve">M     </v>
          </cell>
          <cell r="D4832">
            <v>35.24</v>
          </cell>
        </row>
        <row r="4833">
          <cell r="A4833">
            <v>21123</v>
          </cell>
          <cell r="B4833" t="str">
            <v>TUBO CPVC, SOLDAVEL, 15 MM, AGUA QUENTE PREDIAL (NBR 15884)</v>
          </cell>
          <cell r="C4833" t="str">
            <v xml:space="preserve">M     </v>
          </cell>
          <cell r="D4833">
            <v>10</v>
          </cell>
        </row>
        <row r="4834">
          <cell r="A4834">
            <v>21124</v>
          </cell>
          <cell r="B4834" t="str">
            <v>TUBO CPVC, SOLDAVEL, 22 MM, AGUA QUENTE PREDIAL (NBR 15884)</v>
          </cell>
          <cell r="C4834" t="str">
            <v xml:space="preserve">M     </v>
          </cell>
          <cell r="D4834">
            <v>17.73</v>
          </cell>
        </row>
        <row r="4835">
          <cell r="A4835">
            <v>21125</v>
          </cell>
          <cell r="B4835" t="str">
            <v>TUBO CPVC, SOLDAVEL, 28 MM, AGUA QUENTE PREDIAL (NBR 15884)</v>
          </cell>
          <cell r="C4835" t="str">
            <v xml:space="preserve">M     </v>
          </cell>
          <cell r="D4835">
            <v>28.46</v>
          </cell>
        </row>
        <row r="4836">
          <cell r="A4836">
            <v>38028</v>
          </cell>
          <cell r="B4836" t="str">
            <v>TUBO CPVC, SOLDAVEL, 42 MM, AGUA QUENTE PREDIAL (NBR 15884)</v>
          </cell>
          <cell r="C4836" t="str">
            <v xml:space="preserve">M     </v>
          </cell>
          <cell r="D4836">
            <v>48.29</v>
          </cell>
        </row>
        <row r="4837">
          <cell r="A4837">
            <v>38029</v>
          </cell>
          <cell r="B4837" t="str">
            <v>TUBO CPVC, SOLDAVEL, 54 MM, AGUA QUENTE PREDIAL (NBR 15884)</v>
          </cell>
          <cell r="C4837" t="str">
            <v xml:space="preserve">M     </v>
          </cell>
          <cell r="D4837">
            <v>73.61</v>
          </cell>
        </row>
        <row r="4838">
          <cell r="A4838">
            <v>38030</v>
          </cell>
          <cell r="B4838" t="str">
            <v>TUBO CPVC, SOLDAVEL, 73 MM, AGUA QUENTE PREDIAL (NBR 15884)</v>
          </cell>
          <cell r="C4838" t="str">
            <v xml:space="preserve">M     </v>
          </cell>
          <cell r="D4838">
            <v>113.07</v>
          </cell>
        </row>
        <row r="4839">
          <cell r="A4839">
            <v>38031</v>
          </cell>
          <cell r="B4839" t="str">
            <v>TUBO CPVC, SOLDAVEL, 89 MM, AGUA QUENTE PREDIAL (NBR 15884)</v>
          </cell>
          <cell r="C4839" t="str">
            <v xml:space="preserve">M     </v>
          </cell>
          <cell r="D4839">
            <v>179.18</v>
          </cell>
        </row>
        <row r="4840">
          <cell r="A4840">
            <v>39735</v>
          </cell>
          <cell r="B4840" t="str">
            <v>TUBO DE BORRACHA ELASTOMERICA FLEXIVEL, PRETA, PARA ISOLAMENTO TERMICO DE TUBULACAO, DN 1 1/8" (28 MM), E= 32 MM, COEFICIENTE DE CONDUTIVIDADE TERMICA 0,036W/mK, VAPOR DE AGUA MAIOR OU IGUAL A 10.000</v>
          </cell>
          <cell r="C4840" t="str">
            <v xml:space="preserve">M     </v>
          </cell>
          <cell r="D4840">
            <v>77.28</v>
          </cell>
        </row>
        <row r="4841">
          <cell r="A4841">
            <v>39734</v>
          </cell>
          <cell r="B4841" t="str">
            <v>TUBO DE BORRACHA ELASTOMERICA FLEXIVEL, PRETA, PARA ISOLAMENTO TERMICO DE TUBULACAO, DN 1 3/8" (35 MM), E= 32 MM, COEFICIENTE DE CONDUTIVIDADE TERMICA 0,036W/mK, VAPOR DE AGUA MAIOR OU IGUAL A 10.000</v>
          </cell>
          <cell r="C4841" t="str">
            <v xml:space="preserve">M     </v>
          </cell>
          <cell r="D4841">
            <v>91.67</v>
          </cell>
        </row>
        <row r="4842">
          <cell r="A4842">
            <v>39736</v>
          </cell>
          <cell r="B4842" t="str">
            <v>TUBO DE BORRACHA ELASTOMERICA FLEXIVEL, PRETA, PARA ISOLAMENTO TERMICO DE TUBULACAO, DN 1 5/8" (42 MM), E= 32 MM, COEFICIENTE DE CONDUTIVIDADE TERMICA 0,036W/mK, VAPOR DE AGUA MAIOR OU IGUAL A 10.000</v>
          </cell>
          <cell r="C4842" t="str">
            <v xml:space="preserve">M     </v>
          </cell>
          <cell r="D4842">
            <v>104.62</v>
          </cell>
        </row>
        <row r="4843">
          <cell r="A4843">
            <v>39737</v>
          </cell>
          <cell r="B4843" t="str">
            <v>TUBO DE BORRACHA ELASTOMERICA FLEXIVEL, PRETA, PARA ISOLAMENTO TERMICO DE TUBULACAO, DN 1/2" (12 MM), E= 19 MM, COEFICIENTE DE CONDUTIVIDADE TERMICA 0,036W/mK, VAPOR DE AGUA MAIOR OU IGUAL A 10.000</v>
          </cell>
          <cell r="C4843" t="str">
            <v xml:space="preserve">M     </v>
          </cell>
          <cell r="D4843">
            <v>14.07</v>
          </cell>
        </row>
        <row r="4844">
          <cell r="A4844">
            <v>39738</v>
          </cell>
          <cell r="B4844" t="str">
            <v>TUBO DE BORRACHA ELASTOMERICA FLEXIVEL, PRETA, PARA ISOLAMENTO TERMICO DE TUBULACAO, DN 1/4" (6 MM), E= 9 MM, COEFICIENTE DE CONDUTIVIDADE TERMICA 0,036W/mK, VAPOR DE AGUA MAIOR OU IGUAL A 10.000</v>
          </cell>
          <cell r="C4844" t="str">
            <v xml:space="preserve">M     </v>
          </cell>
          <cell r="D4844">
            <v>5.09</v>
          </cell>
        </row>
        <row r="4845">
          <cell r="A4845">
            <v>39739</v>
          </cell>
          <cell r="B4845" t="str">
            <v>TUBO DE BORRACHA ELASTOMERICA FLEXIVEL, PRETA, PARA ISOLAMENTO TERMICO DE TUBULACAO, DN 1" (25 MM), E= 32 MM, COEFICIENTE DE CONDUTIVIDADE TERMICA 0,036W/mK, VAPOR DE AGUA MAIOR OU IGUAL A 10.000</v>
          </cell>
          <cell r="C4845" t="str">
            <v xml:space="preserve">M     </v>
          </cell>
          <cell r="D4845">
            <v>72.349999999999994</v>
          </cell>
        </row>
        <row r="4846">
          <cell r="A4846">
            <v>39733</v>
          </cell>
          <cell r="B4846" t="str">
            <v>TUBO DE BORRACHA ELASTOMERICA FLEXIVEL, PRETA, PARA ISOLAMENTO TERMICO DE TUBULACAO, DN 2 1/8" (54 MM), E= 32 MM, COEFICIENTE DE CONDUTIVIDADE TERMICA 0,036W/mK, VAPOR DE AGUA MAIOR OU IGUAL A 10.000</v>
          </cell>
          <cell r="C4846" t="str">
            <v xml:space="preserve">M     </v>
          </cell>
          <cell r="D4846">
            <v>125.2</v>
          </cell>
        </row>
        <row r="4847">
          <cell r="A4847">
            <v>39854</v>
          </cell>
          <cell r="B4847" t="str">
            <v>TUBO DE BORRACHA ELASTOMERICA FLEXIVEL, PRETA, PARA ISOLAMENTO TERMICO DE TUBULACAO, DN 2 5/8" (*64* MM), E= *32* MM, COEFICIENTE DE CONDUTIVIDADE TERMICA 0,036W/MK, VAPOR DE AGUA MAIOR OU IGUAL A 10.000</v>
          </cell>
          <cell r="C4847" t="str">
            <v xml:space="preserve">M     </v>
          </cell>
          <cell r="D4847">
            <v>126.97</v>
          </cell>
        </row>
        <row r="4848">
          <cell r="A4848">
            <v>39740</v>
          </cell>
          <cell r="B4848" t="str">
            <v>TUBO DE BORRACHA ELASTOMERICA FLEXIVEL, PRETA, PARA ISOLAMENTO TERMICO DE TUBULACAO, DN 3/4" (18 MM), E= 32 MM, COEFICIENTE DE CONDUTIVIDADE TERMICA 0,036W/mK, VAPOR DE AGUA MAIOR OU IGUAL A 10.000</v>
          </cell>
          <cell r="C4848" t="str">
            <v xml:space="preserve">M     </v>
          </cell>
          <cell r="D4848">
            <v>69.47</v>
          </cell>
        </row>
        <row r="4849">
          <cell r="A4849">
            <v>39741</v>
          </cell>
          <cell r="B4849" t="str">
            <v>TUBO DE BORRACHA ELASTOMERICA FLEXIVEL, PRETA, PARA ISOLAMENTO TERMICO DE TUBULACAO, DN 3/8" (10 MM), E= 19 MM, COEFICIENTE DE CONDUTIVIDADE TERMICA 0,036W/mK, VAPOR DE AGUA MAIOR OU IGUAL A 10.000</v>
          </cell>
          <cell r="C4849" t="str">
            <v xml:space="preserve">M     </v>
          </cell>
          <cell r="D4849">
            <v>12.8</v>
          </cell>
        </row>
        <row r="4850">
          <cell r="A4850">
            <v>39853</v>
          </cell>
          <cell r="B4850" t="str">
            <v>TUBO DE BORRACHA ELASTOMERICA FLEXIVEL, PRETA, PARA ISOLAMENTO TERMICO DE TUBULACAO, DN 5/8" (15 MM), E= 19 MM, COEFICIENTE DE CONDUTIVIDADE TERMICA 0,036W/MK, VAPOR DE AGUA MAIOR OU IGUAL A 10.000</v>
          </cell>
          <cell r="C4850" t="str">
            <v xml:space="preserve">M     </v>
          </cell>
          <cell r="D4850">
            <v>16.809999999999999</v>
          </cell>
        </row>
        <row r="4851">
          <cell r="A4851">
            <v>39742</v>
          </cell>
          <cell r="B4851" t="str">
            <v>TUBO DE BORRACHA ELASTOMERICA FLEXIVEL, PRETA, PARA ISOLAMENTO TERMICO DE TUBULACAO, DN 7/8" (22 MM), E= 32 MM, COEFICIENTE DE CONDUTIVIDADE TERMICA 0,036W/mK, VAPOR DE AGUA MAIOR OU IGUAL A 10.000</v>
          </cell>
          <cell r="C4851" t="str">
            <v xml:space="preserve">M     </v>
          </cell>
          <cell r="D4851">
            <v>55.84</v>
          </cell>
        </row>
        <row r="4852">
          <cell r="A4852">
            <v>39749</v>
          </cell>
          <cell r="B4852" t="str">
            <v>TUBO DE COBRE CLASSE "A", DN = 1 " (28 MM), PARA INSTALACOES DE MEDIA PRESSAO PARA GASES COMBUSTIVEIS E MEDICINAIS</v>
          </cell>
          <cell r="C4852" t="str">
            <v xml:space="preserve">M     </v>
          </cell>
          <cell r="D4852">
            <v>65.650000000000006</v>
          </cell>
        </row>
        <row r="4853">
          <cell r="A4853">
            <v>39751</v>
          </cell>
          <cell r="B4853" t="str">
            <v>TUBO DE COBRE CLASSE "A", DN = 1 1/2 " (42 MM), PARA INSTALACOES DE MEDIA PRESSAO PARA GASES COMBUSTIVEIS E MEDICINAIS</v>
          </cell>
          <cell r="C4853" t="str">
            <v xml:space="preserve">M     </v>
          </cell>
          <cell r="D4853">
            <v>119.29</v>
          </cell>
        </row>
        <row r="4854">
          <cell r="A4854">
            <v>39750</v>
          </cell>
          <cell r="B4854" t="str">
            <v>TUBO DE COBRE CLASSE "A", DN = 1 1/4 " (35 MM), PARA INSTALACOES DE MEDIA PRESSAO PARA GASES COMBUSTIVEIS E MEDICINAIS</v>
          </cell>
          <cell r="C4854" t="str">
            <v xml:space="preserve">M     </v>
          </cell>
          <cell r="D4854">
            <v>99.15</v>
          </cell>
        </row>
        <row r="4855">
          <cell r="A4855">
            <v>39747</v>
          </cell>
          <cell r="B4855" t="str">
            <v>TUBO DE COBRE CLASSE "A", DN = 1/2 " (15 MM), PARA INSTALACOES DE MEDIA PRESSAO PARA GASES COMBUSTIVEIS E MEDICINAIS</v>
          </cell>
          <cell r="C4855" t="str">
            <v xml:space="preserve">M     </v>
          </cell>
          <cell r="D4855">
            <v>31.89</v>
          </cell>
        </row>
        <row r="4856">
          <cell r="A4856">
            <v>39753</v>
          </cell>
          <cell r="B4856" t="str">
            <v>TUBO DE COBRE CLASSE "A", DN = 2 1/2 " (66 MM), PARA INSTALACOES DE MEDIA PRESSAO PARA GASES COMBUSTIVEIS E MEDICINAIS</v>
          </cell>
          <cell r="C4856" t="str">
            <v xml:space="preserve">M     </v>
          </cell>
          <cell r="D4856">
            <v>219.59</v>
          </cell>
        </row>
        <row r="4857">
          <cell r="A4857">
            <v>39754</v>
          </cell>
          <cell r="B4857" t="str">
            <v>TUBO DE COBRE CLASSE "A", DN = 3 " (79 MM), PARA INSTALACOES DE MEDIA PRESSAO PARA GASES COMBUSTIVEIS E MEDICINAIS</v>
          </cell>
          <cell r="C4857" t="str">
            <v xml:space="preserve">M     </v>
          </cell>
          <cell r="D4857">
            <v>323.52</v>
          </cell>
        </row>
        <row r="4858">
          <cell r="A4858">
            <v>39748</v>
          </cell>
          <cell r="B4858" t="str">
            <v>TUBO DE COBRE CLASSE "A", DN = 3/4 " (22 MM), PARA INSTALACOES DE MEDIA PRESSAO PARA GASES COMBUSTIVEIS E MEDICINAIS</v>
          </cell>
          <cell r="C4858" t="str">
            <v xml:space="preserve">M     </v>
          </cell>
          <cell r="D4858">
            <v>51.6</v>
          </cell>
        </row>
        <row r="4859">
          <cell r="A4859">
            <v>39755</v>
          </cell>
          <cell r="B4859" t="str">
            <v>TUBO DE COBRE CLASSE "A", DN = 4 " (104 MM), PARA INSTALACOES DE MEDIA PRESSAO PARA GASES COMBUSTIVEIS E MEDICINAIS</v>
          </cell>
          <cell r="C4859" t="str">
            <v xml:space="preserve">M     </v>
          </cell>
          <cell r="D4859">
            <v>490.53</v>
          </cell>
        </row>
        <row r="4860">
          <cell r="A4860">
            <v>12742</v>
          </cell>
          <cell r="B4860" t="str">
            <v>TUBO DE COBRE CLASSE "E", DN = 104 MM, PARA INSTALACAO HIDRAULICA PREDIAL</v>
          </cell>
          <cell r="C4860" t="str">
            <v xml:space="preserve">M     </v>
          </cell>
          <cell r="D4860">
            <v>388.41</v>
          </cell>
        </row>
        <row r="4861">
          <cell r="A4861">
            <v>12713</v>
          </cell>
          <cell r="B4861" t="str">
            <v>TUBO DE COBRE CLASSE "E", DN = 15 MM, PARA INSTALACAO HIDRAULICA PREDIAL</v>
          </cell>
          <cell r="C4861" t="str">
            <v xml:space="preserve">M     </v>
          </cell>
          <cell r="D4861">
            <v>20.6</v>
          </cell>
        </row>
        <row r="4862">
          <cell r="A4862">
            <v>12743</v>
          </cell>
          <cell r="B4862" t="str">
            <v>TUBO DE COBRE CLASSE "E", DN = 22 MM, PARA INSTALACAO HIDRAULICA PREDIAL</v>
          </cell>
          <cell r="C4862" t="str">
            <v xml:space="preserve">M     </v>
          </cell>
          <cell r="D4862">
            <v>35.43</v>
          </cell>
        </row>
        <row r="4863">
          <cell r="A4863">
            <v>12744</v>
          </cell>
          <cell r="B4863" t="str">
            <v>TUBO DE COBRE CLASSE "E", DN = 28 MM, PARA INSTALACAO HIDRAULICA PREDIAL</v>
          </cell>
          <cell r="C4863" t="str">
            <v xml:space="preserve">M     </v>
          </cell>
          <cell r="D4863">
            <v>44.97</v>
          </cell>
        </row>
        <row r="4864">
          <cell r="A4864">
            <v>12745</v>
          </cell>
          <cell r="B4864" t="str">
            <v>TUBO DE COBRE CLASSE "E", DN = 35 MM, PARA INSTALACAO HIDRAULICA PREDIAL</v>
          </cell>
          <cell r="C4864" t="str">
            <v xml:space="preserve">M     </v>
          </cell>
          <cell r="D4864">
            <v>65.31</v>
          </cell>
        </row>
        <row r="4865">
          <cell r="A4865">
            <v>12746</v>
          </cell>
          <cell r="B4865" t="str">
            <v>TUBO DE COBRE CLASSE "E", DN = 42 MM, PARA INSTALACAO HIDRAULICA PREDIAL</v>
          </cell>
          <cell r="C4865" t="str">
            <v xml:space="preserve">M     </v>
          </cell>
          <cell r="D4865">
            <v>88.19</v>
          </cell>
        </row>
        <row r="4866">
          <cell r="A4866">
            <v>12747</v>
          </cell>
          <cell r="B4866" t="str">
            <v>TUBO DE COBRE CLASSE "E", DN = 54 MM, PARA INSTALACAO HIDRAULICA PREDIAL</v>
          </cell>
          <cell r="C4866" t="str">
            <v xml:space="preserve">M     </v>
          </cell>
          <cell r="D4866">
            <v>127.9</v>
          </cell>
        </row>
        <row r="4867">
          <cell r="A4867">
            <v>12748</v>
          </cell>
          <cell r="B4867" t="str">
            <v>TUBO DE COBRE CLASSE "E", DN = 66 MM, PARA INSTALACAO HIDRAULICA PREDIAL</v>
          </cell>
          <cell r="C4867" t="str">
            <v xml:space="preserve">M     </v>
          </cell>
          <cell r="D4867">
            <v>180.19</v>
          </cell>
        </row>
        <row r="4868">
          <cell r="A4868">
            <v>12749</v>
          </cell>
          <cell r="B4868" t="str">
            <v>TUBO DE COBRE CLASSE "E", DN = 79 MM, PARA INSTALACAO HIDRAULICA PREDIAL</v>
          </cell>
          <cell r="C4868" t="str">
            <v xml:space="preserve">M     </v>
          </cell>
          <cell r="D4868">
            <v>263.41000000000003</v>
          </cell>
        </row>
        <row r="4869">
          <cell r="A4869">
            <v>39726</v>
          </cell>
          <cell r="B4869" t="str">
            <v>TUBO DE COBRE CLASSE "I", DN = 1 " (28 MM), PARA INSTALACOES INDUSTRIAIS DE ALTA PRESSAO E VAPOR</v>
          </cell>
          <cell r="C4869" t="str">
            <v xml:space="preserve">M     </v>
          </cell>
          <cell r="D4869">
            <v>86.52</v>
          </cell>
        </row>
        <row r="4870">
          <cell r="A4870">
            <v>39728</v>
          </cell>
          <cell r="B4870" t="str">
            <v>TUBO DE COBRE CLASSE "I", DN = 1 1/2 " (42 MM), PARA INSTALACOES INDUSTRIAIS DE ALTA PRESSAO E VAPOR</v>
          </cell>
          <cell r="C4870" t="str">
            <v xml:space="preserve">M     </v>
          </cell>
          <cell r="D4870">
            <v>152.06</v>
          </cell>
        </row>
        <row r="4871">
          <cell r="A4871">
            <v>39727</v>
          </cell>
          <cell r="B4871" t="str">
            <v>TUBO DE COBRE CLASSE "I", DN = 1 1/4 " (35 MM), PARA INSTALACOES INDUSTRIAIS DE ALTA PRESSAO E VAPOR</v>
          </cell>
          <cell r="C4871" t="str">
            <v xml:space="preserve">M     </v>
          </cell>
          <cell r="D4871">
            <v>125.13</v>
          </cell>
        </row>
        <row r="4872">
          <cell r="A4872">
            <v>39724</v>
          </cell>
          <cell r="B4872" t="str">
            <v>TUBO DE COBRE CLASSE "I", DN = 1/2 " (15 MM), PARA INSTALACOES INDUSTRIAIS DE ALTA PRESSAO E VAPOR</v>
          </cell>
          <cell r="C4872" t="str">
            <v xml:space="preserve">M     </v>
          </cell>
          <cell r="D4872">
            <v>38.31</v>
          </cell>
        </row>
        <row r="4873">
          <cell r="A4873">
            <v>39729</v>
          </cell>
          <cell r="B4873" t="str">
            <v>TUBO DE COBRE CLASSE "I", DN = 2 " (54 MM), PARA INSTALACOES INDUSTRIAIS DE ALTA PRESSAO E VAPOR</v>
          </cell>
          <cell r="C4873" t="str">
            <v xml:space="preserve">M     </v>
          </cell>
          <cell r="D4873">
            <v>210.57</v>
          </cell>
        </row>
        <row r="4874">
          <cell r="A4874">
            <v>39730</v>
          </cell>
          <cell r="B4874" t="str">
            <v>TUBO DE COBRE CLASSE "I", DN = 2 1/2 " (66 MM), PARA INSTALACOES INDUSTRIAIS DE ALTA PRESSAO E VAPOR</v>
          </cell>
          <cell r="C4874" t="str">
            <v xml:space="preserve">M     </v>
          </cell>
          <cell r="D4874">
            <v>273.20999999999998</v>
          </cell>
        </row>
        <row r="4875">
          <cell r="A4875">
            <v>39731</v>
          </cell>
          <cell r="B4875" t="str">
            <v>TUBO DE COBRE CLASSE "I", DN = 3 " (79 MM), PARA INSTALACOES INDUSTRIAIS DE ALTA PRESSAO E VAPOR</v>
          </cell>
          <cell r="C4875" t="str">
            <v xml:space="preserve">M     </v>
          </cell>
          <cell r="D4875">
            <v>404.64</v>
          </cell>
        </row>
        <row r="4876">
          <cell r="A4876">
            <v>39725</v>
          </cell>
          <cell r="B4876" t="str">
            <v>TUBO DE COBRE CLASSE "I", DN = 3/4 " (22 MM), PARA INSTALACOES INDUSTRIAIS DE ALTA PRESSAO E VAPOR</v>
          </cell>
          <cell r="C4876" t="str">
            <v xml:space="preserve">M     </v>
          </cell>
          <cell r="D4876">
            <v>62.44</v>
          </cell>
        </row>
        <row r="4877">
          <cell r="A4877">
            <v>39732</v>
          </cell>
          <cell r="B4877" t="str">
            <v>TUBO DE COBRE CLASSE "I", DN = 4" (104 MM), PARA INSTALACOES INDUSTRIAIS DE ALTA PRESSAO E VAPOR</v>
          </cell>
          <cell r="C4877" t="str">
            <v xml:space="preserve">M     </v>
          </cell>
          <cell r="D4877">
            <v>595.61</v>
          </cell>
        </row>
        <row r="4878">
          <cell r="A4878">
            <v>39660</v>
          </cell>
          <cell r="B4878" t="str">
            <v>TUBO DE COBRE FLEXIVEL, D = 1/2 ", E = 0,79 MM, PARA AR-CONDICIONADO/ INSTALACOES GAS RESIDENCIAIS E COMERCIAIS</v>
          </cell>
          <cell r="C4878" t="str">
            <v xml:space="preserve">M     </v>
          </cell>
          <cell r="D4878">
            <v>27.14</v>
          </cell>
        </row>
        <row r="4879">
          <cell r="A4879">
            <v>39662</v>
          </cell>
          <cell r="B4879" t="str">
            <v>TUBO DE COBRE FLEXIVEL, D = 1/4 ", E = 0,79 MM, PARA AR-CONDICIONADO/ INSTALACOES GAS RESIDENCIAIS E COMERCIAIS</v>
          </cell>
          <cell r="C4879" t="str">
            <v xml:space="preserve">M     </v>
          </cell>
          <cell r="D4879">
            <v>13.01</v>
          </cell>
        </row>
        <row r="4880">
          <cell r="A4880">
            <v>39661</v>
          </cell>
          <cell r="B4880" t="str">
            <v>TUBO DE COBRE FLEXIVEL, D = 3/16 ", E = 0,79 MM, PARA AR-CONDICIONADO/ INSTALACOES GAS RESIDENCIAIS E COMERCIAIS</v>
          </cell>
          <cell r="C4880" t="str">
            <v xml:space="preserve">M     </v>
          </cell>
          <cell r="D4880">
            <v>8.8699999999999992</v>
          </cell>
        </row>
        <row r="4881">
          <cell r="A4881">
            <v>39666</v>
          </cell>
          <cell r="B4881" t="str">
            <v>TUBO DE COBRE FLEXIVEL, D = 3/4 ", E = 0,79 MM, PARA AR-CONDICIONADO/ INSTALACOES GAS RESIDENCIAIS E COMERCIAIS</v>
          </cell>
          <cell r="C4881" t="str">
            <v xml:space="preserve">M     </v>
          </cell>
          <cell r="D4881">
            <v>40.83</v>
          </cell>
        </row>
        <row r="4882">
          <cell r="A4882">
            <v>39664</v>
          </cell>
          <cell r="B4882" t="str">
            <v>TUBO DE COBRE FLEXIVEL, D = 3/8 ", E = 0,79 MM, PARA AR-CONDICIONADO/ INSTALACOES GAS RESIDENCIAIS E COMERCIAIS</v>
          </cell>
          <cell r="C4882" t="str">
            <v xml:space="preserve">M     </v>
          </cell>
          <cell r="D4882">
            <v>20.010000000000002</v>
          </cell>
        </row>
        <row r="4883">
          <cell r="A4883">
            <v>39663</v>
          </cell>
          <cell r="B4883" t="str">
            <v>TUBO DE COBRE FLEXIVEL, D = 5/16 ", E = 0,79 MM, PARA AR-CONDICIONADO/ INSTALACOES GAS RESIDENCIAIS E COMERCIAIS</v>
          </cell>
          <cell r="C4883" t="str">
            <v xml:space="preserve">M     </v>
          </cell>
          <cell r="D4883">
            <v>15.99</v>
          </cell>
        </row>
        <row r="4884">
          <cell r="A4884">
            <v>39665</v>
          </cell>
          <cell r="B4884" t="str">
            <v>TUBO DE COBRE FLEXIVEL, D = 5/8 ", E = 0,79 MM, PARA AR-CONDICIONADO/ INSTALACOES GAS RESIDENCIAIS E COMERCIAIS</v>
          </cell>
          <cell r="C4884" t="str">
            <v xml:space="preserve">M     </v>
          </cell>
          <cell r="D4884">
            <v>33.76</v>
          </cell>
        </row>
        <row r="4885">
          <cell r="A4885">
            <v>39752</v>
          </cell>
          <cell r="B4885" t="str">
            <v>TUBO DE COBRE, CLASSE "A", DN = 2" (54 MM), PARA INSTALACOES DE MEDIA PRESSAO PARA GASES COMBUSTIVEIS E MEDICINAIS</v>
          </cell>
          <cell r="C4885" t="str">
            <v xml:space="preserve">M     </v>
          </cell>
          <cell r="D4885">
            <v>169.74</v>
          </cell>
        </row>
        <row r="4886">
          <cell r="A4886">
            <v>7725</v>
          </cell>
          <cell r="B4886" t="str">
            <v>TUBO DE CONCRETO ARMADO PARA AGUAS PLUVIAIS, CLASSE PA-1, COM ENCAIXE PONTA E BOLSA, DIAMETRO NOMINAL DE = 600 MM</v>
          </cell>
          <cell r="C4886" t="str">
            <v xml:space="preserve">M     </v>
          </cell>
          <cell r="D4886">
            <v>122.4</v>
          </cell>
        </row>
        <row r="4887">
          <cell r="A4887">
            <v>7753</v>
          </cell>
          <cell r="B4887" t="str">
            <v>TUBO DE CONCRETO ARMADO PARA AGUAS PLUVIAIS, CLASSE PA-1, COM ENCAIXE PONTA E BOLSA, DIAMETRO NOMINAL DE 1000 MM</v>
          </cell>
          <cell r="C4887" t="str">
            <v xml:space="preserve">M     </v>
          </cell>
          <cell r="D4887">
            <v>238.62</v>
          </cell>
        </row>
        <row r="4888">
          <cell r="A4888">
            <v>13256</v>
          </cell>
          <cell r="B4888" t="str">
            <v>TUBO DE CONCRETO ARMADO PARA AGUAS PLUVIAIS, CLASSE PA-1, COM ENCAIXE PONTA E BOLSA, DIAMETRO NOMINAL DE 1100 MM</v>
          </cell>
          <cell r="C4888" t="str">
            <v xml:space="preserve">M     </v>
          </cell>
          <cell r="D4888">
            <v>334.28</v>
          </cell>
        </row>
        <row r="4889">
          <cell r="A4889">
            <v>7757</v>
          </cell>
          <cell r="B4889" t="str">
            <v>TUBO DE CONCRETO ARMADO PARA AGUAS PLUVIAIS, CLASSE PA-1, COM ENCAIXE PONTA E BOLSA, DIAMETRO NOMINAL DE 1200 MM</v>
          </cell>
          <cell r="C4889" t="str">
            <v xml:space="preserve">M     </v>
          </cell>
          <cell r="D4889">
            <v>356.39</v>
          </cell>
        </row>
        <row r="4890">
          <cell r="A4890">
            <v>7758</v>
          </cell>
          <cell r="B4890" t="str">
            <v>TUBO DE CONCRETO ARMADO PARA AGUAS PLUVIAIS, CLASSE PA-1, COM ENCAIXE PONTA E BOLSA, DIAMETRO NOMINAL DE 1500 MM</v>
          </cell>
          <cell r="C4890" t="str">
            <v xml:space="preserve">M     </v>
          </cell>
          <cell r="D4890">
            <v>516.34</v>
          </cell>
        </row>
        <row r="4891">
          <cell r="A4891">
            <v>7759</v>
          </cell>
          <cell r="B4891" t="str">
            <v>TUBO DE CONCRETO ARMADO PARA AGUAS PLUVIAIS, CLASSE PA-1, COM ENCAIXE PONTA E BOLSA, DIAMETRO NOMINAL DE 2000 MM</v>
          </cell>
          <cell r="C4891" t="str">
            <v xml:space="preserve">M     </v>
          </cell>
          <cell r="D4891">
            <v>1430.78</v>
          </cell>
        </row>
        <row r="4892">
          <cell r="A4892">
            <v>40334</v>
          </cell>
          <cell r="B4892" t="str">
            <v>TUBO DE CONCRETO ARMADO PARA AGUAS PLUVIAIS, CLASSE PA-1, COM ENCAIXE PONTA E BOLSA, DIAMETRO NOMINAL DE 300 MM</v>
          </cell>
          <cell r="C4892" t="str">
            <v xml:space="preserve">M     </v>
          </cell>
          <cell r="D4892">
            <v>56.05</v>
          </cell>
        </row>
        <row r="4893">
          <cell r="A4893">
            <v>7745</v>
          </cell>
          <cell r="B4893" t="str">
            <v>TUBO DE CONCRETO ARMADO PARA AGUAS PLUVIAIS, CLASSE PA-1, COM ENCAIXE PONTA E BOLSA, DIAMETRO NOMINAL DE 400 MM</v>
          </cell>
          <cell r="C4893" t="str">
            <v xml:space="preserve">M     </v>
          </cell>
          <cell r="D4893">
            <v>63.25</v>
          </cell>
        </row>
        <row r="4894">
          <cell r="A4894">
            <v>7714</v>
          </cell>
          <cell r="B4894" t="str">
            <v>TUBO DE CONCRETO ARMADO PARA AGUAS PLUVIAIS, CLASSE PA-1, COM ENCAIXE PONTA E BOLSA, DIAMETRO NOMINAL DE 500 MM</v>
          </cell>
          <cell r="C4894" t="str">
            <v xml:space="preserve">M     </v>
          </cell>
          <cell r="D4894">
            <v>75.599999999999994</v>
          </cell>
        </row>
        <row r="4895">
          <cell r="A4895">
            <v>7742</v>
          </cell>
          <cell r="B4895" t="str">
            <v>TUBO DE CONCRETO ARMADO PARA AGUAS PLUVIAIS, CLASSE PA-1, COM ENCAIXE PONTA E BOLSA, DIAMETRO NOMINAL DE 700 MM</v>
          </cell>
          <cell r="C4895" t="str">
            <v xml:space="preserve">M     </v>
          </cell>
          <cell r="D4895">
            <v>166.83</v>
          </cell>
        </row>
        <row r="4896">
          <cell r="A4896">
            <v>7750</v>
          </cell>
          <cell r="B4896" t="str">
            <v>TUBO DE CONCRETO ARMADO PARA AGUAS PLUVIAIS, CLASSE PA-1, COM ENCAIXE PONTA E BOLSA, DIAMETRO NOMINAL DE 800 MM</v>
          </cell>
          <cell r="C4896" t="str">
            <v xml:space="preserve">M     </v>
          </cell>
          <cell r="D4896">
            <v>203.65</v>
          </cell>
        </row>
        <row r="4897">
          <cell r="A4897">
            <v>7756</v>
          </cell>
          <cell r="B4897" t="str">
            <v>TUBO DE CONCRETO ARMADO PARA AGUAS PLUVIAIS, CLASSE PA-1, COM ENCAIXE PONTA E BOLSA, DIAMETRO NOMINAL DE 900 MM</v>
          </cell>
          <cell r="C4897" t="str">
            <v xml:space="preserve">M     </v>
          </cell>
          <cell r="D4897">
            <v>233.99</v>
          </cell>
        </row>
        <row r="4898">
          <cell r="A4898">
            <v>7765</v>
          </cell>
          <cell r="B4898" t="str">
            <v>TUBO DE CONCRETO ARMADO PARA AGUAS PLUVIAIS, CLASSE PA-2, COM ENCAIXE PONTA E BOLSA, DIAMETRO NOMINAL DE 1000 MM</v>
          </cell>
          <cell r="C4898" t="str">
            <v xml:space="preserve">M     </v>
          </cell>
          <cell r="D4898">
            <v>262.27999999999997</v>
          </cell>
        </row>
        <row r="4899">
          <cell r="A4899">
            <v>12569</v>
          </cell>
          <cell r="B4899" t="str">
            <v>TUBO DE CONCRETO ARMADO PARA AGUAS PLUVIAIS, CLASSE PA-2, COM ENCAIXE PONTA E BOLSA, DIAMETRO NOMINAL DE 1100 MM</v>
          </cell>
          <cell r="C4899" t="str">
            <v xml:space="preserve">M     </v>
          </cell>
          <cell r="D4899">
            <v>362.05</v>
          </cell>
        </row>
        <row r="4900">
          <cell r="A4900">
            <v>7766</v>
          </cell>
          <cell r="B4900" t="str">
            <v>TUBO DE CONCRETO ARMADO PARA AGUAS PLUVIAIS, CLASSE PA-2, COM ENCAIXE PONTA E BOLSA, DIAMETRO NOMINAL DE 1200 MM</v>
          </cell>
          <cell r="C4900" t="str">
            <v xml:space="preserve">M     </v>
          </cell>
          <cell r="D4900">
            <v>384.68</v>
          </cell>
        </row>
        <row r="4901">
          <cell r="A4901">
            <v>7767</v>
          </cell>
          <cell r="B4901" t="str">
            <v>TUBO DE CONCRETO ARMADO PARA AGUAS PLUVIAIS, CLASSE PA-2, COM ENCAIXE PONTA E BOLSA, DIAMETRO NOMINAL DE 1500 MM</v>
          </cell>
          <cell r="C4901" t="str">
            <v xml:space="preserve">M     </v>
          </cell>
          <cell r="D4901">
            <v>552.34</v>
          </cell>
        </row>
        <row r="4902">
          <cell r="A4902">
            <v>7727</v>
          </cell>
          <cell r="B4902" t="str">
            <v>TUBO DE CONCRETO ARMADO PARA AGUAS PLUVIAIS, CLASSE PA-2, COM ENCAIXE PONTA E BOLSA, DIAMETRO NOMINAL DE 2000 MM</v>
          </cell>
          <cell r="C4902" t="str">
            <v xml:space="preserve">M     </v>
          </cell>
          <cell r="D4902">
            <v>1604.57</v>
          </cell>
        </row>
        <row r="4903">
          <cell r="A4903">
            <v>7760</v>
          </cell>
          <cell r="B4903" t="str">
            <v>TUBO DE CONCRETO ARMADO PARA AGUAS PLUVIAIS, CLASSE PA-2, COM ENCAIXE PONTA E BOLSA, DIAMETRO NOMINAL DE 300 MM</v>
          </cell>
          <cell r="C4903" t="str">
            <v xml:space="preserve">M     </v>
          </cell>
          <cell r="D4903">
            <v>63.77</v>
          </cell>
        </row>
        <row r="4904">
          <cell r="A4904">
            <v>7761</v>
          </cell>
          <cell r="B4904" t="str">
            <v>TUBO DE CONCRETO ARMADO PARA AGUAS PLUVIAIS, CLASSE PA-2, COM ENCAIXE PONTA E BOLSA, DIAMETRO NOMINAL DE 400 MM</v>
          </cell>
          <cell r="C4904" t="str">
            <v xml:space="preserve">M     </v>
          </cell>
          <cell r="D4904">
            <v>66.849999999999994</v>
          </cell>
        </row>
        <row r="4905">
          <cell r="A4905">
            <v>7752</v>
          </cell>
          <cell r="B4905" t="str">
            <v>TUBO DE CONCRETO ARMADO PARA AGUAS PLUVIAIS, CLASSE PA-2, COM ENCAIXE PONTA E BOLSA, DIAMETRO NOMINAL DE 500 MM</v>
          </cell>
          <cell r="C4905" t="str">
            <v xml:space="preserve">M     </v>
          </cell>
          <cell r="D4905">
            <v>81.25</v>
          </cell>
        </row>
        <row r="4906">
          <cell r="A4906">
            <v>7762</v>
          </cell>
          <cell r="B4906" t="str">
            <v>TUBO DE CONCRETO ARMADO PARA AGUAS PLUVIAIS, CLASSE PA-2, COM ENCAIXE PONTA E BOLSA, DIAMETRO NOMINAL DE 600 MM</v>
          </cell>
          <cell r="C4906" t="str">
            <v xml:space="preserve">M     </v>
          </cell>
          <cell r="D4906">
            <v>106.2</v>
          </cell>
        </row>
        <row r="4907">
          <cell r="A4907">
            <v>7722</v>
          </cell>
          <cell r="B4907" t="str">
            <v>TUBO DE CONCRETO ARMADO PARA AGUAS PLUVIAIS, CLASSE PA-2, COM ENCAIXE PONTA E BOLSA, DIAMETRO NOMINAL DE 700 MM</v>
          </cell>
          <cell r="C4907" t="str">
            <v xml:space="preserve">M     </v>
          </cell>
          <cell r="D4907">
            <v>162.51</v>
          </cell>
        </row>
        <row r="4908">
          <cell r="A4908">
            <v>7763</v>
          </cell>
          <cell r="B4908" t="str">
            <v>TUBO DE CONCRETO ARMADO PARA AGUAS PLUVIAIS, CLASSE PA-2, COM ENCAIXE PONTA E BOLSA, DIAMETRO NOMINAL DE 800 MM</v>
          </cell>
          <cell r="C4908" t="str">
            <v xml:space="preserve">M     </v>
          </cell>
          <cell r="D4908">
            <v>198</v>
          </cell>
        </row>
        <row r="4909">
          <cell r="A4909">
            <v>7764</v>
          </cell>
          <cell r="B4909" t="str">
            <v>TUBO DE CONCRETO ARMADO PARA AGUAS PLUVIAIS, CLASSE PA-2, COM ENCAIXE PONTA E BOLSA, DIAMETRO NOMINAL DE 900 MM</v>
          </cell>
          <cell r="C4909" t="str">
            <v xml:space="preserve">M     </v>
          </cell>
          <cell r="D4909">
            <v>236.57</v>
          </cell>
        </row>
        <row r="4910">
          <cell r="A4910">
            <v>12572</v>
          </cell>
          <cell r="B4910" t="str">
            <v>TUBO DE CONCRETO ARMADO PARA AGUAS PLUVIAIS, CLASSE PA-3, COM ENCAIXE PONTA E BOLSA, DIAMETRO NOMINAL DE 1000 MM</v>
          </cell>
          <cell r="C4910" t="str">
            <v xml:space="preserve">M     </v>
          </cell>
          <cell r="D4910">
            <v>334.28</v>
          </cell>
        </row>
        <row r="4911">
          <cell r="A4911">
            <v>12573</v>
          </cell>
          <cell r="B4911" t="str">
            <v>TUBO DE CONCRETO ARMADO PARA AGUAS PLUVIAIS, CLASSE PA-3, COM ENCAIXE PONTA E BOLSA, DIAMETRO NOMINAL DE 1100 MM</v>
          </cell>
          <cell r="C4911" t="str">
            <v xml:space="preserve">M     </v>
          </cell>
          <cell r="D4911">
            <v>439.71</v>
          </cell>
        </row>
        <row r="4912">
          <cell r="A4912">
            <v>12574</v>
          </cell>
          <cell r="B4912" t="str">
            <v>TUBO DE CONCRETO ARMADO PARA AGUAS PLUVIAIS, CLASSE PA-3, COM ENCAIXE PONTA E BOLSA, DIAMETRO NOMINAL DE 1200 MM</v>
          </cell>
          <cell r="C4912" t="str">
            <v xml:space="preserve">M     </v>
          </cell>
          <cell r="D4912">
            <v>531.66</v>
          </cell>
        </row>
        <row r="4913">
          <cell r="A4913">
            <v>12575</v>
          </cell>
          <cell r="B4913" t="str">
            <v>TUBO DE CONCRETO ARMADO PARA AGUAS PLUVIAIS, CLASSE PA-3, COM ENCAIXE PONTA E BOLSA, DIAMETRO NOMINAL DE 1500 MM</v>
          </cell>
          <cell r="C4913" t="str">
            <v xml:space="preserve">M     </v>
          </cell>
          <cell r="D4913">
            <v>807.42</v>
          </cell>
        </row>
        <row r="4914">
          <cell r="A4914">
            <v>12576</v>
          </cell>
          <cell r="B4914" t="str">
            <v>TUBO DE CONCRETO ARMADO PARA AGUAS PLUVIAIS, CLASSE PA-3, COM ENCAIXE PONTA E BOLSA, DIAMETRO NOMINAL DE 400 MM</v>
          </cell>
          <cell r="C4914" t="str">
            <v xml:space="preserve">M     </v>
          </cell>
          <cell r="D4914">
            <v>97.71</v>
          </cell>
        </row>
        <row r="4915">
          <cell r="A4915">
            <v>12577</v>
          </cell>
          <cell r="B4915" t="str">
            <v>TUBO DE CONCRETO ARMADO PARA AGUAS PLUVIAIS, CLASSE PA-3, COM ENCAIXE PONTA E BOLSA, DIAMETRO NOMINAL DE 500 MM</v>
          </cell>
          <cell r="C4915" t="str">
            <v xml:space="preserve">M     </v>
          </cell>
          <cell r="D4915">
            <v>131.65</v>
          </cell>
        </row>
        <row r="4916">
          <cell r="A4916">
            <v>12578</v>
          </cell>
          <cell r="B4916" t="str">
            <v>TUBO DE CONCRETO ARMADO PARA AGUAS PLUVIAIS, CLASSE PA-3, COM ENCAIXE PONTA E BOLSA, DIAMETRO NOMINAL DE 600 MM</v>
          </cell>
          <cell r="C4916" t="str">
            <v xml:space="preserve">M     </v>
          </cell>
          <cell r="D4916">
            <v>159.41999999999999</v>
          </cell>
        </row>
        <row r="4917">
          <cell r="A4917">
            <v>12579</v>
          </cell>
          <cell r="B4917" t="str">
            <v>TUBO DE CONCRETO ARMADO PARA AGUAS PLUVIAIS, CLASSE PA-3, COM ENCAIXE PONTA E BOLSA, DIAMETRO NOMINAL DE 700 MM</v>
          </cell>
          <cell r="C4917" t="str">
            <v xml:space="preserve">M     </v>
          </cell>
          <cell r="D4917">
            <v>274.62</v>
          </cell>
        </row>
        <row r="4918">
          <cell r="A4918">
            <v>12580</v>
          </cell>
          <cell r="B4918" t="str">
            <v>TUBO DE CONCRETO ARMADO PARA AGUAS PLUVIAIS, CLASSE PA-3, COM ENCAIXE PONTA E BOLSA, DIAMETRO NOMINAL DE 800 MM</v>
          </cell>
          <cell r="C4918" t="str">
            <v xml:space="preserve">M     </v>
          </cell>
          <cell r="D4918">
            <v>286.14</v>
          </cell>
        </row>
        <row r="4919">
          <cell r="A4919">
            <v>12581</v>
          </cell>
          <cell r="B4919" t="str">
            <v>TUBO DE CONCRETO ARMADO PARA AGUAS PLUVIAIS, CLASSE PA-3, COM ENCAIXE PONTA E BOLSA, DIAMETRO NOMINAL DE 900 MM</v>
          </cell>
          <cell r="C4919" t="str">
            <v xml:space="preserve">M     </v>
          </cell>
          <cell r="D4919">
            <v>306.51</v>
          </cell>
        </row>
        <row r="4920">
          <cell r="A4920">
            <v>7720</v>
          </cell>
          <cell r="B4920" t="str">
            <v>TUBO DE CONCRETO ARMADO PARA ESGOTO SANITARIO, CLASSE EA-2, COM ENCAIXE PONTA E BOLSA, COM JUNTA ELASTICA, DIAMETRO NOMINAL DE 1000 MM</v>
          </cell>
          <cell r="C4920" t="str">
            <v xml:space="preserve">M     </v>
          </cell>
          <cell r="D4920">
            <v>479.31</v>
          </cell>
        </row>
        <row r="4921">
          <cell r="A4921">
            <v>40335</v>
          </cell>
          <cell r="B4921" t="str">
            <v>TUBO DE CONCRETO ARMADO PARA ESGOTO SANITARIO, CLASSE EA-2, COM ENCAIXE PONTA E BOLSA, COM JUNTA ELASTICA, DIAMETRO NOMINAL DE 300 MM</v>
          </cell>
          <cell r="C4921" t="str">
            <v xml:space="preserve">M     </v>
          </cell>
          <cell r="D4921">
            <v>100.28</v>
          </cell>
        </row>
        <row r="4922">
          <cell r="A4922">
            <v>7740</v>
          </cell>
          <cell r="B4922" t="str">
            <v>TUBO DE CONCRETO ARMADO PARA ESGOTO SANITARIO, CLASSE EA-2, COM ENCAIXE PONTA E BOLSA, COM JUNTA ELASTICA, DIAMETRO NOMINAL DE 400 MM</v>
          </cell>
          <cell r="C4922" t="str">
            <v xml:space="preserve">M     </v>
          </cell>
          <cell r="D4922">
            <v>102.85</v>
          </cell>
        </row>
        <row r="4923">
          <cell r="A4923">
            <v>7741</v>
          </cell>
          <cell r="B4923" t="str">
            <v>TUBO DE CONCRETO ARMADO PARA ESGOTO SANITARIO, CLASSE EA-2, COM ENCAIXE PONTA E BOLSA, COM JUNTA ELASTICA, DIAMETRO NOMINAL DE 500 MM</v>
          </cell>
          <cell r="C4923" t="str">
            <v xml:space="preserve">M     </v>
          </cell>
          <cell r="D4923">
            <v>190.28</v>
          </cell>
        </row>
        <row r="4924">
          <cell r="A4924">
            <v>7774</v>
          </cell>
          <cell r="B4924" t="str">
            <v>TUBO DE CONCRETO ARMADO PARA ESGOTO SANITARIO, CLASSE EA-2, COM ENCAIXE PONTA E BOLSA, COM JUNTA ELASTICA, DIAMETRO NOMINAL DE 600 MM</v>
          </cell>
          <cell r="C4924" t="str">
            <v xml:space="preserve">M     </v>
          </cell>
          <cell r="D4924">
            <v>233.48</v>
          </cell>
        </row>
        <row r="4925">
          <cell r="A4925">
            <v>7744</v>
          </cell>
          <cell r="B4925" t="str">
            <v>TUBO DE CONCRETO ARMADO PARA ESGOTO SANITARIO, CLASSE EA-2, COM ENCAIXE PONTA E BOLSA, COM JUNTA ELASTICA, DIAMETRO NOMINAL DE 700 MM</v>
          </cell>
          <cell r="C4925" t="str">
            <v xml:space="preserve">M     </v>
          </cell>
          <cell r="D4925">
            <v>304.97000000000003</v>
          </cell>
        </row>
        <row r="4926">
          <cell r="A4926">
            <v>7773</v>
          </cell>
          <cell r="B4926" t="str">
            <v>TUBO DE CONCRETO ARMADO PARA ESGOTO SANITARIO, CLASSE EA-2, COM ENCAIXE PONTA E BOLSA, COM JUNTA ELASTICA, DIAMETRO NOMINAL DE 800 MM</v>
          </cell>
          <cell r="C4926" t="str">
            <v xml:space="preserve">M     </v>
          </cell>
          <cell r="D4926">
            <v>311.7</v>
          </cell>
        </row>
        <row r="4927">
          <cell r="A4927">
            <v>7754</v>
          </cell>
          <cell r="B4927" t="str">
            <v>TUBO DE CONCRETO ARMADO PARA ESGOTO SANITARIO, CLASSE EA-2, COM ENCAIXE PONTA E BOLSA, COM JUNTA ELASTICA, DIAMETRO NOMINAL DE 900 MM</v>
          </cell>
          <cell r="C4927" t="str">
            <v xml:space="preserve">M     </v>
          </cell>
          <cell r="D4927">
            <v>472.62</v>
          </cell>
        </row>
        <row r="4928">
          <cell r="A4928">
            <v>7735</v>
          </cell>
          <cell r="B4928" t="str">
            <v>TUBO DE CONCRETO ARMADO PARA ESGOTO SANITARIO, CLASSE EA-3, COM ENCAIXE PONTA E BOLSA, COM JUNTA ELASTICA, DIAMETRO NOMINAL DE 1000 MM</v>
          </cell>
          <cell r="C4928" t="str">
            <v xml:space="preserve">M     </v>
          </cell>
          <cell r="D4928">
            <v>612</v>
          </cell>
        </row>
        <row r="4929">
          <cell r="A4929">
            <v>7755</v>
          </cell>
          <cell r="B4929" t="str">
            <v>TUBO DE CONCRETO ARMADO PARA ESGOTO SANITARIO, CLASSE EA-3, COM ENCAIXE PONTA E BOLSA, COM JUNTA ELASTICA, DIAMETRO NOMINAL DE 400 MM</v>
          </cell>
          <cell r="C4929" t="str">
            <v xml:space="preserve">M     </v>
          </cell>
          <cell r="D4929">
            <v>121.37</v>
          </cell>
        </row>
        <row r="4930">
          <cell r="A4930">
            <v>7776</v>
          </cell>
          <cell r="B4930" t="str">
            <v>TUBO DE CONCRETO ARMADO PARA ESGOTO SANITARIO, CLASSE EA-3, COM ENCAIXE PONTA E BOLSA, COM JUNTA ELASTICA, DIAMETRO NOMINAL DE 500 MM</v>
          </cell>
          <cell r="C4930" t="str">
            <v xml:space="preserve">M     </v>
          </cell>
          <cell r="D4930">
            <v>253.02</v>
          </cell>
        </row>
        <row r="4931">
          <cell r="A4931">
            <v>7743</v>
          </cell>
          <cell r="B4931" t="str">
            <v>TUBO DE CONCRETO ARMADO PARA ESGOTO SANITARIO, CLASSE EA-3, COM ENCAIXE PONTA E BOLSA, COM JUNTA ELASTICA, DIAMETRO NOMINAL DE 600 MM</v>
          </cell>
          <cell r="C4931" t="str">
            <v xml:space="preserve">M     </v>
          </cell>
          <cell r="D4931">
            <v>267.94</v>
          </cell>
        </row>
        <row r="4932">
          <cell r="A4932">
            <v>7733</v>
          </cell>
          <cell r="B4932" t="str">
            <v>TUBO DE CONCRETO ARMADO PARA ESGOTO SANITARIO, CLASSE EA-3, COM ENCAIXE PONTA E BOLSA, COM JUNTA ELASTICA, DIAMETRO NOMINAL DE 700 MM</v>
          </cell>
          <cell r="C4932" t="str">
            <v xml:space="preserve">M     </v>
          </cell>
          <cell r="D4932">
            <v>349.71</v>
          </cell>
        </row>
        <row r="4933">
          <cell r="A4933">
            <v>7775</v>
          </cell>
          <cell r="B4933" t="str">
            <v>TUBO DE CONCRETO ARMADO PARA ESGOTO SANITARIO, CLASSE EA-3, COM ENCAIXE PONTA E BOLSA, COM JUNTA ELASTICA, DIAMETRO NOMINAL DE 800 MM</v>
          </cell>
          <cell r="C4933" t="str">
            <v xml:space="preserve">M     </v>
          </cell>
          <cell r="D4933">
            <v>383.14</v>
          </cell>
        </row>
        <row r="4934">
          <cell r="A4934">
            <v>7734</v>
          </cell>
          <cell r="B4934" t="str">
            <v>TUBO DE CONCRETO ARMADO PARA ESGOTO SANITARIO, CLASSE EA-3, COM ENCAIXE PONTA E BOLSA, COM JUNTA ELASTICA, DIAMETRO NOMINAL DE 900 MM</v>
          </cell>
          <cell r="C4934" t="str">
            <v xml:space="preserve">M     </v>
          </cell>
          <cell r="D4934">
            <v>542.57000000000005</v>
          </cell>
        </row>
        <row r="4935">
          <cell r="A4935">
            <v>37449</v>
          </cell>
          <cell r="B4935" t="str">
            <v>TUBO DE CONCRETO SIMPLES PARA AGUAS PLUVIAIS, CLASSE PS1, COM ENCAIXE MACHO E FEMEA, DIAMETRO NOMINAL DE 200 MM</v>
          </cell>
          <cell r="C4935" t="str">
            <v xml:space="preserve">M     </v>
          </cell>
          <cell r="D4935">
            <v>17.829999999999998</v>
          </cell>
        </row>
        <row r="4936">
          <cell r="A4936">
            <v>37450</v>
          </cell>
          <cell r="B4936" t="str">
            <v>TUBO DE CONCRETO SIMPLES PARA AGUAS PLUVIAIS, CLASSE PS1, COM ENCAIXE MACHO E FEMEA, DIAMETRO NOMINAL DE 300 MM</v>
          </cell>
          <cell r="C4936" t="str">
            <v xml:space="preserve">M     </v>
          </cell>
          <cell r="D4936">
            <v>24.97</v>
          </cell>
        </row>
        <row r="4937">
          <cell r="A4937">
            <v>37451</v>
          </cell>
          <cell r="B4937" t="str">
            <v>TUBO DE CONCRETO SIMPLES PARA AGUAS PLUVIAIS, CLASSE PS1, COM ENCAIXE MACHO E FEMEA, DIAMETRO NOMINAL DE 400 MM</v>
          </cell>
          <cell r="C4937" t="str">
            <v xml:space="preserve">M     </v>
          </cell>
          <cell r="D4937">
            <v>34.86</v>
          </cell>
        </row>
        <row r="4938">
          <cell r="A4938">
            <v>37452</v>
          </cell>
          <cell r="B4938" t="str">
            <v>TUBO DE CONCRETO SIMPLES PARA AGUAS PLUVIAIS, CLASSE PS1, COM ENCAIXE MACHO E FEMEA, DIAMETRO NOMINAL DE 500 MM</v>
          </cell>
          <cell r="C4938" t="str">
            <v xml:space="preserve">M     </v>
          </cell>
          <cell r="D4938">
            <v>50.67</v>
          </cell>
        </row>
        <row r="4939">
          <cell r="A4939">
            <v>37453</v>
          </cell>
          <cell r="B4939" t="str">
            <v>TUBO DE CONCRETO SIMPLES PARA AGUAS PLUVIAIS, CLASSE PS1, COM ENCAIXE MACHO E FEMEA, DIAMETRO NOMINAL DE 600 MM</v>
          </cell>
          <cell r="C4939" t="str">
            <v xml:space="preserve">M     </v>
          </cell>
          <cell r="D4939">
            <v>58.35</v>
          </cell>
        </row>
        <row r="4940">
          <cell r="A4940">
            <v>7778</v>
          </cell>
          <cell r="B4940" t="str">
            <v>TUBO DE CONCRETO SIMPLES PARA AGUAS PLUVIAIS, CLASSE PS1, COM ENCAIXE PONTA E BOLSA, DIAMETRO NOMINAL DE 200 MM</v>
          </cell>
          <cell r="C4940" t="str">
            <v xml:space="preserve">M     </v>
          </cell>
          <cell r="D4940">
            <v>21.89</v>
          </cell>
        </row>
        <row r="4941">
          <cell r="A4941">
            <v>7796</v>
          </cell>
          <cell r="B4941" t="str">
            <v>TUBO DE CONCRETO SIMPLES PARA AGUAS PLUVIAIS, CLASSE PS1, COM ENCAIXE PONTA E BOLSA, DIAMETRO NOMINAL DE 300 MM</v>
          </cell>
          <cell r="C4941" t="str">
            <v xml:space="preserve">M     </v>
          </cell>
          <cell r="D4941">
            <v>30</v>
          </cell>
        </row>
        <row r="4942">
          <cell r="A4942">
            <v>7781</v>
          </cell>
          <cell r="B4942" t="str">
            <v>TUBO DE CONCRETO SIMPLES PARA AGUAS PLUVIAIS, CLASSE PS1, COM ENCAIXE PONTA E BOLSA, DIAMETRO NOMINAL DE 400 MM</v>
          </cell>
          <cell r="C4942" t="str">
            <v xml:space="preserve">M     </v>
          </cell>
          <cell r="D4942">
            <v>35.450000000000003</v>
          </cell>
        </row>
        <row r="4943">
          <cell r="A4943">
            <v>7795</v>
          </cell>
          <cell r="B4943" t="str">
            <v>TUBO DE CONCRETO SIMPLES PARA AGUAS PLUVIAIS, CLASSE PS1, COM ENCAIXE PONTA E BOLSA, DIAMETRO NOMINAL DE 500 MM</v>
          </cell>
          <cell r="C4943" t="str">
            <v xml:space="preserve">M     </v>
          </cell>
          <cell r="D4943">
            <v>52.76</v>
          </cell>
        </row>
        <row r="4944">
          <cell r="A4944">
            <v>7791</v>
          </cell>
          <cell r="B4944" t="str">
            <v>TUBO DE CONCRETO SIMPLES PARA AGUAS PLUVIAIS, CLASSE PS1, COM ENCAIXE PONTA E BOLSA, DIAMETRO NOMINAL DE 600 MM</v>
          </cell>
          <cell r="C4944" t="str">
            <v xml:space="preserve">M     </v>
          </cell>
          <cell r="D4944">
            <v>63.16</v>
          </cell>
        </row>
        <row r="4945">
          <cell r="A4945">
            <v>7783</v>
          </cell>
          <cell r="B4945" t="str">
            <v>TUBO DE CONCRETO SIMPLES PARA AGUAS PLUVIAIS, CLASSE PS2, COM ENCAIXE PONTA E BOLSA, DIAMETRO NOMINAL DE 200 MM</v>
          </cell>
          <cell r="C4945" t="str">
            <v xml:space="preserve">M     </v>
          </cell>
          <cell r="D4945">
            <v>22.38</v>
          </cell>
        </row>
        <row r="4946">
          <cell r="A4946">
            <v>7790</v>
          </cell>
          <cell r="B4946" t="str">
            <v>TUBO DE CONCRETO SIMPLES PARA AGUAS PLUVIAIS, CLASSE PS2, COM ENCAIXE PONTA E BOLSA, DIAMETRO NOMINAL DE 300 MM</v>
          </cell>
          <cell r="C4946" t="str">
            <v xml:space="preserve">M     </v>
          </cell>
          <cell r="D4946">
            <v>35.270000000000003</v>
          </cell>
        </row>
        <row r="4947">
          <cell r="A4947">
            <v>7785</v>
          </cell>
          <cell r="B4947" t="str">
            <v>TUBO DE CONCRETO SIMPLES PARA AGUAS PLUVIAIS, CLASSE PS2, COM ENCAIXE PONTA E BOLSA, DIAMETRO NOMINAL DE 400 MM</v>
          </cell>
          <cell r="C4947" t="str">
            <v xml:space="preserve">M     </v>
          </cell>
          <cell r="D4947">
            <v>38.909999999999997</v>
          </cell>
        </row>
        <row r="4948">
          <cell r="A4948">
            <v>7792</v>
          </cell>
          <cell r="B4948" t="str">
            <v>TUBO DE CONCRETO SIMPLES PARA AGUAS PLUVIAIS, CLASSE PS2, COM ENCAIXE PONTA E BOLSA, DIAMETRO NOMINAL DE 500 MM</v>
          </cell>
          <cell r="C4948" t="str">
            <v xml:space="preserve">M     </v>
          </cell>
          <cell r="D4948">
            <v>55.19</v>
          </cell>
        </row>
        <row r="4949">
          <cell r="A4949">
            <v>7793</v>
          </cell>
          <cell r="B4949" t="str">
            <v>TUBO DE CONCRETO SIMPLES PARA AGUAS PLUVIAIS, CLASSE PS2, COM ENCAIXE PONTA E BOLSA, DIAMETRO NOMINAL DE 600 MM</v>
          </cell>
          <cell r="C4949" t="str">
            <v xml:space="preserve">M     </v>
          </cell>
          <cell r="D4949">
            <v>65.180000000000007</v>
          </cell>
        </row>
        <row r="4950">
          <cell r="A4950">
            <v>13159</v>
          </cell>
          <cell r="B4950" t="str">
            <v>TUBO DE CONCRETO SIMPLES PARA ESGOTO SANITARIO, CLASSE ES, COM ENCAIXE PONTA E BOLSA, COM JUNTA ELASTICA, DIAMETRO NOMINAL DE 400 MM</v>
          </cell>
          <cell r="C4950" t="str">
            <v xml:space="preserve">M     </v>
          </cell>
          <cell r="D4950">
            <v>56.75</v>
          </cell>
        </row>
        <row r="4951">
          <cell r="A4951">
            <v>13168</v>
          </cell>
          <cell r="B4951" t="str">
            <v>TUBO DE CONCRETO SIMPLES PARA ESGOTO SANITARIO, CLASSE ES, COM ENCAIXE PONTA E BOLSA, COM JUNTA ELASTICA, DIAMETRO NOMINAL DE 500 MM</v>
          </cell>
          <cell r="C4951" t="str">
            <v xml:space="preserve">M     </v>
          </cell>
          <cell r="D4951">
            <v>68.91</v>
          </cell>
        </row>
        <row r="4952">
          <cell r="A4952">
            <v>13173</v>
          </cell>
          <cell r="B4952" t="str">
            <v>TUBO DE CONCRETO SIMPLES PARA ESGOTO SANITARIO, CLASSE ES, COM ENCAIXE PONTA E BOLSA, COM JUNTA ELASTICA, DIAMETRO NOMINAL DE 600 MM</v>
          </cell>
          <cell r="C4952" t="str">
            <v xml:space="preserve">M     </v>
          </cell>
          <cell r="D4952">
            <v>93.24</v>
          </cell>
        </row>
        <row r="4953">
          <cell r="A4953">
            <v>12583</v>
          </cell>
          <cell r="B4953" t="str">
            <v>TUBO DE CONCRETO SIMPLES POROSO PARA DRENAGEM (DRENO POROSO), COM ENCAIXE MACHO E FEMEA, DIAMETRO NOMINAL DE 200 MM</v>
          </cell>
          <cell r="C4953" t="str">
            <v xml:space="preserve">M     </v>
          </cell>
          <cell r="D4953">
            <v>18.64</v>
          </cell>
        </row>
        <row r="4954">
          <cell r="A4954">
            <v>12584</v>
          </cell>
          <cell r="B4954" t="str">
            <v>TUBO DE CONCRETO SIMPLES POROSO PARA DRENAGEM (DRENO POROSO), COM ENCAIXE MACHO E FEMEA, DIAMETRO NOMINAL DE 300 MM</v>
          </cell>
          <cell r="C4954" t="str">
            <v xml:space="preserve">M     </v>
          </cell>
          <cell r="D4954">
            <v>24.32</v>
          </cell>
        </row>
        <row r="4955">
          <cell r="A4955">
            <v>12613</v>
          </cell>
          <cell r="B4955" t="str">
            <v>TUBO DE DESCARGA PVC, PARA LIGACAO CAIXA DE DESCARGA - EMBUTIR, 40 MM X 150 CM</v>
          </cell>
          <cell r="C4955" t="str">
            <v xml:space="preserve">UN    </v>
          </cell>
          <cell r="D4955">
            <v>14.73</v>
          </cell>
        </row>
        <row r="4956">
          <cell r="A4956">
            <v>1031</v>
          </cell>
          <cell r="B4956" t="str">
            <v>TUBO DE DESCIDA EXTERNO DE PVC PARA CAIXA DE DESCARGA EXTERNA ALTA - 40 MM X 1,60 M</v>
          </cell>
          <cell r="C4956" t="str">
            <v xml:space="preserve">UN    </v>
          </cell>
          <cell r="D4956">
            <v>10.29</v>
          </cell>
        </row>
        <row r="4957">
          <cell r="A4957">
            <v>39707</v>
          </cell>
          <cell r="B4957" t="str">
            <v>TUBO DE ESPUMA DE POLIETILENO EXPANDIDO FLEXIVEL PARA ISOLAMENTO TERMICO DE TUBULACAO DE AR CONDICIONADO, AGUA QUENTE,  DN 1 1/2", E= 10 MM</v>
          </cell>
          <cell r="C4957" t="str">
            <v xml:space="preserve">M     </v>
          </cell>
          <cell r="D4957">
            <v>3.09</v>
          </cell>
        </row>
        <row r="4958">
          <cell r="A4958">
            <v>39708</v>
          </cell>
          <cell r="B4958" t="str">
            <v>TUBO DE ESPUMA DE POLIETILENO EXPANDIDO FLEXIVEL PARA ISOLAMENTO TERMICO DE TUBULACAO DE AR CONDICIONADO, AGUA QUENTE,  DN 1 1/4", E= 10 MM</v>
          </cell>
          <cell r="C4958" t="str">
            <v xml:space="preserve">M     </v>
          </cell>
          <cell r="D4958">
            <v>2.99</v>
          </cell>
        </row>
        <row r="4959">
          <cell r="A4959">
            <v>39710</v>
          </cell>
          <cell r="B4959" t="str">
            <v>TUBO DE ESPUMA DE POLIETILENO EXPANDIDO FLEXIVEL PARA ISOLAMENTO TERMICO DE TUBULACAO DE AR CONDICIONADO, AGUA QUENTE,  DN 1 1/8", E= 10 MM</v>
          </cell>
          <cell r="C4959" t="str">
            <v xml:space="preserve">M     </v>
          </cell>
          <cell r="D4959">
            <v>2.1</v>
          </cell>
        </row>
        <row r="4960">
          <cell r="A4960">
            <v>39709</v>
          </cell>
          <cell r="B4960" t="str">
            <v>TUBO DE ESPUMA DE POLIETILENO EXPANDIDO FLEXIVEL PARA ISOLAMENTO TERMICO DE TUBULACAO DE AR CONDICIONADO, AGUA QUENTE,  DN 1 3/8", E= 10 MM</v>
          </cell>
          <cell r="C4960" t="str">
            <v xml:space="preserve">M     </v>
          </cell>
          <cell r="D4960">
            <v>2.92</v>
          </cell>
        </row>
        <row r="4961">
          <cell r="A4961">
            <v>39711</v>
          </cell>
          <cell r="B4961" t="str">
            <v>TUBO DE ESPUMA DE POLIETILENO EXPANDIDO FLEXIVEL PARA ISOLAMENTO TERMICO DE TUBULACAO DE AR CONDICIONADO, AGUA QUENTE,  DN 1 5/8", E= 10 MM</v>
          </cell>
          <cell r="C4961" t="str">
            <v xml:space="preserve">M     </v>
          </cell>
          <cell r="D4961">
            <v>3.28</v>
          </cell>
        </row>
        <row r="4962">
          <cell r="A4962">
            <v>39712</v>
          </cell>
          <cell r="B4962" t="str">
            <v>TUBO DE ESPUMA DE POLIETILENO EXPANDIDO FLEXIVEL PARA ISOLAMENTO TERMICO DE TUBULACAO DE AR CONDICIONADO, AGUA QUENTE,  DN 1/2", E= 10 MM</v>
          </cell>
          <cell r="C4962" t="str">
            <v xml:space="preserve">M     </v>
          </cell>
          <cell r="D4962">
            <v>1.1499999999999999</v>
          </cell>
        </row>
        <row r="4963">
          <cell r="A4963">
            <v>39713</v>
          </cell>
          <cell r="B4963" t="str">
            <v>TUBO DE ESPUMA DE POLIETILENO EXPANDIDO FLEXIVEL PARA ISOLAMENTO TERMICO DE TUBULACAO DE AR CONDICIONADO, AGUA QUENTE,  DN 1/4", E= 10 MM</v>
          </cell>
          <cell r="C4963" t="str">
            <v xml:space="preserve">M     </v>
          </cell>
          <cell r="D4963">
            <v>0.91</v>
          </cell>
        </row>
        <row r="4964">
          <cell r="A4964">
            <v>39714</v>
          </cell>
          <cell r="B4964" t="str">
            <v>TUBO DE ESPUMA DE POLIETILENO EXPANDIDO FLEXIVEL PARA ISOLAMENTO TERMICO DE TUBULACAO DE AR CONDICIONADO, AGUA QUENTE,  DN 1", E= 10 MM</v>
          </cell>
          <cell r="C4964" t="str">
            <v xml:space="preserve">M     </v>
          </cell>
          <cell r="D4964">
            <v>2.08</v>
          </cell>
        </row>
        <row r="4965">
          <cell r="A4965">
            <v>39715</v>
          </cell>
          <cell r="B4965" t="str">
            <v>TUBO DE ESPUMA DE POLIETILENO EXPANDIDO FLEXIVEL PARA ISOLAMENTO TERMICO DE TUBULACAO DE AR CONDICIONADO, AGUA QUENTE,  DN 3/4", E= 10 MM</v>
          </cell>
          <cell r="C4965" t="str">
            <v xml:space="preserve">M     </v>
          </cell>
          <cell r="D4965">
            <v>1.48</v>
          </cell>
        </row>
        <row r="4966">
          <cell r="A4966">
            <v>39716</v>
          </cell>
          <cell r="B4966" t="str">
            <v>TUBO DE ESPUMA DE POLIETILENO EXPANDIDO FLEXIVEL PARA ISOLAMENTO TERMICO DE TUBULACAO DE AR CONDICIONADO, AGUA QUENTE,  DN 3/8", E= 10 MM</v>
          </cell>
          <cell r="C4966" t="str">
            <v xml:space="preserve">M     </v>
          </cell>
          <cell r="D4966">
            <v>1.1200000000000001</v>
          </cell>
        </row>
        <row r="4967">
          <cell r="A4967">
            <v>39718</v>
          </cell>
          <cell r="B4967" t="str">
            <v>TUBO DE ESPUMA DE POLIETILENO EXPANDIDO FLEXIVEL PARA ISOLAMENTO TERMICO DE TUBULACAO DE AR CONDICIONADO, AGUA QUENTE,  DN 7/8", E= 10 MM</v>
          </cell>
          <cell r="C4967" t="str">
            <v xml:space="preserve">M     </v>
          </cell>
          <cell r="D4967">
            <v>1.91</v>
          </cell>
        </row>
        <row r="4968">
          <cell r="A4968">
            <v>9813</v>
          </cell>
          <cell r="B4968" t="str">
            <v>TUBO DE POLIETILENO DE ALTA DENSIDADE (PEAD), PE-80, DE = 20 MM X 2,3 MM DE PAREDE, PARA LIGACAO DE AGUA PREDIAL (NBR 15561)</v>
          </cell>
          <cell r="C4968" t="str">
            <v xml:space="preserve">M     </v>
          </cell>
          <cell r="D4968">
            <v>3.84</v>
          </cell>
        </row>
        <row r="4969">
          <cell r="A4969">
            <v>9815</v>
          </cell>
          <cell r="B4969" t="str">
            <v>TUBO DE POLIETILENO DE ALTA DENSIDADE (PEAD), PE-80, DE = 32 MM X 3,0 MM DE PAREDE, PARA LIGACAO DE AGUA PREDIAL (NBR 15561)</v>
          </cell>
          <cell r="C4969" t="str">
            <v xml:space="preserve">M     </v>
          </cell>
          <cell r="D4969">
            <v>7.58</v>
          </cell>
        </row>
        <row r="4970">
          <cell r="A4970">
            <v>25876</v>
          </cell>
          <cell r="B4970" t="str">
            <v>TUBO DE POLIETILENO DE ALTA DENSIDADE, PEAD, PE-80, DE = 1000 MM X 38,5 MM PAREDE, ( SDR 26 - PN 05 ) PARA REDE DE AGUA OU ESGOTO (NBR 15561)</v>
          </cell>
          <cell r="C4970" t="str">
            <v xml:space="preserve">M     </v>
          </cell>
          <cell r="D4970">
            <v>3773.44</v>
          </cell>
        </row>
        <row r="4971">
          <cell r="A4971">
            <v>25888</v>
          </cell>
          <cell r="B4971" t="str">
            <v>TUBO DE POLIETILENO DE ALTA DENSIDADE, PEAD, PE-80, DE = 110 MM X 10,0 MM PAREDE, ( SDR 11 - PN 12,5 ) PARA REDE DE AGUA OU ESGOTO (NBR 15561)</v>
          </cell>
          <cell r="C4971" t="str">
            <v xml:space="preserve">M     </v>
          </cell>
          <cell r="D4971">
            <v>92.48</v>
          </cell>
        </row>
        <row r="4972">
          <cell r="A4972">
            <v>25874</v>
          </cell>
          <cell r="B4972" t="str">
            <v>TUBO DE POLIETILENO DE ALTA DENSIDADE, PEAD, PE-80, DE = 1200 MM X 37,2 MM PAREDE ( SDR 32,25 - PN 04 ) PARA REDE DE AGUA OU ESGOTO (NBR 15561)</v>
          </cell>
          <cell r="C4972" t="str">
            <v xml:space="preserve">M     </v>
          </cell>
          <cell r="D4972">
            <v>6618.04</v>
          </cell>
        </row>
        <row r="4973">
          <cell r="A4973">
            <v>25877</v>
          </cell>
          <cell r="B4973" t="str">
            <v>TUBO DE POLIETILENO DE ALTA DENSIDADE, PEAD, PE-80, DE = 1400 MM X 42,9 MM PAREDE, (SDR 32,25 - PN 04 ) PARA REDE DE AGUA OU ESGOTO (NBR 15561)</v>
          </cell>
          <cell r="C4973" t="str">
            <v xml:space="preserve">M     </v>
          </cell>
          <cell r="D4973">
            <v>9030.57</v>
          </cell>
        </row>
        <row r="4974">
          <cell r="A4974">
            <v>25878</v>
          </cell>
          <cell r="B4974" t="str">
            <v>TUBO DE POLIETILENO DE ALTA DENSIDADE, PEAD, PE-80, DE = 160 MM X 14,6 MM PAREDE, (SDR 11 - PN 12,5 ) PARA REDE DE AGUA OU ESGOTO (NBR 15561)</v>
          </cell>
          <cell r="C4974" t="str">
            <v xml:space="preserve">M     </v>
          </cell>
          <cell r="D4974">
            <v>198.51</v>
          </cell>
        </row>
        <row r="4975">
          <cell r="A4975">
            <v>25879</v>
          </cell>
          <cell r="B4975" t="str">
            <v>TUBO DE POLIETILENO DE ALTA DENSIDADE, PEAD, PE-80, DE = 1600 MM X 49,0 MM PAREDE, ( SDR 32,25 - PN 04 ) PARA REDE DE AGUA OU ESGOTO (NBR 15561)</v>
          </cell>
          <cell r="C4975" t="str">
            <v xml:space="preserve">M     </v>
          </cell>
          <cell r="D4975">
            <v>8566.57</v>
          </cell>
        </row>
        <row r="4976">
          <cell r="A4976">
            <v>25887</v>
          </cell>
          <cell r="B4976" t="str">
            <v>TUBO DE POLIETILENO DE ALTA DENSIDADE, PEAD, PE-80, DE = 900 MM X 34,7 MM PAREDE, ( SDR 26 - PN 05 ) PARA REDE DE AGUA OU ESGOTO (NBR 15561)</v>
          </cell>
          <cell r="C4976" t="str">
            <v xml:space="preserve">M     </v>
          </cell>
          <cell r="D4976">
            <v>3422.48</v>
          </cell>
        </row>
        <row r="4977">
          <cell r="A4977">
            <v>25880</v>
          </cell>
          <cell r="B4977" t="str">
            <v>TUBO DE POLIETILENO DE ALTA DENSIDADE, PEAD, PE-80, DE= 200 MM X 18,2 MM PAREDE, ( SDR 11 - PN 12,5 ) PARA REDE DE AGUA OU ESGOTO (NBR 15561)</v>
          </cell>
          <cell r="C4977" t="str">
            <v xml:space="preserve">M     </v>
          </cell>
          <cell r="D4977">
            <v>309.45</v>
          </cell>
        </row>
        <row r="4978">
          <cell r="A4978">
            <v>25881</v>
          </cell>
          <cell r="B4978" t="str">
            <v>TUBO DE POLIETILENO DE ALTA DENSIDADE, PEAD, PE-80, DE= 315 MM X 28,7 MM PAREDE, ( SDR 11 - PN 12,5 ) PARA REDE DE AGUA OU ESGOTO (NBR 15561)</v>
          </cell>
          <cell r="C4978" t="str">
            <v xml:space="preserve">M     </v>
          </cell>
          <cell r="D4978">
            <v>758.25</v>
          </cell>
        </row>
        <row r="4979">
          <cell r="A4979">
            <v>25882</v>
          </cell>
          <cell r="B4979" t="str">
            <v>TUBO DE POLIETILENO DE ALTA DENSIDADE, PEAD, PE-80, DE= 400 MM X 36,4 MM PAREDE, ( SDR 11 - PN 12,5 ) PARA REDE DE AGUA OU ESGOTO (NBR 15561)</v>
          </cell>
          <cell r="C4979" t="str">
            <v xml:space="preserve">M     </v>
          </cell>
          <cell r="D4979">
            <v>1221.27</v>
          </cell>
        </row>
        <row r="4980">
          <cell r="A4980">
            <v>25883</v>
          </cell>
          <cell r="B4980" t="str">
            <v>TUBO DE POLIETILENO DE ALTA DENSIDADE, PEAD, PE-80, DE= 50 MM X 4,6 MM PAREDE, (SDR 11 - PN 12,5) PARA REDE DE AGUA OU ESGOTO (NBR 15561)</v>
          </cell>
          <cell r="C4980" t="str">
            <v xml:space="preserve">M     </v>
          </cell>
          <cell r="D4980">
            <v>19.7</v>
          </cell>
        </row>
        <row r="4981">
          <cell r="A4981">
            <v>25884</v>
          </cell>
          <cell r="B4981" t="str">
            <v>TUBO DE POLIETILENO DE ALTA DENSIDADE, PEAD, PE-80, DE= 500 MM X 45,5 MM PAREDE, ( SDR 11 - PN 12,5 ) PARA REDE DE AGUA OU ESGOTO (NBR 15561)</v>
          </cell>
          <cell r="C4981" t="str">
            <v xml:space="preserve">M     </v>
          </cell>
          <cell r="D4981">
            <v>2144.09</v>
          </cell>
        </row>
        <row r="4982">
          <cell r="A4982">
            <v>25885</v>
          </cell>
          <cell r="B4982" t="str">
            <v>TUBO DE POLIETILENO DE ALTA DENSIDADE, PEAD, PE-80, DE= 630 MM X 57,3 MM PAREDE (SDR 11 - PN 12,5 ) PARA REDE DE AGUA OU ESGOTO (NBR 15561)</v>
          </cell>
          <cell r="C4982" t="str">
            <v xml:space="preserve">M     </v>
          </cell>
          <cell r="D4982">
            <v>3188.87</v>
          </cell>
        </row>
        <row r="4983">
          <cell r="A4983">
            <v>25889</v>
          </cell>
          <cell r="B4983" t="str">
            <v>TUBO DE POLIETILENO DE ALTA DENSIDADE, PEAD, PE-80, DE= 730 MM X 34,1 MM PAREDE, ( SDR 21 - PN 06 ) PARA REDE DE AGUA OU ESGOTO (NBR 15561)</v>
          </cell>
          <cell r="C4983" t="str">
            <v xml:space="preserve">M     </v>
          </cell>
          <cell r="D4983">
            <v>1599.14</v>
          </cell>
        </row>
        <row r="4984">
          <cell r="A4984">
            <v>25886</v>
          </cell>
          <cell r="B4984" t="str">
            <v>TUBO DE POLIETILENO DE ALTA DENSIDADE, PEAD, PE-80, DE= 75 MM X 6,9 MM PAREDE, ( SRD 11 - PN 12,5 ) PARA REDE DE AGUA OU ESGOTO (NBR 15561)</v>
          </cell>
          <cell r="C4984" t="str">
            <v xml:space="preserve">M     </v>
          </cell>
          <cell r="D4984">
            <v>44.06</v>
          </cell>
        </row>
        <row r="4985">
          <cell r="A4985">
            <v>25875</v>
          </cell>
          <cell r="B4985" t="str">
            <v>TUBO DE POLIETILENO DE ALTA DENSIDADE, PEAD, PE-80, DE= 800 MM X 30,8 MM PAREDE, ( SDR 26 - PN 05 ) PARA REDE DE AGUA OU ESGOTO (NBR 15561)</v>
          </cell>
          <cell r="C4985" t="str">
            <v xml:space="preserve">M     </v>
          </cell>
          <cell r="D4985">
            <v>2086.34</v>
          </cell>
        </row>
        <row r="4986">
          <cell r="A4986">
            <v>9876</v>
          </cell>
          <cell r="B4986" t="str">
            <v>TUBO DE PVC, PBL, TIPO LEVE, DN = 125 MM,  PARA VENTILACAO</v>
          </cell>
          <cell r="C4986" t="str">
            <v xml:space="preserve">M     </v>
          </cell>
          <cell r="D4986">
            <v>16.079999999999998</v>
          </cell>
        </row>
        <row r="4987">
          <cell r="A4987">
            <v>9877</v>
          </cell>
          <cell r="B4987" t="str">
            <v>TUBO DE PVC, PBL, TIPO LEVE, DN = 250 MM,  PARA VENTILACAO</v>
          </cell>
          <cell r="C4987" t="str">
            <v xml:space="preserve">M     </v>
          </cell>
          <cell r="D4987">
            <v>56.35</v>
          </cell>
        </row>
        <row r="4988">
          <cell r="A4988">
            <v>9878</v>
          </cell>
          <cell r="B4988" t="str">
            <v>TUBO DE PVC, PBL, TIPO LEVE, DN = 300 MM,  PARA VENTILACAO</v>
          </cell>
          <cell r="C4988" t="str">
            <v xml:space="preserve">M     </v>
          </cell>
          <cell r="D4988">
            <v>73.39</v>
          </cell>
        </row>
        <row r="4989">
          <cell r="A4989">
            <v>9879</v>
          </cell>
          <cell r="B4989" t="str">
            <v>TUBO DE PVC, PBL, TIPO LEVE, DN = 400 MM,  PARA VENTILACAO</v>
          </cell>
          <cell r="C4989" t="str">
            <v xml:space="preserve">M     </v>
          </cell>
          <cell r="D4989">
            <v>175.19</v>
          </cell>
        </row>
        <row r="4990">
          <cell r="A4990">
            <v>42001</v>
          </cell>
          <cell r="B4990" t="str">
            <v>TUBO DE REVESTIMENTO, EM ACO, CORPO SCHEDULE 40, PONTEIRA SCHEDULE 80, ROSQUEAVEL E SEGMENTADO PARA PERFURACAO,  DIAMETRO 6'' (200 MM) (COLETADO CAIXA)</v>
          </cell>
          <cell r="C4990" t="str">
            <v xml:space="preserve">M     </v>
          </cell>
          <cell r="D4990">
            <v>363.28</v>
          </cell>
        </row>
        <row r="4991">
          <cell r="A4991">
            <v>41986</v>
          </cell>
          <cell r="B4991" t="str">
            <v>TUBO DE REVESTIMENTO, EM ACO, CORPO SCHEDULE 40, PONTEIRA SCHEDULE 80, ROSQUEAVEL E SEGMENTADO PARA PERFURACAO, DIAMETRO 10'' (310 MM)</v>
          </cell>
          <cell r="C4991" t="str">
            <v xml:space="preserve">M     </v>
          </cell>
          <cell r="D4991">
            <v>1626.91</v>
          </cell>
        </row>
        <row r="4992">
          <cell r="A4992">
            <v>43422</v>
          </cell>
          <cell r="B4992" t="str">
            <v>TUBO DE REVESTIMENTO, EM ACO, CORPO SCHEDULE 40, PONTEIRA SCHEDULE 80, ROSQUEAVEL E SEGMENTADO PARA PERFURACAO, DIAMETRO 12" (320 MM)</v>
          </cell>
          <cell r="C4992" t="str">
            <v xml:space="preserve">M     </v>
          </cell>
          <cell r="D4992">
            <v>1995.24</v>
          </cell>
        </row>
        <row r="4993">
          <cell r="A4993">
            <v>41987</v>
          </cell>
          <cell r="B4993" t="str">
            <v>TUBO DE REVESTIMENTO, EM ACO, CORPO SCHEDULE 40, PONTEIRA SCHEDULE 80, ROSQUEAVEL E SEGMENTADO PARA PERFURACAO, DIAMETRO 14'' (400 MM)</v>
          </cell>
          <cell r="C4993" t="str">
            <v xml:space="preserve">M     </v>
          </cell>
          <cell r="D4993">
            <v>2312.65</v>
          </cell>
        </row>
        <row r="4994">
          <cell r="A4994">
            <v>41988</v>
          </cell>
          <cell r="B4994" t="str">
            <v>TUBO DE REVESTIMENTO, EM ACO, CORPO SCHEDULE 40, PONTEIRA SCHEDULE 80, ROSQUEAVEL E SEGMENTADO PARA PERFURACAO, DIAMETRO 16'' (450 MM)</v>
          </cell>
          <cell r="C4994" t="str">
            <v xml:space="preserve">M     </v>
          </cell>
          <cell r="D4994">
            <v>3054.69</v>
          </cell>
        </row>
        <row r="4995">
          <cell r="A4995">
            <v>41697</v>
          </cell>
          <cell r="B4995" t="str">
            <v>TUBO DE REVESTIMENTO, EM ACO, CORPO SCHEDULE 40, PONTEIRA SCHEDULE 80, ROSQUEAVEL E SEGMENTADO PARA PERFURACAO, DIAMETRO 4'' (450 MM)</v>
          </cell>
          <cell r="C4995" t="str">
            <v xml:space="preserve">M     </v>
          </cell>
          <cell r="D4995">
            <v>541.42999999999995</v>
          </cell>
        </row>
        <row r="4996">
          <cell r="A4996">
            <v>41985</v>
          </cell>
          <cell r="B4996" t="str">
            <v>TUBO DE REVESTIMENTO, EM ACO, CORPO SCHEDULE 40, PONTEIRA SCHEDULE 80, ROSQUEAVEL E SEGMENTADO PARA PERFURACAO, DIAMETRO 6'' (200 MM)</v>
          </cell>
          <cell r="C4996" t="str">
            <v xml:space="preserve">M     </v>
          </cell>
          <cell r="D4996">
            <v>754.07</v>
          </cell>
        </row>
        <row r="4997">
          <cell r="A4997">
            <v>41699</v>
          </cell>
          <cell r="B4997" t="str">
            <v>TUBO DE REVESTIMENTO, EM ACO, CORPO SCHEDULE 40, PONTEIRA SCHEDULE 80, ROSQUEAVEL E SEGMENTADO PARA PERFURACAO, DIAMETRO 8'' (450 MM)</v>
          </cell>
          <cell r="C4997" t="str">
            <v xml:space="preserve">M     </v>
          </cell>
          <cell r="D4997">
            <v>1073.76</v>
          </cell>
        </row>
        <row r="4998">
          <cell r="A4998">
            <v>38053</v>
          </cell>
          <cell r="B4998" t="str">
            <v>TUBO DRENO, CORRUGADO, ESPIRALADO, FLEXIVEL, PERFURADO, EM POLIETILENO DE ALTA DENSIDADE (PEAD), DN *160* MM, (6") PARA DRENAGEM - EM BARRA (NORMA DNIT 093/2006 - EM)</v>
          </cell>
          <cell r="C4998" t="str">
            <v xml:space="preserve">M     </v>
          </cell>
          <cell r="D4998">
            <v>9.85</v>
          </cell>
        </row>
        <row r="4999">
          <cell r="A4999">
            <v>38054</v>
          </cell>
          <cell r="B4999" t="str">
            <v>TUBO DRENO, CORRUGADO, ESPIRALADO, FLEXIVEL, PERFURADO, EM POLIETILENO DE ALTA DENSIDADE (PEAD), DN *200* MM, (8") PARA DRENAGEM - EM BARRA (NORMA DNIT 093/2006 - EM)</v>
          </cell>
          <cell r="C4999" t="str">
            <v xml:space="preserve">M     </v>
          </cell>
          <cell r="D4999">
            <v>16.93</v>
          </cell>
        </row>
        <row r="5000">
          <cell r="A5000">
            <v>38052</v>
          </cell>
          <cell r="B5000" t="str">
            <v>TUBO DRENO, CORRUGADO, ESPIRALADO, FLEXIVEL, PERFURADO, EM POLIETILENO DE ALTA DENSIDADE (PEAD), DN 100 MM, (4") PARA DRENAGEM - EM ROLO (NORMA DNIT 093/2006 - E.M)</v>
          </cell>
          <cell r="C5000" t="str">
            <v xml:space="preserve">M     </v>
          </cell>
          <cell r="D5000">
            <v>4.7699999999999996</v>
          </cell>
        </row>
        <row r="5001">
          <cell r="A5001">
            <v>38051</v>
          </cell>
          <cell r="B5001" t="str">
            <v>TUBO DRENO, CORRUGADO, ESPIRALADO, FLEXIVEL, PERFURADO, EM POLIETILENO DE ALTA DENSIDADE (PEAD), DN 65 MM, (2 1/2") PARA DRENAGEM - EM ROLO (NORMA DNIT 093/2006 - EM)</v>
          </cell>
          <cell r="C5001" t="str">
            <v xml:space="preserve">M     </v>
          </cell>
          <cell r="D5001">
            <v>2.97</v>
          </cell>
        </row>
        <row r="5002">
          <cell r="A5002">
            <v>38787</v>
          </cell>
          <cell r="B5002" t="str">
            <v>TUBO MONOCAMADA PEX, DN 16 MM</v>
          </cell>
          <cell r="C5002" t="str">
            <v xml:space="preserve">M     </v>
          </cell>
          <cell r="D5002">
            <v>4.03</v>
          </cell>
        </row>
        <row r="5003">
          <cell r="A5003">
            <v>38825</v>
          </cell>
          <cell r="B5003" t="str">
            <v>TUBO MONOCAMADA PEX, DN 20 MM</v>
          </cell>
          <cell r="C5003" t="str">
            <v xml:space="preserve">M     </v>
          </cell>
          <cell r="D5003">
            <v>5.28</v>
          </cell>
        </row>
        <row r="5004">
          <cell r="A5004">
            <v>38826</v>
          </cell>
          <cell r="B5004" t="str">
            <v>TUBO MONOCAMADA PEX, DN 25 MM</v>
          </cell>
          <cell r="C5004" t="str">
            <v xml:space="preserve">M     </v>
          </cell>
          <cell r="D5004">
            <v>7.82</v>
          </cell>
        </row>
        <row r="5005">
          <cell r="A5005">
            <v>38827</v>
          </cell>
          <cell r="B5005" t="str">
            <v>TUBO MONOCAMADA PEX, DN 32 MM</v>
          </cell>
          <cell r="C5005" t="str">
            <v xml:space="preserve">M     </v>
          </cell>
          <cell r="D5005">
            <v>12.57</v>
          </cell>
        </row>
        <row r="5006">
          <cell r="A5006">
            <v>38830</v>
          </cell>
          <cell r="B5006" t="str">
            <v>TUBO MULTICAMADA PEX, DN *26* MM, PARA INSTALACOES A GAS (AMARELO)</v>
          </cell>
          <cell r="C5006" t="str">
            <v xml:space="preserve">M     </v>
          </cell>
          <cell r="D5006">
            <v>17.600000000000001</v>
          </cell>
        </row>
        <row r="5007">
          <cell r="A5007">
            <v>38828</v>
          </cell>
          <cell r="B5007" t="str">
            <v>TUBO MULTICAMADA PEX, DN 16 MM, PARA INSTALACOES A GAS (AMARELO)</v>
          </cell>
          <cell r="C5007" t="str">
            <v xml:space="preserve">M     </v>
          </cell>
          <cell r="D5007">
            <v>7.76</v>
          </cell>
        </row>
        <row r="5008">
          <cell r="A5008">
            <v>38829</v>
          </cell>
          <cell r="B5008" t="str">
            <v>TUBO MULTICAMADA PEX, DN 20 MM, PARA INSTALACOES A GAS (AMARELO)</v>
          </cell>
          <cell r="C5008" t="str">
            <v xml:space="preserve">M     </v>
          </cell>
          <cell r="D5008">
            <v>12.71</v>
          </cell>
        </row>
        <row r="5009">
          <cell r="A5009">
            <v>38831</v>
          </cell>
          <cell r="B5009" t="str">
            <v>TUBO MULTICAMADA PEX, DN 32 MM, PARA INSTALACOES A GAS (AMARELO)</v>
          </cell>
          <cell r="C5009" t="str">
            <v xml:space="preserve">M     </v>
          </cell>
          <cell r="D5009">
            <v>24.55</v>
          </cell>
        </row>
        <row r="5010">
          <cell r="A5010">
            <v>36274</v>
          </cell>
          <cell r="B5010" t="str">
            <v>TUBO PPR PN 20, DN 20 MM, PARA AGUA QUENTE PREDIAL</v>
          </cell>
          <cell r="C5010" t="str">
            <v xml:space="preserve">M     </v>
          </cell>
          <cell r="D5010">
            <v>5.61</v>
          </cell>
        </row>
        <row r="5011">
          <cell r="A5011">
            <v>36278</v>
          </cell>
          <cell r="B5011" t="str">
            <v>TUBO PPR PN 20, DN 25 MM, PARA AGUA QUENTE PREDIAL</v>
          </cell>
          <cell r="C5011" t="str">
            <v xml:space="preserve">M     </v>
          </cell>
          <cell r="D5011">
            <v>7.61</v>
          </cell>
        </row>
        <row r="5012">
          <cell r="A5012">
            <v>38977</v>
          </cell>
          <cell r="B5012" t="str">
            <v>TUBO PPR, CLASSE PN 12, DN 110 MM</v>
          </cell>
          <cell r="C5012" t="str">
            <v xml:space="preserve">M     </v>
          </cell>
          <cell r="D5012">
            <v>115.81</v>
          </cell>
        </row>
        <row r="5013">
          <cell r="A5013">
            <v>38971</v>
          </cell>
          <cell r="B5013" t="str">
            <v>TUBO PPR, CLASSE PN 12, DN 32 MM</v>
          </cell>
          <cell r="C5013" t="str">
            <v xml:space="preserve">M     </v>
          </cell>
          <cell r="D5013">
            <v>9.5399999999999991</v>
          </cell>
        </row>
        <row r="5014">
          <cell r="A5014">
            <v>38972</v>
          </cell>
          <cell r="B5014" t="str">
            <v>TUBO PPR, CLASSE PN 12, DN 40 MM</v>
          </cell>
          <cell r="C5014" t="str">
            <v xml:space="preserve">M     </v>
          </cell>
          <cell r="D5014">
            <v>14.53</v>
          </cell>
        </row>
        <row r="5015">
          <cell r="A5015">
            <v>38973</v>
          </cell>
          <cell r="B5015" t="str">
            <v>TUBO PPR, CLASSE PN 12, DN 50 MM</v>
          </cell>
          <cell r="C5015" t="str">
            <v xml:space="preserve">M     </v>
          </cell>
          <cell r="D5015">
            <v>19.22</v>
          </cell>
        </row>
        <row r="5016">
          <cell r="A5016">
            <v>38974</v>
          </cell>
          <cell r="B5016" t="str">
            <v>TUBO PPR, CLASSE PN 12, DN 63 MM</v>
          </cell>
          <cell r="C5016" t="str">
            <v xml:space="preserve">M     </v>
          </cell>
          <cell r="D5016">
            <v>28.03</v>
          </cell>
        </row>
        <row r="5017">
          <cell r="A5017">
            <v>38975</v>
          </cell>
          <cell r="B5017" t="str">
            <v>TUBO PPR, CLASSE PN 12, DN 75 MM</v>
          </cell>
          <cell r="C5017" t="str">
            <v xml:space="preserve">M     </v>
          </cell>
          <cell r="D5017">
            <v>46.71</v>
          </cell>
        </row>
        <row r="5018">
          <cell r="A5018">
            <v>38976</v>
          </cell>
          <cell r="B5018" t="str">
            <v>TUBO PPR, CLASSE PN 12, DN 90 MM</v>
          </cell>
          <cell r="C5018" t="str">
            <v xml:space="preserve">M     </v>
          </cell>
          <cell r="D5018">
            <v>65.510000000000005</v>
          </cell>
        </row>
        <row r="5019">
          <cell r="A5019">
            <v>38986</v>
          </cell>
          <cell r="B5019" t="str">
            <v>TUBO PPR, CLASSE PN 25, DN 110 MM, PARA AGUA QUENTE E FRIA PREDIAL</v>
          </cell>
          <cell r="C5019" t="str">
            <v xml:space="preserve">M     </v>
          </cell>
          <cell r="D5019">
            <v>131.84</v>
          </cell>
        </row>
        <row r="5020">
          <cell r="A5020">
            <v>38978</v>
          </cell>
          <cell r="B5020" t="str">
            <v>TUBO PPR, CLASSE PN 25, DN 20 MM, PARA AGUA QUENTE E FRIA PREDIAL</v>
          </cell>
          <cell r="C5020" t="str">
            <v xml:space="preserve">M     </v>
          </cell>
          <cell r="D5020">
            <v>5.61</v>
          </cell>
        </row>
        <row r="5021">
          <cell r="A5021">
            <v>38979</v>
          </cell>
          <cell r="B5021" t="str">
            <v>TUBO PPR, CLASSE PN 25, DN 25 MM, PARA AGUA QUENTE E FRIA PREDIAL</v>
          </cell>
          <cell r="C5021" t="str">
            <v xml:space="preserve">M     </v>
          </cell>
          <cell r="D5021">
            <v>7.61</v>
          </cell>
        </row>
        <row r="5022">
          <cell r="A5022">
            <v>38980</v>
          </cell>
          <cell r="B5022" t="str">
            <v>TUBO PPR, CLASSE PN 25, DN 32 MM, PARA AGUA QUENTE E FRIA PREDIAL</v>
          </cell>
          <cell r="C5022" t="str">
            <v xml:space="preserve">M     </v>
          </cell>
          <cell r="D5022">
            <v>12.72</v>
          </cell>
        </row>
        <row r="5023">
          <cell r="A5023">
            <v>38981</v>
          </cell>
          <cell r="B5023" t="str">
            <v>TUBO PPR, CLASSE PN 25, DN 40 MM, PARA AGUA QUENTE E FRIA PREDIAL</v>
          </cell>
          <cell r="C5023" t="str">
            <v xml:space="preserve">M     </v>
          </cell>
          <cell r="D5023">
            <v>17.61</v>
          </cell>
        </row>
        <row r="5024">
          <cell r="A5024">
            <v>38982</v>
          </cell>
          <cell r="B5024" t="str">
            <v>TUBO PPR, CLASSE PN 25, DN 50 MM, PARA AGUA QUENTE E FRIA PREDIAL</v>
          </cell>
          <cell r="C5024" t="str">
            <v xml:space="preserve">M     </v>
          </cell>
          <cell r="D5024">
            <v>25.63</v>
          </cell>
        </row>
        <row r="5025">
          <cell r="A5025">
            <v>38983</v>
          </cell>
          <cell r="B5025" t="str">
            <v>TUBO PPR, CLASSE PN 25, DN 63 MM, PARA AGUA QUENTE E FRIA PREDIAL</v>
          </cell>
          <cell r="C5025" t="str">
            <v xml:space="preserve">M     </v>
          </cell>
          <cell r="D5025">
            <v>33.99</v>
          </cell>
        </row>
        <row r="5026">
          <cell r="A5026">
            <v>38984</v>
          </cell>
          <cell r="B5026" t="str">
            <v>TUBO PPR, CLASSE PN 25, DN 75 MM, PARA AGUA QUENTE E FRIA PREDIAL</v>
          </cell>
          <cell r="C5026" t="str">
            <v xml:space="preserve">M     </v>
          </cell>
          <cell r="D5026">
            <v>65.55</v>
          </cell>
        </row>
        <row r="5027">
          <cell r="A5027">
            <v>38985</v>
          </cell>
          <cell r="B5027" t="str">
            <v>TUBO PPR, CLASSE PN 25, DN 90 MM, PARA AGUA QUENTE E FRIA PREDIAL</v>
          </cell>
          <cell r="C5027" t="str">
            <v xml:space="preserve">M     </v>
          </cell>
          <cell r="D5027">
            <v>97.05</v>
          </cell>
        </row>
        <row r="5028">
          <cell r="A5028">
            <v>9836</v>
          </cell>
          <cell r="B5028" t="str">
            <v>TUBO PVC  SERIE NORMAL, DN 100 MM, PARA ESGOTO  PREDIAL (NBR 5688)</v>
          </cell>
          <cell r="C5028" t="str">
            <v xml:space="preserve">M     </v>
          </cell>
          <cell r="D5028">
            <v>10.49</v>
          </cell>
        </row>
        <row r="5029">
          <cell r="A5029">
            <v>20065</v>
          </cell>
          <cell r="B5029" t="str">
            <v>TUBO PVC  SERIE NORMAL, DN 150 MM, PARA ESGOTO  PREDIAL (NBR 5688)</v>
          </cell>
          <cell r="C5029" t="str">
            <v xml:space="preserve">M     </v>
          </cell>
          <cell r="D5029">
            <v>26.83</v>
          </cell>
        </row>
        <row r="5030">
          <cell r="A5030">
            <v>9835</v>
          </cell>
          <cell r="B5030" t="str">
            <v>TUBO PVC  SERIE NORMAL, DN 40 MM, PARA ESGOTO  PREDIAL (NBR 5688)</v>
          </cell>
          <cell r="C5030" t="str">
            <v xml:space="preserve">M     </v>
          </cell>
          <cell r="D5030">
            <v>3.78</v>
          </cell>
        </row>
        <row r="5031">
          <cell r="A5031">
            <v>38032</v>
          </cell>
          <cell r="B5031" t="str">
            <v>TUBO PVC CORRUGADO, PAREDE DUPLA, JE, DN 150 MM, REDE COLETORA ESGOTO</v>
          </cell>
          <cell r="C5031" t="str">
            <v xml:space="preserve">M     </v>
          </cell>
          <cell r="D5031">
            <v>27.15</v>
          </cell>
        </row>
        <row r="5032">
          <cell r="A5032">
            <v>38033</v>
          </cell>
          <cell r="B5032" t="str">
            <v>TUBO PVC CORRUGADO, PAREDE DUPLA, JE, DN 200 MM, REDE COLETORA ESGOTO</v>
          </cell>
          <cell r="C5032" t="str">
            <v xml:space="preserve">M     </v>
          </cell>
          <cell r="D5032">
            <v>44.43</v>
          </cell>
        </row>
        <row r="5033">
          <cell r="A5033">
            <v>38034</v>
          </cell>
          <cell r="B5033" t="str">
            <v>TUBO PVC CORRUGADO, PAREDE DUPLA, JE, DN 250 MM, REDE COLETORA ESGOTO</v>
          </cell>
          <cell r="C5033" t="str">
            <v xml:space="preserve">M     </v>
          </cell>
          <cell r="D5033">
            <v>73.5</v>
          </cell>
        </row>
        <row r="5034">
          <cell r="A5034">
            <v>38035</v>
          </cell>
          <cell r="B5034" t="str">
            <v>TUBO PVC CORRUGADO, PAREDE DUPLA, JE, DN 300 MM, REDE COLETORA ESGOTO</v>
          </cell>
          <cell r="C5034" t="str">
            <v xml:space="preserve">M     </v>
          </cell>
          <cell r="D5034">
            <v>102.42</v>
          </cell>
        </row>
        <row r="5035">
          <cell r="A5035">
            <v>38036</v>
          </cell>
          <cell r="B5035" t="str">
            <v>TUBO PVC CORRUGADO, PAREDE DUPLA, JE, DN 350 MM, REDE COLETORA ESGOTO</v>
          </cell>
          <cell r="C5035" t="str">
            <v xml:space="preserve">M     </v>
          </cell>
          <cell r="D5035">
            <v>144.52000000000001</v>
          </cell>
        </row>
        <row r="5036">
          <cell r="A5036">
            <v>38037</v>
          </cell>
          <cell r="B5036" t="str">
            <v>TUBO PVC CORRUGADO, PAREDE DUPLA, JE, DN 400 MM, REDE COLETORA ESGOTO</v>
          </cell>
          <cell r="C5036" t="str">
            <v xml:space="preserve">M     </v>
          </cell>
          <cell r="D5036">
            <v>167.58</v>
          </cell>
        </row>
        <row r="5037">
          <cell r="A5037">
            <v>9850</v>
          </cell>
          <cell r="B5037" t="str">
            <v>TUBO PVC DE REVESTIMENTO GEOMECANICO NERVURADO REFORCADO, DN = 150 MM, COMPRIMENTO = 2 M</v>
          </cell>
          <cell r="C5037" t="str">
            <v xml:space="preserve">M     </v>
          </cell>
          <cell r="D5037">
            <v>96.75</v>
          </cell>
        </row>
        <row r="5038">
          <cell r="A5038">
            <v>9853</v>
          </cell>
          <cell r="B5038" t="str">
            <v>TUBO PVC DE REVESTIMENTO GEOMECANICO NERVURADO REFORCADO, DN = 200 MM, COMPRIMENTO = 2 M</v>
          </cell>
          <cell r="C5038" t="str">
            <v xml:space="preserve">M     </v>
          </cell>
          <cell r="D5038">
            <v>172.05</v>
          </cell>
        </row>
        <row r="5039">
          <cell r="A5039">
            <v>9854</v>
          </cell>
          <cell r="B5039" t="str">
            <v>TUBO PVC DE REVESTIMENTO GEOMECANICO NERVURADO STANDARD, DN = 154 MM, COMPRIMENTO = 2 M</v>
          </cell>
          <cell r="C5039" t="str">
            <v xml:space="preserve">M     </v>
          </cell>
          <cell r="D5039">
            <v>75.38</v>
          </cell>
        </row>
        <row r="5040">
          <cell r="A5040">
            <v>9851</v>
          </cell>
          <cell r="B5040" t="str">
            <v>TUBO PVC DE REVESTIMENTO GEOMECANICO NERVURADO STANDARD, DN = 206 MM, COMPRIMENTO = 2 M</v>
          </cell>
          <cell r="C5040" t="str">
            <v xml:space="preserve">M     </v>
          </cell>
          <cell r="D5040">
            <v>130.71</v>
          </cell>
        </row>
        <row r="5041">
          <cell r="A5041">
            <v>9855</v>
          </cell>
          <cell r="B5041" t="str">
            <v>TUBO PVC DE REVESTIMENTO GEOMECANICO NERVURADO STANDARD, DN = 250 MM, COMPRIMENTO = 2 M</v>
          </cell>
          <cell r="C5041" t="str">
            <v xml:space="preserve">M     </v>
          </cell>
          <cell r="D5041">
            <v>218.64</v>
          </cell>
        </row>
        <row r="5042">
          <cell r="A5042">
            <v>9825</v>
          </cell>
          <cell r="B5042" t="str">
            <v>TUBO PVC DEFOFO, JEI, 1 MPA, DN 100 MM, PARA REDE DE AGUA (NBR 7665)</v>
          </cell>
          <cell r="C5042" t="str">
            <v xml:space="preserve">M     </v>
          </cell>
          <cell r="D5042">
            <v>34.47</v>
          </cell>
        </row>
        <row r="5043">
          <cell r="A5043">
            <v>9828</v>
          </cell>
          <cell r="B5043" t="str">
            <v>TUBO PVC DEFOFO, JEI, 1 MPA, DN 150 MM, PARA REDE DE  AGUA (NBR 7665)</v>
          </cell>
          <cell r="C5043" t="str">
            <v xml:space="preserve">M     </v>
          </cell>
          <cell r="D5043">
            <v>92.77</v>
          </cell>
        </row>
        <row r="5044">
          <cell r="A5044">
            <v>9829</v>
          </cell>
          <cell r="B5044" t="str">
            <v>TUBO PVC DEFOFO, JEI, 1 MPA, DN 200 MM, PARA REDE DE AGUA (NBR 7665)</v>
          </cell>
          <cell r="C5044" t="str">
            <v xml:space="preserve">M     </v>
          </cell>
          <cell r="D5044">
            <v>157.22</v>
          </cell>
        </row>
        <row r="5045">
          <cell r="A5045">
            <v>9826</v>
          </cell>
          <cell r="B5045" t="str">
            <v>TUBO PVC DEFOFO, JEI, 1 MPA, DN 250 MM, PARA REDE DE AGUA (NBR 7665)</v>
          </cell>
          <cell r="C5045" t="str">
            <v xml:space="preserve">M     </v>
          </cell>
          <cell r="D5045">
            <v>239.35</v>
          </cell>
        </row>
        <row r="5046">
          <cell r="A5046">
            <v>9827</v>
          </cell>
          <cell r="B5046" t="str">
            <v>TUBO PVC DEFOFO, JEI, 1 MPA, DN 300 MM, PARA REDE DE AGUA (NBR 7665)</v>
          </cell>
          <cell r="C5046" t="str">
            <v xml:space="preserve">M     </v>
          </cell>
          <cell r="D5046">
            <v>339.87</v>
          </cell>
        </row>
        <row r="5047">
          <cell r="A5047">
            <v>36374</v>
          </cell>
          <cell r="B5047" t="str">
            <v>TUBO PVC PBA JEI, CLASSE 12, DN 100 MM, PARA REDE DE AGUA (NBR 5647)</v>
          </cell>
          <cell r="C5047" t="str">
            <v xml:space="preserve">M     </v>
          </cell>
          <cell r="D5047">
            <v>41.31</v>
          </cell>
        </row>
        <row r="5048">
          <cell r="A5048">
            <v>36084</v>
          </cell>
          <cell r="B5048" t="str">
            <v>TUBO PVC PBA JEI, CLASSE 12, DN 50 MM, PARA REDE DE AGUA (NBR 5647)</v>
          </cell>
          <cell r="C5048" t="str">
            <v xml:space="preserve">M     </v>
          </cell>
          <cell r="D5048">
            <v>12.24</v>
          </cell>
        </row>
        <row r="5049">
          <cell r="A5049">
            <v>36373</v>
          </cell>
          <cell r="B5049" t="str">
            <v>TUBO PVC PBA JEI, CLASSE 12, DN 75 MM, PARA REDE DE AGUA (NBR 5647)</v>
          </cell>
          <cell r="C5049" t="str">
            <v xml:space="preserve">M     </v>
          </cell>
          <cell r="D5049">
            <v>25.42</v>
          </cell>
        </row>
        <row r="5050">
          <cell r="A5050">
            <v>36377</v>
          </cell>
          <cell r="B5050" t="str">
            <v>TUBO PVC PBA JEI, CLASSE 15, DN 100 MM, PARA REDE DE AGUA (NBR 5647)</v>
          </cell>
          <cell r="C5050" t="str">
            <v xml:space="preserve">M     </v>
          </cell>
          <cell r="D5050">
            <v>49.56</v>
          </cell>
        </row>
        <row r="5051">
          <cell r="A5051">
            <v>36375</v>
          </cell>
          <cell r="B5051" t="str">
            <v>TUBO PVC PBA JEI, CLASSE 15, DN 50 MM, PARA REDE DE AGUA (NBR 5647)</v>
          </cell>
          <cell r="C5051" t="str">
            <v xml:space="preserve">M     </v>
          </cell>
          <cell r="D5051">
            <v>15.1</v>
          </cell>
        </row>
        <row r="5052">
          <cell r="A5052">
            <v>36376</v>
          </cell>
          <cell r="B5052" t="str">
            <v>TUBO PVC PBA JEI, CLASSE 15, DN 75 MM, PARA REDE DE AGUA (NBR 5647)</v>
          </cell>
          <cell r="C5052" t="str">
            <v xml:space="preserve">M     </v>
          </cell>
          <cell r="D5052">
            <v>29.66</v>
          </cell>
        </row>
        <row r="5053">
          <cell r="A5053">
            <v>36380</v>
          </cell>
          <cell r="B5053" t="str">
            <v>TUBO PVC PBA JEI, CLASSE 20, DN 100 MM, PARA REDE DE AGUA (NBR 5647)</v>
          </cell>
          <cell r="C5053" t="str">
            <v xml:space="preserve">M     </v>
          </cell>
          <cell r="D5053">
            <v>61.97</v>
          </cell>
        </row>
        <row r="5054">
          <cell r="A5054">
            <v>36378</v>
          </cell>
          <cell r="B5054" t="str">
            <v>TUBO PVC PBA JEI, CLASSE 20, DN 50 MM, PARA REDE DE AGUA (NBR 5647)</v>
          </cell>
          <cell r="C5054" t="str">
            <v xml:space="preserve">M     </v>
          </cell>
          <cell r="D5054">
            <v>18.57</v>
          </cell>
        </row>
        <row r="5055">
          <cell r="A5055">
            <v>36379</v>
          </cell>
          <cell r="B5055" t="str">
            <v>TUBO PVC PBA JEI, CLASSE 20, DN 75 MM, PARA REDE DE AGUA (NBR 5647)</v>
          </cell>
          <cell r="C5055" t="str">
            <v xml:space="preserve">M     </v>
          </cell>
          <cell r="D5055">
            <v>37.43</v>
          </cell>
        </row>
        <row r="5056">
          <cell r="A5056">
            <v>9859</v>
          </cell>
          <cell r="B5056" t="str">
            <v>TUBO PVC ROSCAVEL, 3/4",  AGUA FRIA PREDIAL</v>
          </cell>
          <cell r="C5056" t="str">
            <v xml:space="preserve">M     </v>
          </cell>
          <cell r="D5056">
            <v>7.6</v>
          </cell>
        </row>
        <row r="5057">
          <cell r="A5057">
            <v>9838</v>
          </cell>
          <cell r="B5057" t="str">
            <v>TUBO PVC SERIE NORMAL, DN 50 MM, PARA ESGOTO PREDIAL (NBR 5688)</v>
          </cell>
          <cell r="C5057" t="str">
            <v xml:space="preserve">M     </v>
          </cell>
          <cell r="D5057">
            <v>6.44</v>
          </cell>
        </row>
        <row r="5058">
          <cell r="A5058">
            <v>9837</v>
          </cell>
          <cell r="B5058" t="str">
            <v>TUBO PVC SERIE NORMAL, DN 75 MM, PARA ESGOTO PREDIAL (NBR 5688)</v>
          </cell>
          <cell r="C5058" t="str">
            <v xml:space="preserve">M     </v>
          </cell>
          <cell r="D5058">
            <v>9.2899999999999991</v>
          </cell>
        </row>
        <row r="5059">
          <cell r="A5059">
            <v>9833</v>
          </cell>
          <cell r="B5059" t="str">
            <v>TUBO PVC, FLEXIVEL, CORRUGADO, PERFURADO, DN 110 MM, PARA DRENAGEM, SISTEMA IRRIGACAO</v>
          </cell>
          <cell r="C5059" t="str">
            <v xml:space="preserve">M     </v>
          </cell>
          <cell r="D5059">
            <v>8.91</v>
          </cell>
        </row>
        <row r="5060">
          <cell r="A5060">
            <v>9830</v>
          </cell>
          <cell r="B5060" t="str">
            <v>TUBO PVC, FLEXIVEL, CORRUGADO, PERFURADO, DN 65 MM, PARA DRENAGEM, SISTEMA IRRIGACAO</v>
          </cell>
          <cell r="C5060" t="str">
            <v xml:space="preserve">M     </v>
          </cell>
          <cell r="D5060">
            <v>4.7699999999999996</v>
          </cell>
        </row>
        <row r="5061">
          <cell r="A5061">
            <v>9834</v>
          </cell>
          <cell r="B5061" t="str">
            <v>TUBO PVC, RIGIDO, CORRUGADO, PERFURADO, DN 150 MM, PARA DRENAGEM, SISTEMA IRRIGACAO</v>
          </cell>
          <cell r="C5061" t="str">
            <v xml:space="preserve">M     </v>
          </cell>
          <cell r="D5061">
            <v>24.81</v>
          </cell>
        </row>
        <row r="5062">
          <cell r="A5062">
            <v>9863</v>
          </cell>
          <cell r="B5062" t="str">
            <v>TUBO PVC, ROSCAVEL,  2 1/2", AGUA FRIA PREDIAL</v>
          </cell>
          <cell r="C5062" t="str">
            <v xml:space="preserve">M     </v>
          </cell>
          <cell r="D5062">
            <v>54.86</v>
          </cell>
        </row>
        <row r="5063">
          <cell r="A5063">
            <v>9860</v>
          </cell>
          <cell r="B5063" t="str">
            <v>TUBO PVC, ROSCAVEL,  2", PARA AGUA FRIA PREDIAL</v>
          </cell>
          <cell r="C5063" t="str">
            <v xml:space="preserve">M     </v>
          </cell>
          <cell r="D5063">
            <v>35.22</v>
          </cell>
        </row>
        <row r="5064">
          <cell r="A5064">
            <v>9862</v>
          </cell>
          <cell r="B5064" t="str">
            <v>TUBO PVC, ROSCAVEL, 1 1/2",  AGUA FRIA PREDIAL</v>
          </cell>
          <cell r="C5064" t="str">
            <v xml:space="preserve">M     </v>
          </cell>
          <cell r="D5064">
            <v>24.85</v>
          </cell>
        </row>
        <row r="5065">
          <cell r="A5065">
            <v>9861</v>
          </cell>
          <cell r="B5065" t="str">
            <v>TUBO PVC, ROSCAVEL, 1 1/4", AGUA FRIA PREDIAL</v>
          </cell>
          <cell r="C5065" t="str">
            <v xml:space="preserve">M     </v>
          </cell>
          <cell r="D5065">
            <v>19.97</v>
          </cell>
        </row>
        <row r="5066">
          <cell r="A5066">
            <v>9856</v>
          </cell>
          <cell r="B5066" t="str">
            <v>TUBO PVC, ROSCAVEL, 1/2", AGUA FRIA PREDIAL</v>
          </cell>
          <cell r="C5066" t="str">
            <v xml:space="preserve">M     </v>
          </cell>
          <cell r="D5066">
            <v>5.37</v>
          </cell>
        </row>
        <row r="5067">
          <cell r="A5067">
            <v>9866</v>
          </cell>
          <cell r="B5067" t="str">
            <v>TUBO PVC, ROSCAVEL, 1", AGUA FRIA PREDIAL</v>
          </cell>
          <cell r="C5067" t="str">
            <v xml:space="preserve">M     </v>
          </cell>
          <cell r="D5067">
            <v>14.75</v>
          </cell>
        </row>
        <row r="5068">
          <cell r="A5068">
            <v>9857</v>
          </cell>
          <cell r="B5068" t="str">
            <v>TUBO PVC, ROSCAVEL, 3", AGUA FRIA PREDIAL</v>
          </cell>
          <cell r="C5068" t="str">
            <v xml:space="preserve">M     </v>
          </cell>
          <cell r="D5068">
            <v>70.95</v>
          </cell>
        </row>
        <row r="5069">
          <cell r="A5069">
            <v>9864</v>
          </cell>
          <cell r="B5069" t="str">
            <v>TUBO PVC, ROSCAVEL, 4",  AGUA FRIA PREDIAL</v>
          </cell>
          <cell r="C5069" t="str">
            <v xml:space="preserve">M     </v>
          </cell>
          <cell r="D5069">
            <v>85.66</v>
          </cell>
        </row>
        <row r="5070">
          <cell r="A5070">
            <v>9865</v>
          </cell>
          <cell r="B5070" t="str">
            <v>TUBO PVC, ROSCAVEL, 5",  AGUA FRIA PREDIAL</v>
          </cell>
          <cell r="C5070" t="str">
            <v xml:space="preserve">M     </v>
          </cell>
          <cell r="D5070">
            <v>123.19</v>
          </cell>
        </row>
        <row r="5071">
          <cell r="A5071">
            <v>9858</v>
          </cell>
          <cell r="B5071" t="str">
            <v>TUBO PVC, ROSCAVEL, 6",  AGUA FRIA PREDIAL</v>
          </cell>
          <cell r="C5071" t="str">
            <v xml:space="preserve">M     </v>
          </cell>
          <cell r="D5071">
            <v>129.15</v>
          </cell>
        </row>
        <row r="5072">
          <cell r="A5072">
            <v>9841</v>
          </cell>
          <cell r="B5072" t="str">
            <v>TUBO PVC, SERIE R, DN 100 MM, PARA ESGOTO OU AGUAS PLUVIAIS PREDIAL (NBR 5688)</v>
          </cell>
          <cell r="C5072" t="str">
            <v xml:space="preserve">M     </v>
          </cell>
          <cell r="D5072">
            <v>25.89</v>
          </cell>
        </row>
        <row r="5073">
          <cell r="A5073">
            <v>9840</v>
          </cell>
          <cell r="B5073" t="str">
            <v>TUBO PVC, SERIE R, DN 150 MM, PARA ESGOTO OU AGUAS PLUVIAIS PREDIAL (NBR 5688)</v>
          </cell>
          <cell r="C5073" t="str">
            <v xml:space="preserve">M     </v>
          </cell>
          <cell r="D5073">
            <v>52.62</v>
          </cell>
        </row>
        <row r="5074">
          <cell r="A5074">
            <v>20067</v>
          </cell>
          <cell r="B5074" t="str">
            <v>TUBO PVC, SERIE R, DN 40 MM, PARA ESGOTO OU AGUAS PLUVIAIS PREDIAL (NBR 5688)</v>
          </cell>
          <cell r="C5074" t="str">
            <v xml:space="preserve">M     </v>
          </cell>
          <cell r="D5074">
            <v>9.0399999999999991</v>
          </cell>
        </row>
        <row r="5075">
          <cell r="A5075">
            <v>20068</v>
          </cell>
          <cell r="B5075" t="str">
            <v>TUBO PVC, SERIE R, DN 50 MM, PARA ESGOTO OU AGUAS PLUVIAIS PREDIAL (NBR 5688)</v>
          </cell>
          <cell r="C5075" t="str">
            <v xml:space="preserve">M     </v>
          </cell>
          <cell r="D5075">
            <v>11.27</v>
          </cell>
        </row>
        <row r="5076">
          <cell r="A5076">
            <v>9839</v>
          </cell>
          <cell r="B5076" t="str">
            <v>TUBO PVC, SERIE R, DN 75 MM, PARA ESGOTO OU AGUAS PLUVIAIS PREDIAL (NBR 5688)</v>
          </cell>
          <cell r="C5076" t="str">
            <v xml:space="preserve">M     </v>
          </cell>
          <cell r="D5076">
            <v>14.78</v>
          </cell>
        </row>
        <row r="5077">
          <cell r="A5077">
            <v>9870</v>
          </cell>
          <cell r="B5077" t="str">
            <v>TUBO PVC, SOLDAVEL, DN 110 MM, AGUA FRIA (NBR-5648)</v>
          </cell>
          <cell r="C5077" t="str">
            <v xml:space="preserve">M     </v>
          </cell>
          <cell r="D5077">
            <v>59.82</v>
          </cell>
        </row>
        <row r="5078">
          <cell r="A5078">
            <v>9867</v>
          </cell>
          <cell r="B5078" t="str">
            <v>TUBO PVC, SOLDAVEL, DN 20 MM, AGUA FRIA (NBR-5648)</v>
          </cell>
          <cell r="C5078" t="str">
            <v xml:space="preserve">M     </v>
          </cell>
          <cell r="D5078">
            <v>2.2000000000000002</v>
          </cell>
        </row>
        <row r="5079">
          <cell r="A5079">
            <v>9868</v>
          </cell>
          <cell r="B5079" t="str">
            <v>TUBO PVC, SOLDAVEL, DN 25 MM, AGUA FRIA (NBR-5648)</v>
          </cell>
          <cell r="C5079" t="str">
            <v xml:space="preserve">M     </v>
          </cell>
          <cell r="D5079">
            <v>2.82</v>
          </cell>
        </row>
        <row r="5080">
          <cell r="A5080">
            <v>9869</v>
          </cell>
          <cell r="B5080" t="str">
            <v>TUBO PVC, SOLDAVEL, DN 32 MM, AGUA FRIA (NBR-5648)</v>
          </cell>
          <cell r="C5080" t="str">
            <v xml:space="preserve">M     </v>
          </cell>
          <cell r="D5080">
            <v>6.33</v>
          </cell>
        </row>
        <row r="5081">
          <cell r="A5081">
            <v>9874</v>
          </cell>
          <cell r="B5081" t="str">
            <v>TUBO PVC, SOLDAVEL, DN 40 MM, AGUA FRIA (NBR-5648)</v>
          </cell>
          <cell r="C5081" t="str">
            <v xml:space="preserve">M     </v>
          </cell>
          <cell r="D5081">
            <v>9.2200000000000006</v>
          </cell>
        </row>
        <row r="5082">
          <cell r="A5082">
            <v>9875</v>
          </cell>
          <cell r="B5082" t="str">
            <v>TUBO PVC, SOLDAVEL, DN 50 MM, PARA AGUA FRIA (NBR-5648)</v>
          </cell>
          <cell r="C5082" t="str">
            <v xml:space="preserve">M     </v>
          </cell>
          <cell r="D5082">
            <v>10.56</v>
          </cell>
        </row>
        <row r="5083">
          <cell r="A5083">
            <v>9873</v>
          </cell>
          <cell r="B5083" t="str">
            <v>TUBO PVC, SOLDAVEL, DN 60 MM, AGUA FRIA (NBR-5648)</v>
          </cell>
          <cell r="C5083" t="str">
            <v xml:space="preserve">M     </v>
          </cell>
          <cell r="D5083">
            <v>17.809999999999999</v>
          </cell>
        </row>
        <row r="5084">
          <cell r="A5084">
            <v>9871</v>
          </cell>
          <cell r="B5084" t="str">
            <v>TUBO PVC, SOLDAVEL, DN 75 MM, AGUA FRIA (NBR-5648)</v>
          </cell>
          <cell r="C5084" t="str">
            <v xml:space="preserve">M     </v>
          </cell>
          <cell r="D5084">
            <v>29.84</v>
          </cell>
        </row>
        <row r="5085">
          <cell r="A5085">
            <v>9872</v>
          </cell>
          <cell r="B5085" t="str">
            <v>TUBO PVC, SOLDAVEL, DN 85 MM, AGUA FRIA (NBR-5648)</v>
          </cell>
          <cell r="C5085" t="str">
            <v xml:space="preserve">M     </v>
          </cell>
          <cell r="D5085">
            <v>37.29</v>
          </cell>
        </row>
        <row r="5086">
          <cell r="A5086">
            <v>7667</v>
          </cell>
          <cell r="B5086" t="str">
            <v>TUBO 26" EM CHAPA PRETA, E= 3/16", 147 KG/6 M</v>
          </cell>
          <cell r="C5086" t="str">
            <v xml:space="preserve">M     </v>
          </cell>
          <cell r="D5086">
            <v>1535.49</v>
          </cell>
        </row>
        <row r="5087">
          <cell r="A5087">
            <v>7660</v>
          </cell>
          <cell r="B5087" t="str">
            <v>TUBO 30" EM CHAPA PRETA, E= 1/4", 175 KG/6 M</v>
          </cell>
          <cell r="C5087" t="str">
            <v xml:space="preserve">M     </v>
          </cell>
          <cell r="D5087">
            <v>1957.39</v>
          </cell>
        </row>
        <row r="5088">
          <cell r="A5088">
            <v>7676</v>
          </cell>
          <cell r="B5088" t="str">
            <v>TUBO 30" EM CHAPA PRETA, E= 3/8", 177 KG/6 M</v>
          </cell>
          <cell r="C5088" t="str">
            <v xml:space="preserve">M     </v>
          </cell>
          <cell r="D5088">
            <v>1979.76</v>
          </cell>
        </row>
        <row r="5089">
          <cell r="A5089">
            <v>12426</v>
          </cell>
          <cell r="B5089" t="str">
            <v>UNIAO COM ASSENTO CONICO DE BRONZE, DIAMETRO 1/2"</v>
          </cell>
          <cell r="C5089" t="str">
            <v xml:space="preserve">UN    </v>
          </cell>
          <cell r="D5089">
            <v>25.41</v>
          </cell>
        </row>
        <row r="5090">
          <cell r="A5090">
            <v>12425</v>
          </cell>
          <cell r="B5090" t="str">
            <v>UNIAO COM ASSENTO CONICO DE BRONZE, DIAMETRO 1"</v>
          </cell>
          <cell r="C5090" t="str">
            <v xml:space="preserve">UN    </v>
          </cell>
          <cell r="D5090">
            <v>34.92</v>
          </cell>
        </row>
        <row r="5091">
          <cell r="A5091">
            <v>12427</v>
          </cell>
          <cell r="B5091" t="str">
            <v>UNIAO COM ASSENTO CONICO DE BRONZE, DIAMETRO 2 1/2"</v>
          </cell>
          <cell r="C5091" t="str">
            <v xml:space="preserve">UN    </v>
          </cell>
          <cell r="D5091">
            <v>144.94</v>
          </cell>
        </row>
        <row r="5092">
          <cell r="A5092">
            <v>12428</v>
          </cell>
          <cell r="B5092" t="str">
            <v>UNIAO COM ASSENTO CONICO DE BRONZE, DIAMETRO 2'</v>
          </cell>
          <cell r="C5092" t="str">
            <v xml:space="preserve">UN    </v>
          </cell>
          <cell r="D5092">
            <v>93.03</v>
          </cell>
        </row>
        <row r="5093">
          <cell r="A5093">
            <v>12430</v>
          </cell>
          <cell r="B5093" t="str">
            <v>UNIAO COM ASSENTO CONICO DE BRONZE, DIAMETRO 3/4"</v>
          </cell>
          <cell r="C5093" t="str">
            <v xml:space="preserve">UN    </v>
          </cell>
          <cell r="D5093">
            <v>31.16</v>
          </cell>
        </row>
        <row r="5094">
          <cell r="A5094">
            <v>12429</v>
          </cell>
          <cell r="B5094" t="str">
            <v>UNIAO COM ASSENTO CONICO DE BRONZE, DIAMETRO 3"</v>
          </cell>
          <cell r="C5094" t="str">
            <v xml:space="preserve">UN    </v>
          </cell>
          <cell r="D5094">
            <v>234.38</v>
          </cell>
        </row>
        <row r="5095">
          <cell r="A5095">
            <v>12431</v>
          </cell>
          <cell r="B5095" t="str">
            <v>UNIAO COM ASSENTO CONICO DE BRONZE, DIAMETRO 4"</v>
          </cell>
          <cell r="C5095" t="str">
            <v xml:space="preserve">UN    </v>
          </cell>
          <cell r="D5095">
            <v>398.87</v>
          </cell>
        </row>
        <row r="5096">
          <cell r="A5096">
            <v>12432</v>
          </cell>
          <cell r="B5096" t="str">
            <v>UNIAO COM ASSENTO CONICO DE FERRO LONGO (MACHO-FEMEA), DIAMETRO 1 1/2"</v>
          </cell>
          <cell r="C5096" t="str">
            <v xml:space="preserve">UN    </v>
          </cell>
          <cell r="D5096">
            <v>82.03</v>
          </cell>
        </row>
        <row r="5097">
          <cell r="A5097">
            <v>12434</v>
          </cell>
          <cell r="B5097" t="str">
            <v>UNIAO COM ASSENTO CONICO DE FERRO LONGO (MACHO-FEMEA), DIAMETRO 1/2"</v>
          </cell>
          <cell r="C5097" t="str">
            <v xml:space="preserve">UN    </v>
          </cell>
          <cell r="D5097">
            <v>26.73</v>
          </cell>
        </row>
        <row r="5098">
          <cell r="A5098">
            <v>12433</v>
          </cell>
          <cell r="B5098" t="str">
            <v>UNIAO COM ASSENTO CONICO DE FERRO LONGO (MACHO-FEMEA), DIAMETRO 1"</v>
          </cell>
          <cell r="C5098" t="str">
            <v xml:space="preserve">UN    </v>
          </cell>
          <cell r="D5098">
            <v>52.22</v>
          </cell>
        </row>
        <row r="5099">
          <cell r="A5099">
            <v>12435</v>
          </cell>
          <cell r="B5099" t="str">
            <v>UNIAO COM ASSENTO CONICO DE FERRO LONGO (MACHO-FEMEA), DIAMETRO 2 1/2"</v>
          </cell>
          <cell r="C5099" t="str">
            <v xml:space="preserve">UN    </v>
          </cell>
          <cell r="D5099">
            <v>161.62</v>
          </cell>
        </row>
        <row r="5100">
          <cell r="A5100">
            <v>12437</v>
          </cell>
          <cell r="B5100" t="str">
            <v>UNIAO COM ASSENTO CONICO DE FERRO LONGO (MACHO-FEMEA), DIAMETRO 2"</v>
          </cell>
          <cell r="C5100" t="str">
            <v xml:space="preserve">UN    </v>
          </cell>
          <cell r="D5100">
            <v>130.53</v>
          </cell>
        </row>
        <row r="5101">
          <cell r="A5101">
            <v>12439</v>
          </cell>
          <cell r="B5101" t="str">
            <v>UNIAO COM ASSENTO CONICO DE FERRO LONGO (MACHO-FEMEA), DIAMETRO 3/4"</v>
          </cell>
          <cell r="C5101" t="str">
            <v xml:space="preserve">UN    </v>
          </cell>
          <cell r="D5101">
            <v>41.89</v>
          </cell>
        </row>
        <row r="5102">
          <cell r="A5102">
            <v>12438</v>
          </cell>
          <cell r="B5102" t="str">
            <v>UNIAO COM ASSENTO CONICO DE FERRO LONGO (MACHO-FEMEA), DIAMETRO 3'</v>
          </cell>
          <cell r="C5102" t="str">
            <v xml:space="preserve">UN    </v>
          </cell>
          <cell r="D5102">
            <v>236.22</v>
          </cell>
        </row>
        <row r="5103">
          <cell r="A5103">
            <v>12436</v>
          </cell>
          <cell r="B5103" t="str">
            <v>UNIAO COM ASSENTO CONICO DE FERRO LONGO (MACHO-FEMEA), DIAMETRO 4"</v>
          </cell>
          <cell r="C5103" t="str">
            <v xml:space="preserve">UN    </v>
          </cell>
          <cell r="D5103">
            <v>298.39</v>
          </cell>
        </row>
        <row r="5104">
          <cell r="A5104">
            <v>36357</v>
          </cell>
          <cell r="B5104" t="str">
            <v>UNIAO COM FLANGE PPR, DN 40 MM, PARA AGUA QUENTE PREDIAL</v>
          </cell>
          <cell r="C5104" t="str">
            <v xml:space="preserve">UN    </v>
          </cell>
          <cell r="D5104">
            <v>99.8</v>
          </cell>
        </row>
        <row r="5105">
          <cell r="A5105">
            <v>12424</v>
          </cell>
          <cell r="B5105" t="str">
            <v>UNIAO DE FERRO GALVANIZADO, COM ASSENTO CONICO DE BRONZE, DE 1 1/2"</v>
          </cell>
          <cell r="C5105" t="str">
            <v xml:space="preserve">UN    </v>
          </cell>
          <cell r="D5105">
            <v>53.77</v>
          </cell>
        </row>
        <row r="5106">
          <cell r="A5106">
            <v>12440</v>
          </cell>
          <cell r="B5106" t="str">
            <v>UNIAO DE FERRO GALVANIZADO, COM ASSENTO CONICO DE BRONZE, DE 1 1/4"</v>
          </cell>
          <cell r="C5106" t="str">
            <v xml:space="preserve">UN    </v>
          </cell>
          <cell r="D5106">
            <v>51.97</v>
          </cell>
        </row>
        <row r="5107">
          <cell r="A5107">
            <v>9884</v>
          </cell>
          <cell r="B5107" t="str">
            <v>UNIAO DE FERRO GALVANIZADO, COM ROSCA BSP, COM ASSENTO PLANO, DE 1 1/2"</v>
          </cell>
          <cell r="C5107" t="str">
            <v xml:space="preserve">UN    </v>
          </cell>
          <cell r="D5107">
            <v>38.76</v>
          </cell>
        </row>
        <row r="5108">
          <cell r="A5108">
            <v>9888</v>
          </cell>
          <cell r="B5108" t="str">
            <v>UNIAO DE FERRO GALVANIZADO, COM ROSCA BSP, COM ASSENTO PLANO, DE 1 1/4"</v>
          </cell>
          <cell r="C5108" t="str">
            <v xml:space="preserve">UN    </v>
          </cell>
          <cell r="D5108">
            <v>31.14</v>
          </cell>
        </row>
        <row r="5109">
          <cell r="A5109">
            <v>9883</v>
          </cell>
          <cell r="B5109" t="str">
            <v>UNIAO DE FERRO GALVANIZADO, COM ROSCA BSP, COM ASSENTO PLANO, DE 1/2"</v>
          </cell>
          <cell r="C5109" t="str">
            <v xml:space="preserve">UN    </v>
          </cell>
          <cell r="D5109">
            <v>13.59</v>
          </cell>
        </row>
        <row r="5110">
          <cell r="A5110">
            <v>9886</v>
          </cell>
          <cell r="B5110" t="str">
            <v>UNIAO DE FERRO GALVANIZADO, COM ROSCA BSP, COM ASSENTO PLANO, DE 1"</v>
          </cell>
          <cell r="C5110" t="str">
            <v xml:space="preserve">UN    </v>
          </cell>
          <cell r="D5110">
            <v>18.61</v>
          </cell>
        </row>
        <row r="5111">
          <cell r="A5111">
            <v>9889</v>
          </cell>
          <cell r="B5111" t="str">
            <v>UNIAO DE FERRO GALVANIZADO, COM ROSCA BSP, COM ASSENTO PLANO, DE 2 1/2"</v>
          </cell>
          <cell r="C5111" t="str">
            <v xml:space="preserve">UN    </v>
          </cell>
          <cell r="D5111">
            <v>94.31</v>
          </cell>
        </row>
        <row r="5112">
          <cell r="A5112">
            <v>9887</v>
          </cell>
          <cell r="B5112" t="str">
            <v>UNIAO DE FERRO GALVANIZADO, COM ROSCA BSP, COM ASSENTO PLANO, DE 2"</v>
          </cell>
          <cell r="C5112" t="str">
            <v xml:space="preserve">UN    </v>
          </cell>
          <cell r="D5112">
            <v>57</v>
          </cell>
        </row>
        <row r="5113">
          <cell r="A5113">
            <v>9885</v>
          </cell>
          <cell r="B5113" t="str">
            <v>UNIAO DE FERRO GALVANIZADO, COM ROSCA BSP, COM ASSENTO PLANO, DE 3/4"</v>
          </cell>
          <cell r="C5113" t="str">
            <v xml:space="preserve">UN    </v>
          </cell>
          <cell r="D5113">
            <v>18</v>
          </cell>
        </row>
        <row r="5114">
          <cell r="A5114">
            <v>9890</v>
          </cell>
          <cell r="B5114" t="str">
            <v>UNIAO DE FERRO GALVANIZADO, COM ROSCA BSP, COM ASSENTO PLANO, DE 3"</v>
          </cell>
          <cell r="C5114" t="str">
            <v xml:space="preserve">UN    </v>
          </cell>
          <cell r="D5114">
            <v>146.11000000000001</v>
          </cell>
        </row>
        <row r="5115">
          <cell r="A5115">
            <v>9891</v>
          </cell>
          <cell r="B5115" t="str">
            <v>UNIAO DE FERRO GALVANIZADO, COM ROSCA BSP, COM ASSENTO PLANO, DE 4"</v>
          </cell>
          <cell r="C5115" t="str">
            <v xml:space="preserve">UN    </v>
          </cell>
          <cell r="D5115">
            <v>205.12</v>
          </cell>
        </row>
        <row r="5116">
          <cell r="A5116">
            <v>39292</v>
          </cell>
          <cell r="B5116" t="str">
            <v>UNIAO DE REDUCAO METALICA, PARA CONEXAO COM ANEL DESLIZANTE EM TUBO PEX, DN 20 X 16 MM</v>
          </cell>
          <cell r="C5116" t="str">
            <v xml:space="preserve">UN    </v>
          </cell>
          <cell r="D5116">
            <v>8.08</v>
          </cell>
        </row>
        <row r="5117">
          <cell r="A5117">
            <v>39293</v>
          </cell>
          <cell r="B5117" t="str">
            <v>UNIAO DE REDUCAO METALICA, PARA CONEXAO COM ANEL DESLIZANTE EM TUBO PEX, DN 25 X 16 MM</v>
          </cell>
          <cell r="C5117" t="str">
            <v xml:space="preserve">UN    </v>
          </cell>
          <cell r="D5117">
            <v>13.04</v>
          </cell>
        </row>
        <row r="5118">
          <cell r="A5118">
            <v>39294</v>
          </cell>
          <cell r="B5118" t="str">
            <v>UNIAO DE REDUCAO METALICA, PARA CONEXAO COM ANEL DESLIZANTE EM TUBO PEX, DN 25 X 20 MM</v>
          </cell>
          <cell r="C5118" t="str">
            <v xml:space="preserve">UN    </v>
          </cell>
          <cell r="D5118">
            <v>13.04</v>
          </cell>
        </row>
        <row r="5119">
          <cell r="A5119">
            <v>39295</v>
          </cell>
          <cell r="B5119" t="str">
            <v>UNIAO DE REDUCAO METALICA, PARA CONEXAO COM ANEL DESLIZANTE EM TUBO PEX, DN 32 X 25 MM</v>
          </cell>
          <cell r="C5119" t="str">
            <v xml:space="preserve">UN    </v>
          </cell>
          <cell r="D5119">
            <v>22.24</v>
          </cell>
        </row>
        <row r="5120">
          <cell r="A5120">
            <v>36313</v>
          </cell>
          <cell r="B5120" t="str">
            <v>UNIAO DUPLA PPR DN 20 MM, PARA AGUA QUENTE PREDIAL</v>
          </cell>
          <cell r="C5120" t="str">
            <v xml:space="preserve">UN    </v>
          </cell>
          <cell r="D5120">
            <v>23.66</v>
          </cell>
        </row>
        <row r="5121">
          <cell r="A5121">
            <v>36316</v>
          </cell>
          <cell r="B5121" t="str">
            <v>UNIAO DUPLA PPR DN 25 MM, PARA AGUA QUENTE PREDIAL</v>
          </cell>
          <cell r="C5121" t="str">
            <v xml:space="preserve">UN    </v>
          </cell>
          <cell r="D5121">
            <v>28.69</v>
          </cell>
        </row>
        <row r="5122">
          <cell r="A5122">
            <v>64</v>
          </cell>
          <cell r="B5122" t="str">
            <v>UNIAO EM POLIPROPILENO (PP), PARA TUBO EM PEAD, 20 MM - LIGACAO PREDIAL DE AGUA</v>
          </cell>
          <cell r="C5122" t="str">
            <v xml:space="preserve">UN    </v>
          </cell>
          <cell r="D5122">
            <v>4.34</v>
          </cell>
        </row>
        <row r="5123">
          <cell r="A5123">
            <v>37423</v>
          </cell>
          <cell r="B5123" t="str">
            <v>UNIAO EM POLIPROPILENO (PP), PARA TUBO EM PEAD, 32 MM - LIGACAO PREDIAL DE AGUA</v>
          </cell>
          <cell r="C5123" t="str">
            <v xml:space="preserve">UN    </v>
          </cell>
          <cell r="D5123">
            <v>10.72</v>
          </cell>
        </row>
        <row r="5124">
          <cell r="A5124">
            <v>39296</v>
          </cell>
          <cell r="B5124" t="str">
            <v>UNIAO METALICA, PARA CONEXAO COM ANEL DESLIZANTE EM TUBO PEX, DN 16 MM</v>
          </cell>
          <cell r="C5124" t="str">
            <v xml:space="preserve">UN    </v>
          </cell>
          <cell r="D5124">
            <v>6.24</v>
          </cell>
        </row>
        <row r="5125">
          <cell r="A5125">
            <v>39297</v>
          </cell>
          <cell r="B5125" t="str">
            <v>UNIAO METALICA, PARA CONEXAO COM ANEL DESLIZANTE EM TUBO PEX, DN 20 MM</v>
          </cell>
          <cell r="C5125" t="str">
            <v xml:space="preserve">UN    </v>
          </cell>
          <cell r="D5125">
            <v>8.93</v>
          </cell>
        </row>
        <row r="5126">
          <cell r="A5126">
            <v>39298</v>
          </cell>
          <cell r="B5126" t="str">
            <v>UNIAO METALICA, PARA CONEXAO COM ANEL DESLIZANTE EM TUBO PEX, DN 25 MM</v>
          </cell>
          <cell r="C5126" t="str">
            <v xml:space="preserve">UN    </v>
          </cell>
          <cell r="D5126">
            <v>15.72</v>
          </cell>
        </row>
        <row r="5127">
          <cell r="A5127">
            <v>39299</v>
          </cell>
          <cell r="B5127" t="str">
            <v>UNIAO METALICA, PARA CONEXAO COM ANEL DESLIZANTE EM TUBO PEX, DN 32 MM</v>
          </cell>
          <cell r="C5127" t="str">
            <v xml:space="preserve">UN    </v>
          </cell>
          <cell r="D5127">
            <v>26.76</v>
          </cell>
        </row>
        <row r="5128">
          <cell r="A5128">
            <v>9892</v>
          </cell>
          <cell r="B5128" t="str">
            <v>UNIAO PVC, ROSCAVEL 1/2",  AGUA FRIA PREDIAL</v>
          </cell>
          <cell r="C5128" t="str">
            <v xml:space="preserve">UN    </v>
          </cell>
          <cell r="D5128">
            <v>4.79</v>
          </cell>
        </row>
        <row r="5129">
          <cell r="A5129">
            <v>9893</v>
          </cell>
          <cell r="B5129" t="str">
            <v>UNIAO PVC, ROSCAVEL 2",  AGUA FRIA PREDIAL</v>
          </cell>
          <cell r="C5129" t="str">
            <v xml:space="preserve">UN    </v>
          </cell>
          <cell r="D5129">
            <v>65.069999999999993</v>
          </cell>
        </row>
        <row r="5130">
          <cell r="A5130">
            <v>9901</v>
          </cell>
          <cell r="B5130" t="str">
            <v>UNIAO PVC, ROSCAVEL, 1 1/2",  AGUA FRIA PREDIAL</v>
          </cell>
          <cell r="C5130" t="str">
            <v xml:space="preserve">UN    </v>
          </cell>
          <cell r="D5130">
            <v>28.88</v>
          </cell>
        </row>
        <row r="5131">
          <cell r="A5131">
            <v>9896</v>
          </cell>
          <cell r="B5131" t="str">
            <v>UNIAO PVC, ROSCAVEL, 1 1/4",  AGUA FRIA PREDIAL</v>
          </cell>
          <cell r="C5131" t="str">
            <v xml:space="preserve">UN    </v>
          </cell>
          <cell r="D5131">
            <v>26.02</v>
          </cell>
        </row>
        <row r="5132">
          <cell r="A5132">
            <v>9900</v>
          </cell>
          <cell r="B5132" t="str">
            <v>UNIAO PVC, ROSCAVEL, 1",  AGUA FRIA PREDIAL</v>
          </cell>
          <cell r="C5132" t="str">
            <v xml:space="preserve">UN    </v>
          </cell>
          <cell r="D5132">
            <v>15.79</v>
          </cell>
        </row>
        <row r="5133">
          <cell r="A5133">
            <v>9898</v>
          </cell>
          <cell r="B5133" t="str">
            <v>UNIAO PVC, ROSCAVEL, 2 1/2",  AGUA FRIA PREDIAL</v>
          </cell>
          <cell r="C5133" t="str">
            <v xml:space="preserve">UN    </v>
          </cell>
          <cell r="D5133">
            <v>133.81</v>
          </cell>
        </row>
        <row r="5134">
          <cell r="A5134">
            <v>9899</v>
          </cell>
          <cell r="B5134" t="str">
            <v>UNIAO PVC, ROSCAVEL, 3/4",  AGUA FRIA PREDIAL</v>
          </cell>
          <cell r="C5134" t="str">
            <v xml:space="preserve">UN    </v>
          </cell>
          <cell r="D5134">
            <v>8.6199999999999992</v>
          </cell>
        </row>
        <row r="5135">
          <cell r="A5135">
            <v>9902</v>
          </cell>
          <cell r="B5135" t="str">
            <v>UNIAO PVC, ROSCAVEL, 3",  AGUA FRIA PREDIAL</v>
          </cell>
          <cell r="C5135" t="str">
            <v xml:space="preserve">UN    </v>
          </cell>
          <cell r="D5135">
            <v>169.44</v>
          </cell>
        </row>
        <row r="5136">
          <cell r="A5136">
            <v>9908</v>
          </cell>
          <cell r="B5136" t="str">
            <v>UNIAO PVC, SOLDAVEL, 110 MM,  PARA AGUA FRIA PREDIAL</v>
          </cell>
          <cell r="C5136" t="str">
            <v xml:space="preserve">UN    </v>
          </cell>
          <cell r="D5136">
            <v>337.85</v>
          </cell>
        </row>
        <row r="5137">
          <cell r="A5137">
            <v>9905</v>
          </cell>
          <cell r="B5137" t="str">
            <v>UNIAO PVC, SOLDAVEL, 20 MM,  PARA AGUA FRIA PREDIAL</v>
          </cell>
          <cell r="C5137" t="str">
            <v xml:space="preserve">UN    </v>
          </cell>
          <cell r="D5137">
            <v>5.64</v>
          </cell>
        </row>
        <row r="5138">
          <cell r="A5138">
            <v>9906</v>
          </cell>
          <cell r="B5138" t="str">
            <v>UNIAO PVC, SOLDAVEL, 25 MM,  PARA AGUA FRIA PREDIAL</v>
          </cell>
          <cell r="C5138" t="str">
            <v xml:space="preserve">UN    </v>
          </cell>
          <cell r="D5138">
            <v>6.76</v>
          </cell>
        </row>
        <row r="5139">
          <cell r="A5139">
            <v>9895</v>
          </cell>
          <cell r="B5139" t="str">
            <v>UNIAO PVC, SOLDAVEL, 32 MM,  PARA AGUA FRIA PREDIAL</v>
          </cell>
          <cell r="C5139" t="str">
            <v xml:space="preserve">UN    </v>
          </cell>
          <cell r="D5139">
            <v>11.09</v>
          </cell>
        </row>
        <row r="5140">
          <cell r="A5140">
            <v>9894</v>
          </cell>
          <cell r="B5140" t="str">
            <v>UNIAO PVC, SOLDAVEL, 40 MM,  PARA AGUA FRIA PREDIAL</v>
          </cell>
          <cell r="C5140" t="str">
            <v xml:space="preserve">UN    </v>
          </cell>
          <cell r="D5140">
            <v>21.62</v>
          </cell>
        </row>
        <row r="5141">
          <cell r="A5141">
            <v>9897</v>
          </cell>
          <cell r="B5141" t="str">
            <v>UNIAO PVC, SOLDAVEL, 50 MM,  PARA AGUA FRIA PREDIAL</v>
          </cell>
          <cell r="C5141" t="str">
            <v xml:space="preserve">UN    </v>
          </cell>
          <cell r="D5141">
            <v>23.41</v>
          </cell>
        </row>
        <row r="5142">
          <cell r="A5142">
            <v>9910</v>
          </cell>
          <cell r="B5142" t="str">
            <v>UNIAO PVC, SOLDAVEL, 60 MM,  PARA AGUA FRIA PREDIAL</v>
          </cell>
          <cell r="C5142" t="str">
            <v xml:space="preserve">UN    </v>
          </cell>
          <cell r="D5142">
            <v>58.92</v>
          </cell>
        </row>
        <row r="5143">
          <cell r="A5143">
            <v>9909</v>
          </cell>
          <cell r="B5143" t="str">
            <v>UNIAO PVC, SOLDAVEL, 75 MM,  PARA AGUA FRIA PREDIAL</v>
          </cell>
          <cell r="C5143" t="str">
            <v xml:space="preserve">UN    </v>
          </cell>
          <cell r="D5143">
            <v>118.89</v>
          </cell>
        </row>
        <row r="5144">
          <cell r="A5144">
            <v>9907</v>
          </cell>
          <cell r="B5144" t="str">
            <v>UNIAO PVC, SOLDAVEL, 85 MM,  PARA AGUA FRIA PREDIAL</v>
          </cell>
          <cell r="C5144" t="str">
            <v xml:space="preserve">UN    </v>
          </cell>
          <cell r="D5144">
            <v>182.81</v>
          </cell>
        </row>
        <row r="5145">
          <cell r="A5145">
            <v>20973</v>
          </cell>
          <cell r="B5145" t="str">
            <v>UNIAO TIPO STORZ, COM EMPATACAO INTERNA TIPO ANEL DE EXPANSAO, ENGATE RAPIDO 1 1/2", PARA MANGUEIRA DE COMBATE A INCENDIO PREDIAL</v>
          </cell>
          <cell r="C5145" t="str">
            <v xml:space="preserve">UN    </v>
          </cell>
          <cell r="D5145">
            <v>79.77</v>
          </cell>
        </row>
        <row r="5146">
          <cell r="A5146">
            <v>20974</v>
          </cell>
          <cell r="B5146" t="str">
            <v>UNIAO TIPO STORZ, COM EMPATACAO INTERNA TIPO ANEL DE EXPANSAO, ENGATE RAPIDO 2 1/2", PARA MANGUEIRA DE COMBATE A INCENDIO PREDIAL</v>
          </cell>
          <cell r="C5146" t="str">
            <v xml:space="preserve">UN    </v>
          </cell>
          <cell r="D5146">
            <v>114.13</v>
          </cell>
        </row>
        <row r="5147">
          <cell r="A5147">
            <v>37989</v>
          </cell>
          <cell r="B5147" t="str">
            <v>UNIAO, CPVC, SOLDAVEL, 15 MM, PARA AGUA QUENTE PREDIAL</v>
          </cell>
          <cell r="C5147" t="str">
            <v xml:space="preserve">UN    </v>
          </cell>
          <cell r="D5147">
            <v>13</v>
          </cell>
        </row>
        <row r="5148">
          <cell r="A5148">
            <v>37990</v>
          </cell>
          <cell r="B5148" t="str">
            <v>UNIAO, CPVC, SOLDAVEL, 22 MM, PARA AGUA QUENTE PREDIAL</v>
          </cell>
          <cell r="C5148" t="str">
            <v xml:space="preserve">UN    </v>
          </cell>
          <cell r="D5148">
            <v>15.1</v>
          </cell>
        </row>
        <row r="5149">
          <cell r="A5149">
            <v>37991</v>
          </cell>
          <cell r="B5149" t="str">
            <v>UNIAO, CPVC, SOLDAVEL, 28 MM, PARA AGUA QUENTE PREDIAL</v>
          </cell>
          <cell r="C5149" t="str">
            <v xml:space="preserve">UN    </v>
          </cell>
          <cell r="D5149">
            <v>23.89</v>
          </cell>
        </row>
        <row r="5150">
          <cell r="A5150">
            <v>37992</v>
          </cell>
          <cell r="B5150" t="str">
            <v>UNIAO, CPVC, SOLDAVEL, 35 MM, PARA AGUA QUENTE PREDIAL</v>
          </cell>
          <cell r="C5150" t="str">
            <v xml:space="preserve">UN    </v>
          </cell>
          <cell r="D5150">
            <v>36.49</v>
          </cell>
        </row>
        <row r="5151">
          <cell r="A5151">
            <v>37993</v>
          </cell>
          <cell r="B5151" t="str">
            <v>UNIAO, CPVC, SOLDAVEL, 42 MM, PARA AGUA QUENTE PREDIAL</v>
          </cell>
          <cell r="C5151" t="str">
            <v xml:space="preserve">UN    </v>
          </cell>
          <cell r="D5151">
            <v>54.16</v>
          </cell>
        </row>
        <row r="5152">
          <cell r="A5152">
            <v>37994</v>
          </cell>
          <cell r="B5152" t="str">
            <v>UNIAO, CPVC, SOLDAVEL, 54 MM, PARA AGUA QUENTE PREDIAL</v>
          </cell>
          <cell r="C5152" t="str">
            <v xml:space="preserve">UN    </v>
          </cell>
          <cell r="D5152">
            <v>130.16</v>
          </cell>
        </row>
        <row r="5153">
          <cell r="A5153">
            <v>37995</v>
          </cell>
          <cell r="B5153" t="str">
            <v>UNIAO, CPVC, SOLDAVEL, 73 MM, PARA AGUA QUENTE PREDIAL</v>
          </cell>
          <cell r="C5153" t="str">
            <v xml:space="preserve">UN    </v>
          </cell>
          <cell r="D5153">
            <v>188.91</v>
          </cell>
        </row>
        <row r="5154">
          <cell r="A5154">
            <v>37996</v>
          </cell>
          <cell r="B5154" t="str">
            <v>UNIAO, CPVC, SOLDAVEL, 89 MM, PARA AGUA QUENTE PREDIAL</v>
          </cell>
          <cell r="C5154" t="str">
            <v xml:space="preserve">UN    </v>
          </cell>
          <cell r="D5154">
            <v>278.54000000000002</v>
          </cell>
        </row>
        <row r="5155">
          <cell r="A5155">
            <v>13883</v>
          </cell>
          <cell r="B5155" t="str">
            <v>USINA DE ASFALTO A FRIO, CAPACIDADE DE 30 A 40 T/H, ELETRICA, POTENCIA DE 30 CV</v>
          </cell>
          <cell r="C5155" t="str">
            <v xml:space="preserve">UN    </v>
          </cell>
          <cell r="D5155">
            <v>83655.820000000007</v>
          </cell>
        </row>
        <row r="5156">
          <cell r="A5156">
            <v>38604</v>
          </cell>
          <cell r="B5156" t="str">
            <v>USINA DE ASFALTO A FRIO, CAPACIDADE DE 40 A 60 T/H, ELETRICA, POTENCIA DE 30 CV</v>
          </cell>
          <cell r="C5156" t="str">
            <v xml:space="preserve">UN    </v>
          </cell>
          <cell r="D5156">
            <v>104192.22</v>
          </cell>
        </row>
        <row r="5157">
          <cell r="A5157">
            <v>10601</v>
          </cell>
          <cell r="B5157" t="str">
            <v>USINA DE ASFALTO A QUENTE, FIXA, TIPO CONTRA FLUXO, CAPACIDADE DE 100 A 140 T/H, POTENCIA DE 280 KW, COM MISTURADOR EXTERNO ROTATIVO</v>
          </cell>
          <cell r="C5157" t="str">
            <v xml:space="preserve">UN    </v>
          </cell>
          <cell r="D5157">
            <v>2026746.48</v>
          </cell>
        </row>
        <row r="5158">
          <cell r="A5158">
            <v>26034</v>
          </cell>
          <cell r="B5158" t="str">
            <v>USINA DE ASFALTO, GRAVIMETRICA, CAPACIDADE DE 150 T/H, POTENCIA DE 400 KW</v>
          </cell>
          <cell r="C5158" t="str">
            <v xml:space="preserve">UN    </v>
          </cell>
          <cell r="D5158">
            <v>5336351.95</v>
          </cell>
        </row>
        <row r="5159">
          <cell r="A5159">
            <v>13894</v>
          </cell>
          <cell r="B5159" t="str">
            <v>USINA DE CONCRETO FIXA, CAPACIDADE NOMINAL DE 40 M3/H, SEM SILO</v>
          </cell>
          <cell r="C5159" t="str">
            <v xml:space="preserve">UN    </v>
          </cell>
          <cell r="D5159">
            <v>392649.25</v>
          </cell>
        </row>
        <row r="5160">
          <cell r="A5160">
            <v>13895</v>
          </cell>
          <cell r="B5160" t="str">
            <v>USINA DE CONCRETO FIXA, CAPACIDADE NOMINAL DE 60 M3/H, SEM SILO</v>
          </cell>
          <cell r="C5160" t="str">
            <v xml:space="preserve">UN    </v>
          </cell>
          <cell r="D5160">
            <v>527982.35</v>
          </cell>
        </row>
        <row r="5161">
          <cell r="A5161">
            <v>13892</v>
          </cell>
          <cell r="B5161" t="str">
            <v>USINA DE CONCRETO FIXA, CAPACIDADE NOMINAL DE 80 M3/H, SEM SILO</v>
          </cell>
          <cell r="C5161" t="str">
            <v xml:space="preserve">UN    </v>
          </cell>
          <cell r="D5161">
            <v>647029.46</v>
          </cell>
        </row>
        <row r="5162">
          <cell r="A5162">
            <v>9914</v>
          </cell>
          <cell r="B5162" t="str">
            <v>USINA DE CONCRETO FIXA, CAPACIDADE NOMINAL DE 90 A 120 M3/H, SEM SILO</v>
          </cell>
          <cell r="C5162" t="str">
            <v xml:space="preserve">UN    </v>
          </cell>
          <cell r="D5162">
            <v>700000</v>
          </cell>
        </row>
        <row r="5163">
          <cell r="A5163">
            <v>36485</v>
          </cell>
          <cell r="B5163" t="str">
            <v>USINA DE LAMA ASFALTICA, PROD 30 A 50 T/H, SILO DE AGREGADO 7 M3, RESERVATORIOS PARA EMULSAO E AGUA DE 2,3 M3 CADA, MISTURADOR TIPO PUGG-MILL A SER MONTADO SOBRE CAMINHAO</v>
          </cell>
          <cell r="C5163" t="str">
            <v xml:space="preserve">UN    </v>
          </cell>
          <cell r="D5163">
            <v>424438.89</v>
          </cell>
        </row>
        <row r="5164">
          <cell r="A5164">
            <v>9912</v>
          </cell>
          <cell r="B5164" t="str">
            <v>USINA DE MISTURAS ASFALTICAS A QUENTE, MOVEL, TIPO CONTRA FLUXO, CAPACIDADE DE 40 A 80 T/H</v>
          </cell>
          <cell r="C5164" t="str">
            <v xml:space="preserve">UN    </v>
          </cell>
          <cell r="D5164">
            <v>1650000</v>
          </cell>
        </row>
        <row r="5165">
          <cell r="A5165">
            <v>9921</v>
          </cell>
          <cell r="B5165" t="str">
            <v>USINA MISTURADORA DE SOLOS,  DOSADORES TRIPLOS, CALHA VIBRATORIA CAPACIDADE DE 200 A 500 T/H, POTENCIA DE 75 KW</v>
          </cell>
          <cell r="C5165" t="str">
            <v xml:space="preserve">UN    </v>
          </cell>
          <cell r="D5165">
            <v>851148.04</v>
          </cell>
        </row>
        <row r="5166">
          <cell r="A5166">
            <v>21112</v>
          </cell>
          <cell r="B5166" t="str">
            <v>VALVULA DE DESCARGA EM METAL CROMADO PARA MICTORIO COM ACIONAMENTO POR PRESSAO E FECHAMENTO AUTOMATICO</v>
          </cell>
          <cell r="C5166" t="str">
            <v xml:space="preserve">UN    </v>
          </cell>
          <cell r="D5166">
            <v>140.82</v>
          </cell>
        </row>
        <row r="5167">
          <cell r="A5167">
            <v>10228</v>
          </cell>
          <cell r="B5167" t="str">
            <v>VALVULA DE DESCARGA METALICA, BASE 1 1/2 " E ACABAMENTO METALICO CROMADO</v>
          </cell>
          <cell r="C5167" t="str">
            <v xml:space="preserve">UN    </v>
          </cell>
          <cell r="D5167">
            <v>163.59</v>
          </cell>
        </row>
        <row r="5168">
          <cell r="A5168">
            <v>11781</v>
          </cell>
          <cell r="B5168" t="str">
            <v>VALVULA DE DESCARGA METALICA, BASE 1 1/4 " E ACABAMENTO METALICO CROMADO</v>
          </cell>
          <cell r="C5168" t="str">
            <v xml:space="preserve">UN    </v>
          </cell>
          <cell r="D5168">
            <v>132.52000000000001</v>
          </cell>
        </row>
        <row r="5169">
          <cell r="A5169">
            <v>11746</v>
          </cell>
          <cell r="B5169" t="str">
            <v>VALVULA DE ESFERA BRUTA EM BRONZE, BITOLA 1 " (REF 1552-B)</v>
          </cell>
          <cell r="C5169" t="str">
            <v xml:space="preserve">UN    </v>
          </cell>
          <cell r="D5169">
            <v>44.93</v>
          </cell>
        </row>
        <row r="5170">
          <cell r="A5170">
            <v>11751</v>
          </cell>
          <cell r="B5170" t="str">
            <v>VALVULA DE ESFERA BRUTA EM BRONZE, BITOLA 1 1/2 " (REF 1552-B)</v>
          </cell>
          <cell r="C5170" t="str">
            <v xml:space="preserve">UN    </v>
          </cell>
          <cell r="D5170">
            <v>80.7</v>
          </cell>
        </row>
        <row r="5171">
          <cell r="A5171">
            <v>11750</v>
          </cell>
          <cell r="B5171" t="str">
            <v>VALVULA DE ESFERA BRUTA EM BRONZE, BITOLA 1 1/4 " (REF 1552-B)</v>
          </cell>
          <cell r="C5171" t="str">
            <v xml:space="preserve">UN    </v>
          </cell>
          <cell r="D5171">
            <v>66.97</v>
          </cell>
        </row>
        <row r="5172">
          <cell r="A5172">
            <v>11748</v>
          </cell>
          <cell r="B5172" t="str">
            <v>VALVULA DE ESFERA BRUTA EM BRONZE, BITOLA 1/2 " (REF 1552-B)</v>
          </cell>
          <cell r="C5172" t="str">
            <v xml:space="preserve">UN    </v>
          </cell>
          <cell r="D5172">
            <v>28.83</v>
          </cell>
        </row>
        <row r="5173">
          <cell r="A5173">
            <v>11747</v>
          </cell>
          <cell r="B5173" t="str">
            <v>VALVULA DE ESFERA BRUTA EM BRONZE, BITOLA 2 " (REF 1552-B)</v>
          </cell>
          <cell r="C5173" t="str">
            <v xml:space="preserve">UN    </v>
          </cell>
          <cell r="D5173">
            <v>124.44</v>
          </cell>
        </row>
        <row r="5174">
          <cell r="A5174">
            <v>11749</v>
          </cell>
          <cell r="B5174" t="str">
            <v>VALVULA DE ESFERA BRUTA EM BRONZE, BITOLA 3/4 " (REF 1552-B)</v>
          </cell>
          <cell r="C5174" t="str">
            <v xml:space="preserve">UN    </v>
          </cell>
          <cell r="D5174">
            <v>33.28</v>
          </cell>
        </row>
        <row r="5175">
          <cell r="A5175">
            <v>10236</v>
          </cell>
          <cell r="B5175" t="str">
            <v>VALVULA DE RETENCAO DE BRONZE, PE COM CRIVOS, EXTREMIDADE COM ROSCA, DE 1 1/2", PARA FUNDO DE POCO</v>
          </cell>
          <cell r="C5175" t="str">
            <v xml:space="preserve">UN    </v>
          </cell>
          <cell r="D5175">
            <v>62.04</v>
          </cell>
        </row>
        <row r="5176">
          <cell r="A5176">
            <v>10233</v>
          </cell>
          <cell r="B5176" t="str">
            <v>VALVULA DE RETENCAO DE BRONZE, PE COM CRIVOS, EXTREMIDADE COM ROSCA, DE 1 1/4", PARA FUNDO DE POCO</v>
          </cell>
          <cell r="C5176" t="str">
            <v xml:space="preserve">UN    </v>
          </cell>
          <cell r="D5176">
            <v>58.13</v>
          </cell>
        </row>
        <row r="5177">
          <cell r="A5177">
            <v>10234</v>
          </cell>
          <cell r="B5177" t="str">
            <v>VALVULA DE RETENCAO DE BRONZE, PE COM CRIVOS, EXTREMIDADE COM ROSCA, DE 1", PARA FUNDO DE POCO</v>
          </cell>
          <cell r="C5177" t="str">
            <v xml:space="preserve">UN    </v>
          </cell>
          <cell r="D5177">
            <v>36.619999999999997</v>
          </cell>
        </row>
        <row r="5178">
          <cell r="A5178">
            <v>10231</v>
          </cell>
          <cell r="B5178" t="str">
            <v>VALVULA DE RETENCAO DE BRONZE, PE COM CRIVOS, EXTREMIDADE COM ROSCA, DE 2 1/2", PARA FUNDO DE POCO</v>
          </cell>
          <cell r="C5178" t="str">
            <v xml:space="preserve">UN    </v>
          </cell>
          <cell r="D5178">
            <v>167.93</v>
          </cell>
        </row>
        <row r="5179">
          <cell r="A5179">
            <v>10232</v>
          </cell>
          <cell r="B5179" t="str">
            <v>VALVULA DE RETENCAO DE BRONZE, PE COM CRIVOS, EXTREMIDADE COM ROSCA, DE 2", PARA FUNDO DE POCO</v>
          </cell>
          <cell r="C5179" t="str">
            <v xml:space="preserve">UN    </v>
          </cell>
          <cell r="D5179">
            <v>93.97</v>
          </cell>
        </row>
        <row r="5180">
          <cell r="A5180">
            <v>10229</v>
          </cell>
          <cell r="B5180" t="str">
            <v>VALVULA DE RETENCAO DE BRONZE, PE COM CRIVOS, EXTREMIDADE COM ROSCA, DE 3/4", PARA FUNDO DE POCO</v>
          </cell>
          <cell r="C5180" t="str">
            <v xml:space="preserve">UN    </v>
          </cell>
          <cell r="D5180">
            <v>33.119999999999997</v>
          </cell>
        </row>
        <row r="5181">
          <cell r="A5181">
            <v>10235</v>
          </cell>
          <cell r="B5181" t="str">
            <v>VALVULA DE RETENCAO DE BRONZE, PE COM CRIVOS, EXTREMIDADE COM ROSCA, DE 3", PARA FUNDO DE POCO</v>
          </cell>
          <cell r="C5181" t="str">
            <v xml:space="preserve">UN    </v>
          </cell>
          <cell r="D5181">
            <v>230.22</v>
          </cell>
        </row>
        <row r="5182">
          <cell r="A5182">
            <v>10230</v>
          </cell>
          <cell r="B5182" t="str">
            <v>VALVULA DE RETENCAO DE BRONZE, PE COM CRIVOS, EXTREMIDADE COM ROSCA, DE 4", PARA FUNDO DE POCO</v>
          </cell>
          <cell r="C5182" t="str">
            <v xml:space="preserve">UN    </v>
          </cell>
          <cell r="D5182">
            <v>405.17</v>
          </cell>
        </row>
        <row r="5183">
          <cell r="A5183">
            <v>10409</v>
          </cell>
          <cell r="B5183" t="str">
            <v>VALVULA DE RETENCAO HORIZONTAL, DE BRONZE (PN-25), 1 1/2", 400 PSI, TAMPA DE PORCA DE UNIAO, EXTREMIDADES COM ROSCA</v>
          </cell>
          <cell r="C5183" t="str">
            <v xml:space="preserve">UN    </v>
          </cell>
          <cell r="D5183">
            <v>120.37</v>
          </cell>
        </row>
        <row r="5184">
          <cell r="A5184">
            <v>10411</v>
          </cell>
          <cell r="B5184" t="str">
            <v>VALVULA DE RETENCAO HORIZONTAL, DE BRONZE (PN-25), 1 1/4", 400 PSI, TAMPA DE PORCA DE UNIAO, EXTREMIDADES COM ROSCA</v>
          </cell>
          <cell r="C5184" t="str">
            <v xml:space="preserve">UN    </v>
          </cell>
          <cell r="D5184">
            <v>107.71</v>
          </cell>
        </row>
        <row r="5185">
          <cell r="A5185">
            <v>10404</v>
          </cell>
          <cell r="B5185" t="str">
            <v>VALVULA DE RETENCAO HORIZONTAL, DE BRONZE (PN-25), 1/2", 400 PSI, TAMPA DE PORCA DE UNIAO, EXTREMIDADES COM ROSCA</v>
          </cell>
          <cell r="C5185" t="str">
            <v xml:space="preserve">UN    </v>
          </cell>
          <cell r="D5185">
            <v>43.68</v>
          </cell>
        </row>
        <row r="5186">
          <cell r="A5186">
            <v>10410</v>
          </cell>
          <cell r="B5186" t="str">
            <v>VALVULA DE RETENCAO HORIZONTAL, DE BRONZE (PN-25), 1", 400 PSI, TAMPA DE PORCA DE UNIAO, EXTREMIDADES COM ROSCA</v>
          </cell>
          <cell r="C5186" t="str">
            <v xml:space="preserve">UN    </v>
          </cell>
          <cell r="D5186">
            <v>71.95</v>
          </cell>
        </row>
        <row r="5187">
          <cell r="A5187">
            <v>10405</v>
          </cell>
          <cell r="B5187" t="str">
            <v>VALVULA DE RETENCAO HORIZONTAL, DE BRONZE (PN-25), 2 1/2", 400 PSI, TAMPA DE PORCA DE UNIAO, EXTREMIDADES COM ROSCA</v>
          </cell>
          <cell r="C5187" t="str">
            <v xml:space="preserve">UN    </v>
          </cell>
          <cell r="D5187">
            <v>241.16</v>
          </cell>
        </row>
        <row r="5188">
          <cell r="A5188">
            <v>10408</v>
          </cell>
          <cell r="B5188" t="str">
            <v>VALVULA DE RETENCAO HORIZONTAL, DE BRONZE (PN-25), 2", 400 PSI, TAMPA DE PORCA DE UNIAO, EXTREMIDADES COM ROSCA</v>
          </cell>
          <cell r="C5188" t="str">
            <v xml:space="preserve">UN    </v>
          </cell>
          <cell r="D5188">
            <v>168.64</v>
          </cell>
        </row>
        <row r="5189">
          <cell r="A5189">
            <v>10412</v>
          </cell>
          <cell r="B5189" t="str">
            <v>VALVULA DE RETENCAO HORIZONTAL, DE BRONZE (PN-25), 3/4", 400 PSI, TAMPA DE PORCA DE UNIAO, EXTREMIDADES COM ROSCA</v>
          </cell>
          <cell r="C5189" t="str">
            <v xml:space="preserve">UN    </v>
          </cell>
          <cell r="D5189">
            <v>52.93</v>
          </cell>
        </row>
        <row r="5190">
          <cell r="A5190">
            <v>10406</v>
          </cell>
          <cell r="B5190" t="str">
            <v>VALVULA DE RETENCAO HORIZONTAL, DE BRONZE (PN-25), 3", 400 PSI, TAMPA DE PORCA DE UNIAO, EXTREMIDADES COM ROSCA</v>
          </cell>
          <cell r="C5190" t="str">
            <v xml:space="preserve">UN    </v>
          </cell>
          <cell r="D5190">
            <v>333.1</v>
          </cell>
        </row>
        <row r="5191">
          <cell r="A5191">
            <v>10407</v>
          </cell>
          <cell r="B5191" t="str">
            <v>VALVULA DE RETENCAO HORIZONTAL, DE BRONZE (PN-25), 4", 400 PSI, TAMPA DE PORCA DE UNIAO, EXTREMIDADES COM ROSCA</v>
          </cell>
          <cell r="C5191" t="str">
            <v xml:space="preserve">UN    </v>
          </cell>
          <cell r="D5191">
            <v>516.63</v>
          </cell>
        </row>
        <row r="5192">
          <cell r="A5192">
            <v>10416</v>
          </cell>
          <cell r="B5192" t="str">
            <v>VALVULA DE RETENCAO VERTICAL, DE BRONZE (PN-16), 1 1/2", 200 PSI, EXTREMIDADES COM ROSCA</v>
          </cell>
          <cell r="C5192" t="str">
            <v xml:space="preserve">UN    </v>
          </cell>
          <cell r="D5192">
            <v>64.08</v>
          </cell>
        </row>
        <row r="5193">
          <cell r="A5193">
            <v>10419</v>
          </cell>
          <cell r="B5193" t="str">
            <v>VALVULA DE RETENCAO VERTICAL, DE BRONZE (PN-16), 1 1/4", 200 PSI, EXTREMIDADES COM ROSCA</v>
          </cell>
          <cell r="C5193" t="str">
            <v xml:space="preserve">UN    </v>
          </cell>
          <cell r="D5193">
            <v>55.62</v>
          </cell>
        </row>
        <row r="5194">
          <cell r="A5194">
            <v>21092</v>
          </cell>
          <cell r="B5194" t="str">
            <v>VALVULA DE RETENCAO VERTICAL, DE BRONZE (PN-16), 1/2", 200 PSI, EXTREMIDADES COM ROSCA</v>
          </cell>
          <cell r="C5194" t="str">
            <v xml:space="preserve">UN    </v>
          </cell>
          <cell r="D5194">
            <v>31.8</v>
          </cell>
        </row>
        <row r="5195">
          <cell r="A5195">
            <v>10418</v>
          </cell>
          <cell r="B5195" t="str">
            <v>VALVULA DE RETENCAO VERTICAL, DE BRONZE (PN-16), 1", 200 PSI, EXTREMIDADES COM ROSCA</v>
          </cell>
          <cell r="C5195" t="str">
            <v xml:space="preserve">UN    </v>
          </cell>
          <cell r="D5195">
            <v>37.07</v>
          </cell>
        </row>
        <row r="5196">
          <cell r="A5196">
            <v>12657</v>
          </cell>
          <cell r="B5196" t="str">
            <v>VALVULA DE RETENCAO VERTICAL, DE BRONZE (PN-16), 2 1/2", 200 PSI, EXTREMIDADES COM ROSCA</v>
          </cell>
          <cell r="C5196" t="str">
            <v xml:space="preserve">UN    </v>
          </cell>
          <cell r="D5196">
            <v>149.62</v>
          </cell>
        </row>
        <row r="5197">
          <cell r="A5197">
            <v>10417</v>
          </cell>
          <cell r="B5197" t="str">
            <v>VALVULA DE RETENCAO VERTICAL, DE BRONZE (PN-16), 2", 200 PSI, EXTREMIDADES COM ROSCA</v>
          </cell>
          <cell r="C5197" t="str">
            <v xml:space="preserve">UN    </v>
          </cell>
          <cell r="D5197">
            <v>93.37</v>
          </cell>
        </row>
        <row r="5198">
          <cell r="A5198">
            <v>10413</v>
          </cell>
          <cell r="B5198" t="str">
            <v>VALVULA DE RETENCAO VERTICAL, DE BRONZE (PN-16), 3/4", 200 PSI, EXTREMIDADES COM ROSCA</v>
          </cell>
          <cell r="C5198" t="str">
            <v xml:space="preserve">UN    </v>
          </cell>
          <cell r="D5198">
            <v>33.93</v>
          </cell>
        </row>
        <row r="5199">
          <cell r="A5199">
            <v>10414</v>
          </cell>
          <cell r="B5199" t="str">
            <v>VALVULA DE RETENCAO VERTICAL, DE BRONZE (PN-16), 3", 200 PSI, EXTREMIDADES COM ROSCA</v>
          </cell>
          <cell r="C5199" t="str">
            <v xml:space="preserve">UN    </v>
          </cell>
          <cell r="D5199">
            <v>204.31</v>
          </cell>
        </row>
        <row r="5200">
          <cell r="A5200">
            <v>10415</v>
          </cell>
          <cell r="B5200" t="str">
            <v>VALVULA DE RETENCAO VERTICAL, DE BRONZE (PN-16), 4", 200 PSI, EXTREMIDADES COM ROSCA</v>
          </cell>
          <cell r="C5200" t="str">
            <v xml:space="preserve">UN    </v>
          </cell>
          <cell r="D5200">
            <v>354.6</v>
          </cell>
        </row>
        <row r="5201">
          <cell r="A5201">
            <v>38643</v>
          </cell>
          <cell r="B5201" t="str">
            <v>VALVULA EM METAL CROMADO PARA LAVATORIO, 1 " SEM LADRAO</v>
          </cell>
          <cell r="C5201" t="str">
            <v xml:space="preserve">UN    </v>
          </cell>
          <cell r="D5201">
            <v>37.340000000000003</v>
          </cell>
        </row>
        <row r="5202">
          <cell r="A5202">
            <v>6157</v>
          </cell>
          <cell r="B5202" t="str">
            <v>VALVULA EM METAL CROMADO PARA PIA AMERICANA 3.1/2 X 1.1/2 "</v>
          </cell>
          <cell r="C5202" t="str">
            <v xml:space="preserve">UN    </v>
          </cell>
          <cell r="D5202">
            <v>51.01</v>
          </cell>
        </row>
        <row r="5203">
          <cell r="A5203">
            <v>37588</v>
          </cell>
          <cell r="B5203" t="str">
            <v>VALVULA EM METAL CROMADO PARA TANQUE, 1.1/2 " SEM LADRAO</v>
          </cell>
          <cell r="C5203" t="str">
            <v xml:space="preserve">UN    </v>
          </cell>
          <cell r="D5203">
            <v>21.69</v>
          </cell>
        </row>
        <row r="5204">
          <cell r="A5204">
            <v>6152</v>
          </cell>
          <cell r="B5204" t="str">
            <v>VALVULA EM PLASTICO BRANCO COM SAIDA LISA PARA TANQUE 1.1/4 " X 1.1/2 "</v>
          </cell>
          <cell r="C5204" t="str">
            <v xml:space="preserve">UN    </v>
          </cell>
          <cell r="D5204">
            <v>3.06</v>
          </cell>
        </row>
        <row r="5205">
          <cell r="A5205">
            <v>6158</v>
          </cell>
          <cell r="B5205" t="str">
            <v>VALVULA EM PLASTICO BRANCO PARA LAVATORIO 1 ", SEM UNHO, COM LADRAO</v>
          </cell>
          <cell r="C5205" t="str">
            <v xml:space="preserve">UN    </v>
          </cell>
          <cell r="D5205">
            <v>3.7</v>
          </cell>
        </row>
        <row r="5206">
          <cell r="A5206">
            <v>6153</v>
          </cell>
          <cell r="B5206" t="str">
            <v>VALVULA EM PLASTICO BRANCO PARA TANQUE OU LAVATORIO 1 ", SEM UNHO E SEM LADRAO</v>
          </cell>
          <cell r="C5206" t="str">
            <v xml:space="preserve">UN    </v>
          </cell>
          <cell r="D5206">
            <v>2.88</v>
          </cell>
        </row>
        <row r="5207">
          <cell r="A5207">
            <v>6156</v>
          </cell>
          <cell r="B5207" t="str">
            <v>VALVULA EM PLASTICO BRANCO PARA TANQUE 1.1/4 " X 1.1/2 ", SEM UNHO E SEM LADRAO</v>
          </cell>
          <cell r="C5207" t="str">
            <v xml:space="preserve">UN    </v>
          </cell>
          <cell r="D5207">
            <v>3.65</v>
          </cell>
        </row>
        <row r="5208">
          <cell r="A5208">
            <v>6154</v>
          </cell>
          <cell r="B5208" t="str">
            <v>VALVULA EM PLASTICO CROMADO PARA LAVATORIO 1 ", SEM UNHO, COM LADRAO</v>
          </cell>
          <cell r="C5208" t="str">
            <v xml:space="preserve">UN    </v>
          </cell>
          <cell r="D5208">
            <v>6.88</v>
          </cell>
        </row>
        <row r="5209">
          <cell r="A5209">
            <v>6155</v>
          </cell>
          <cell r="B5209" t="str">
            <v>VALVULA EM PLASTICO CROMADO TIPO AMERICANA PARA PIA DE COZINHA 3.1/2 " X 1.1/2 ", SEM ADAPTADOR</v>
          </cell>
          <cell r="C5209" t="str">
            <v xml:space="preserve">UN    </v>
          </cell>
          <cell r="D5209">
            <v>14.21</v>
          </cell>
        </row>
        <row r="5210">
          <cell r="A5210">
            <v>38108</v>
          </cell>
          <cell r="B5210" t="str">
            <v>VARIADOR DE LUMINOSIDADE ROTATIVO (DIMMER) 127 V, 300 W (APENAS MODULO)</v>
          </cell>
          <cell r="C5210" t="str">
            <v xml:space="preserve">UN    </v>
          </cell>
          <cell r="D5210">
            <v>28.69</v>
          </cell>
        </row>
        <row r="5211">
          <cell r="A5211">
            <v>38087</v>
          </cell>
          <cell r="B5211" t="str">
            <v>VARIADOR DE LUMINOSIDADE ROTATIVO (DIMMER) 127V, 300W, CONJUNTO MONTADO PARA EMBUTIR 4" X 2" (PLACA + SUPORTE + MODULO)</v>
          </cell>
          <cell r="C5211" t="str">
            <v xml:space="preserve">UN    </v>
          </cell>
          <cell r="D5211">
            <v>36.909999999999997</v>
          </cell>
        </row>
        <row r="5212">
          <cell r="A5212">
            <v>38109</v>
          </cell>
          <cell r="B5212" t="str">
            <v>VARIADOR DE LUMINOSIDADE ROTATIVO (DIMMER) 220 V, 600 W (APENAS MODULO)</v>
          </cell>
          <cell r="C5212" t="str">
            <v xml:space="preserve">UN    </v>
          </cell>
          <cell r="D5212">
            <v>45.86</v>
          </cell>
        </row>
        <row r="5213">
          <cell r="A5213">
            <v>38088</v>
          </cell>
          <cell r="B5213" t="str">
            <v>VARIADOR DE LUMINOSIDADE ROTATIVO (DIMMER) 220V, 600W, CONJUNTO MONTADO PARA EMBUTIR 4" X 2" (PLACA + SUPORTE + MODULO)</v>
          </cell>
          <cell r="C5213" t="str">
            <v xml:space="preserve">UN    </v>
          </cell>
          <cell r="D5213">
            <v>48.22</v>
          </cell>
        </row>
        <row r="5214">
          <cell r="A5214">
            <v>38110</v>
          </cell>
          <cell r="B5214" t="str">
            <v>VARIADOR DE VELOCIDADE PARA VENTILADOR 127 V, 150 W (APENAS MODULO)</v>
          </cell>
          <cell r="C5214" t="str">
            <v xml:space="preserve">UN    </v>
          </cell>
          <cell r="D5214">
            <v>17.64</v>
          </cell>
        </row>
        <row r="5215">
          <cell r="A5215">
            <v>38089</v>
          </cell>
          <cell r="B5215" t="str">
            <v>VARIADOR DE VELOCIDADE PARA VENTILADOR 127V, 150W + 2 INTERRUPTORES PARALELOS, PARA REVERSAO E LAMPADA, CONJUNTO MONTADO PARA EMBUTIR 4" X 2" (PLACA + SUPORTE + MODULOS)</v>
          </cell>
          <cell r="C5215" t="str">
            <v xml:space="preserve">UN    </v>
          </cell>
          <cell r="D5215">
            <v>30.74</v>
          </cell>
        </row>
        <row r="5216">
          <cell r="A5216">
            <v>38111</v>
          </cell>
          <cell r="B5216" t="str">
            <v>VARIADOR DE VELOCIDADE PARA VENTILADOR 220 V, 250 W (APENAS MODULO)</v>
          </cell>
          <cell r="C5216" t="str">
            <v xml:space="preserve">UN    </v>
          </cell>
          <cell r="D5216">
            <v>19.73</v>
          </cell>
        </row>
        <row r="5217">
          <cell r="A5217">
            <v>38090</v>
          </cell>
          <cell r="B5217" t="str">
            <v>VARIADOR DE VELOCIDADE PARA VENTILADOR 220V, 250W + 2 INTERRUPTORES PARALELOS, PARA REVERSAO E LAMPADA, CONJUNTO MONTADO PARA EMBUTIR 4" X 2" (PLACA + SUPORTE + MODULOS)</v>
          </cell>
          <cell r="C5217" t="str">
            <v xml:space="preserve">UN    </v>
          </cell>
          <cell r="D5217">
            <v>31.77</v>
          </cell>
        </row>
        <row r="5218">
          <cell r="A5218">
            <v>11786</v>
          </cell>
          <cell r="B5218" t="str">
            <v>VASO SANITARIO SIFONADO INFANTIL LOUCA BRANCA</v>
          </cell>
          <cell r="C5218" t="str">
            <v xml:space="preserve">UN    </v>
          </cell>
          <cell r="D5218">
            <v>247.53</v>
          </cell>
        </row>
        <row r="5219">
          <cell r="A5219">
            <v>13726</v>
          </cell>
          <cell r="B5219" t="str">
            <v>VASSOURA MECANICA REBOCAVEL COM ESCOVA CILINDRICA LARGURA UTIL DE VARRIMENTO = 2,44M</v>
          </cell>
          <cell r="C5219" t="str">
            <v xml:space="preserve">UN    </v>
          </cell>
          <cell r="D5219">
            <v>35934.71</v>
          </cell>
        </row>
        <row r="5220">
          <cell r="A5220">
            <v>38400</v>
          </cell>
          <cell r="B5220" t="str">
            <v>VASSOURA 40 CM COM CABO</v>
          </cell>
          <cell r="C5220" t="str">
            <v xml:space="preserve">UN    </v>
          </cell>
          <cell r="D5220">
            <v>17.73</v>
          </cell>
        </row>
        <row r="5221">
          <cell r="A5221">
            <v>12627</v>
          </cell>
          <cell r="B5221" t="str">
            <v>VEDACAO DE CALHA, EM BORRACHA COR PRETA, MEDIDA ENTRE 119 E 170 MM, PARA DRENAGEM PLUVIAL PREDIAL</v>
          </cell>
          <cell r="C5221" t="str">
            <v xml:space="preserve">UN    </v>
          </cell>
          <cell r="D5221">
            <v>0.36</v>
          </cell>
        </row>
        <row r="5222">
          <cell r="A5222">
            <v>6138</v>
          </cell>
          <cell r="B5222" t="str">
            <v>VEDACAO PVC, 100 MM, PARA SAIDA VASO SANITARIO</v>
          </cell>
          <cell r="C5222" t="str">
            <v xml:space="preserve">UN    </v>
          </cell>
          <cell r="D5222">
            <v>1.83</v>
          </cell>
        </row>
        <row r="5223">
          <cell r="A5223">
            <v>39996</v>
          </cell>
          <cell r="B5223" t="str">
            <v>VERGALHAO ZINCADO ROSCA TOTAL, 1/4 " (6,3 MM)</v>
          </cell>
          <cell r="C5223" t="str">
            <v xml:space="preserve">M     </v>
          </cell>
          <cell r="D5223">
            <v>2.5</v>
          </cell>
        </row>
        <row r="5224">
          <cell r="A5224">
            <v>10478</v>
          </cell>
          <cell r="B5224" t="str">
            <v>VERNIZ POLIURETANO BRILHANTE PARA MADEIRA, COM FILTRO SOLAR, USO INTERNO E EXTERNO</v>
          </cell>
          <cell r="C5224" t="str">
            <v xml:space="preserve">L     </v>
          </cell>
          <cell r="D5224">
            <v>24.61</v>
          </cell>
        </row>
        <row r="5225">
          <cell r="A5225">
            <v>10475</v>
          </cell>
          <cell r="B5225" t="str">
            <v>VERNIZ SINTETICO BRILHANTE PARA MADEIRA TIPO COPAL, USO INTERNO</v>
          </cell>
          <cell r="C5225" t="str">
            <v xml:space="preserve">L     </v>
          </cell>
          <cell r="D5225">
            <v>21.65</v>
          </cell>
        </row>
        <row r="5226">
          <cell r="A5226">
            <v>10481</v>
          </cell>
          <cell r="B5226" t="str">
            <v>VERNIZ SINTETICO BRILHANTE PARA MADEIRA, COM FILTRO SOLAR, USO INTERNO E EXTERNO (BASE SOLVENTE)</v>
          </cell>
          <cell r="C5226" t="str">
            <v xml:space="preserve">L     </v>
          </cell>
          <cell r="D5226">
            <v>23.61</v>
          </cell>
        </row>
        <row r="5227">
          <cell r="A5227">
            <v>4031</v>
          </cell>
          <cell r="B5227" t="str">
            <v>VEU DE VIDRO/VEU DE SUPERFICIE 30 A 35 G/M2</v>
          </cell>
          <cell r="C5227" t="str">
            <v xml:space="preserve">M2    </v>
          </cell>
          <cell r="D5227">
            <v>21.04</v>
          </cell>
        </row>
        <row r="5228">
          <cell r="A5228">
            <v>4030</v>
          </cell>
          <cell r="B5228" t="str">
            <v>VEU POLIESTER</v>
          </cell>
          <cell r="C5228" t="str">
            <v xml:space="preserve">M2    </v>
          </cell>
          <cell r="D5228">
            <v>4.47</v>
          </cell>
        </row>
        <row r="5229">
          <cell r="A5229">
            <v>39399</v>
          </cell>
          <cell r="B5229" t="str">
            <v>VIBRADOR DE IMERSAO, COM PONTEIRA DE *35* MM, MANGOTE DE 5 M, SEM MOTOR</v>
          </cell>
          <cell r="C5229" t="str">
            <v xml:space="preserve">UN    </v>
          </cell>
          <cell r="D5229">
            <v>914.91</v>
          </cell>
        </row>
        <row r="5230">
          <cell r="A5230">
            <v>39400</v>
          </cell>
          <cell r="B5230" t="str">
            <v>VIBRADOR DE IMERSAO, COM PONTEIRA DE *45* MM, MANGOTE DE 5 M, SEM MOTOR.</v>
          </cell>
          <cell r="C5230" t="str">
            <v xml:space="preserve">UN    </v>
          </cell>
          <cell r="D5230">
            <v>994.47</v>
          </cell>
        </row>
        <row r="5231">
          <cell r="A5231">
            <v>39401</v>
          </cell>
          <cell r="B5231" t="str">
            <v>VIBRADOR DE IMERSAO, COM PONTEIRA DE *60* MM, MANGOTE DE 5 M, SEM MOTOR.</v>
          </cell>
          <cell r="C5231" t="str">
            <v xml:space="preserve">UN    </v>
          </cell>
          <cell r="D5231">
            <v>1115.56</v>
          </cell>
        </row>
        <row r="5232">
          <cell r="A5232">
            <v>11652</v>
          </cell>
          <cell r="B5232" t="str">
            <v>VIBRADOR DE IMERSAO, DIAMETRO DA PONTEIRA DE *35* MM, COM MOTOR 4 TEMPOS A GASOLINA DE 5,5 HP (5,5 CV)</v>
          </cell>
          <cell r="C5232" t="str">
            <v xml:space="preserve">UN    </v>
          </cell>
          <cell r="D5232">
            <v>2400</v>
          </cell>
        </row>
        <row r="5233">
          <cell r="A5233">
            <v>13896</v>
          </cell>
          <cell r="B5233" t="str">
            <v>VIBRADOR DE IMERSAO, DIAMETRO DA PONTEIRA DE *45* MM, COM MOTOR ELETRICO TRIFASICO DE 2 HP (2 CV)</v>
          </cell>
          <cell r="C5233" t="str">
            <v xml:space="preserve">UN    </v>
          </cell>
          <cell r="D5233">
            <v>2153.0100000000002</v>
          </cell>
        </row>
        <row r="5234">
          <cell r="A5234">
            <v>13475</v>
          </cell>
          <cell r="B5234" t="str">
            <v>VIBRADOR DE IMERSAO, DIAMETRO DA PONTEIRA DE *45* MM, COM MOTOR 4 TEMPOS A GASOLINA DE 5,5 HP (5,5 CV)</v>
          </cell>
          <cell r="C5234" t="str">
            <v xml:space="preserve">UN    </v>
          </cell>
          <cell r="D5234">
            <v>2622.62</v>
          </cell>
        </row>
        <row r="5235">
          <cell r="A5235">
            <v>25971</v>
          </cell>
          <cell r="B5235" t="str">
            <v>VIBROACABADORA DE ASFALTO SOBRE ESTEIRAS, LARG. PAVIM. MAX. 8,00 M, POT. 100 KW/ 134 HP, CAP. 600 T/ H</v>
          </cell>
          <cell r="C5235" t="str">
            <v xml:space="preserve">UN    </v>
          </cell>
          <cell r="D5235">
            <v>3134544.27</v>
          </cell>
        </row>
        <row r="5236">
          <cell r="A5236">
            <v>25970</v>
          </cell>
          <cell r="B5236" t="str">
            <v>VIBROACABADORA DE ASFALTO SOBRE ESTEIRAS, LARG. PAVIM. 2,13 M A 4,55 M, POT. 74 KW/ 100 HP, CAP. 400 T/ H</v>
          </cell>
          <cell r="C5236" t="str">
            <v xml:space="preserve">UN    </v>
          </cell>
          <cell r="D5236">
            <v>1319606.75</v>
          </cell>
        </row>
        <row r="5237">
          <cell r="A5237">
            <v>13476</v>
          </cell>
          <cell r="B5237" t="str">
            <v>VIBROACABADORA DE ASFALTO SOBRE ESTEIRAS, LARG. PAVIM. 2,60 M A 5,75 M, POT. 110 HP, CAP. 450 T/ H</v>
          </cell>
          <cell r="C5237" t="str">
            <v xml:space="preserve">UN    </v>
          </cell>
          <cell r="D5237">
            <v>1329169.22</v>
          </cell>
        </row>
        <row r="5238">
          <cell r="A5238">
            <v>10488</v>
          </cell>
          <cell r="B5238" t="str">
            <v>VIBROACABADORA DE ASFALTO SOBRE ESTEIRAS, LARG. PAVIMENT. 1,90 A 5,3 M, POT. 78 KW/105 HP, CAP. 450 T/H</v>
          </cell>
          <cell r="C5238" t="str">
            <v xml:space="preserve">UN    </v>
          </cell>
          <cell r="D5238">
            <v>1610302.81</v>
          </cell>
        </row>
        <row r="5239">
          <cell r="A5239">
            <v>13606</v>
          </cell>
          <cell r="B5239" t="str">
            <v>VIBROACABADORA DE ASFALTO SOBRE RODAS, LARGURA DE PAVIMENTACAO DE 1,70 A 4,20 M, POTENCIA 78 KW/105 HP, CAPACIDADE 300 T/H</v>
          </cell>
          <cell r="C5239" t="str">
            <v xml:space="preserve">UN    </v>
          </cell>
          <cell r="D5239">
            <v>1426705.26</v>
          </cell>
        </row>
        <row r="5240">
          <cell r="A5240">
            <v>10489</v>
          </cell>
          <cell r="B5240" t="str">
            <v>VIDRACEIRO</v>
          </cell>
          <cell r="C5240" t="str">
            <v xml:space="preserve">H     </v>
          </cell>
          <cell r="D5240">
            <v>14.17</v>
          </cell>
        </row>
        <row r="5241">
          <cell r="A5241">
            <v>41073</v>
          </cell>
          <cell r="B5241" t="str">
            <v>VIDRACEIRO (MENSALISTA)</v>
          </cell>
          <cell r="C5241" t="str">
            <v xml:space="preserve">MES   </v>
          </cell>
          <cell r="D5241">
            <v>2516.7600000000002</v>
          </cell>
        </row>
        <row r="5242">
          <cell r="A5242">
            <v>34391</v>
          </cell>
          <cell r="B5242" t="str">
            <v>VIDRO COMUM LAMINADO LISO INCOLOR DUPLO, ESPESSURA TOTAL 8 MM (CADA CAMADA DE 4 MM) - COLOCADO</v>
          </cell>
          <cell r="C5242" t="str">
            <v xml:space="preserve">M2    </v>
          </cell>
          <cell r="D5242">
            <v>531.94000000000005</v>
          </cell>
        </row>
        <row r="5243">
          <cell r="A5243">
            <v>10496</v>
          </cell>
          <cell r="B5243" t="str">
            <v>VIDRO COMUM LAMINADO, LISO, INCOLOR, DUPLO, ESPESSURA TOTAL 6 MM (CADA CAMADA E= 3 MM) - COLOCADO</v>
          </cell>
          <cell r="C5243" t="str">
            <v xml:space="preserve">M2    </v>
          </cell>
          <cell r="D5243">
            <v>463.05</v>
          </cell>
        </row>
        <row r="5244">
          <cell r="A5244">
            <v>10497</v>
          </cell>
          <cell r="B5244" t="str">
            <v>VIDRO COMUM LAMINADO, LISO, INCOLOR, TRIPLO, ESPESSURA TOTAL 12 MM (CADA CAMADA E=  4 MM) - COLOCADO</v>
          </cell>
          <cell r="C5244" t="str">
            <v xml:space="preserve">M2    </v>
          </cell>
          <cell r="D5244">
            <v>1203.94</v>
          </cell>
        </row>
        <row r="5245">
          <cell r="A5245">
            <v>10504</v>
          </cell>
          <cell r="B5245" t="str">
            <v>VIDRO COMUM LAMINADO, LISO, INCOLOR, TRIPLO, ESPESSURA TOTAL 15 MM (CADA CAMADA E = 5 MM) - COLOCADO</v>
          </cell>
          <cell r="C5245" t="str">
            <v xml:space="preserve">M2    </v>
          </cell>
          <cell r="D5245">
            <v>1407.68</v>
          </cell>
        </row>
        <row r="5246">
          <cell r="A5246">
            <v>34390</v>
          </cell>
          <cell r="B5246" t="str">
            <v>VIDRO CRISTAL COLORIDO, 10 MM, PINTADO NA COR BRANCA</v>
          </cell>
          <cell r="C5246" t="str">
            <v xml:space="preserve">M2    </v>
          </cell>
          <cell r="D5246">
            <v>414.89</v>
          </cell>
        </row>
        <row r="5247">
          <cell r="A5247">
            <v>34389</v>
          </cell>
          <cell r="B5247" t="str">
            <v>VIDRO CRISTAL COLORIDO, 4 MM, PINTADO NA COR BRANCA</v>
          </cell>
          <cell r="C5247" t="str">
            <v xml:space="preserve">M2    </v>
          </cell>
          <cell r="D5247">
            <v>129.65</v>
          </cell>
        </row>
        <row r="5248">
          <cell r="A5248">
            <v>34388</v>
          </cell>
          <cell r="B5248" t="str">
            <v>VIDRO CRISTAL COLORIDO, 6 MM, PINTADO NA COR BRANCA</v>
          </cell>
          <cell r="C5248" t="str">
            <v xml:space="preserve">M2    </v>
          </cell>
          <cell r="D5248">
            <v>184.26</v>
          </cell>
        </row>
        <row r="5249">
          <cell r="A5249">
            <v>34387</v>
          </cell>
          <cell r="B5249" t="str">
            <v>VIDRO CRISTAL COLORIDO, 8 MM, PINTADO NA COR BRANCA</v>
          </cell>
          <cell r="C5249" t="str">
            <v xml:space="preserve">M2    </v>
          </cell>
          <cell r="D5249">
            <v>299.13</v>
          </cell>
        </row>
        <row r="5250">
          <cell r="A5250">
            <v>11188</v>
          </cell>
          <cell r="B5250" t="str">
            <v>VIDRO LISO FUME E = 4MM - SEM COLOCACAO</v>
          </cell>
          <cell r="C5250" t="str">
            <v xml:space="preserve">M2    </v>
          </cell>
          <cell r="D5250">
            <v>148.16999999999999</v>
          </cell>
        </row>
        <row r="5251">
          <cell r="A5251">
            <v>11189</v>
          </cell>
          <cell r="B5251" t="str">
            <v>VIDRO LISO FUME E = 6MM - SEM COLOCACAO</v>
          </cell>
          <cell r="C5251" t="str">
            <v xml:space="preserve">M2    </v>
          </cell>
          <cell r="D5251">
            <v>222.26</v>
          </cell>
        </row>
        <row r="5252">
          <cell r="A5252">
            <v>21107</v>
          </cell>
          <cell r="B5252" t="str">
            <v>VIDRO LISO FUME, E = 5 MM - SEM COLOCACAO</v>
          </cell>
          <cell r="C5252" t="str">
            <v xml:space="preserve">M2    </v>
          </cell>
          <cell r="D5252">
            <v>159.94</v>
          </cell>
        </row>
        <row r="5253">
          <cell r="A5253">
            <v>34386</v>
          </cell>
          <cell r="B5253" t="str">
            <v>VIDRO LISO INCOLOR 10 MM - SEM COLOCACAO</v>
          </cell>
          <cell r="C5253" t="str">
            <v xml:space="preserve">M2    </v>
          </cell>
          <cell r="D5253">
            <v>277.83</v>
          </cell>
        </row>
        <row r="5254">
          <cell r="A5254">
            <v>10490</v>
          </cell>
          <cell r="B5254" t="str">
            <v>VIDRO LISO INCOLOR 2 A 3 MM - SEM COLOCACAO</v>
          </cell>
          <cell r="C5254" t="str">
            <v xml:space="preserve">M2    </v>
          </cell>
          <cell r="D5254">
            <v>83.35</v>
          </cell>
        </row>
        <row r="5255">
          <cell r="A5255">
            <v>10492</v>
          </cell>
          <cell r="B5255" t="str">
            <v>VIDRO LISO INCOLOR 4MM - SEM COLOCACAO</v>
          </cell>
          <cell r="C5255" t="str">
            <v xml:space="preserve">M2    </v>
          </cell>
          <cell r="D5255">
            <v>111.13</v>
          </cell>
        </row>
        <row r="5256">
          <cell r="A5256">
            <v>10493</v>
          </cell>
          <cell r="B5256" t="str">
            <v>VIDRO LISO INCOLOR 5MM - SEM COLOCACAO</v>
          </cell>
          <cell r="C5256" t="str">
            <v xml:space="preserve">M2    </v>
          </cell>
          <cell r="D5256">
            <v>129.65</v>
          </cell>
        </row>
        <row r="5257">
          <cell r="A5257">
            <v>10491</v>
          </cell>
          <cell r="B5257" t="str">
            <v>VIDRO LISO INCOLOR 6 MM - SEM COLOCACAO</v>
          </cell>
          <cell r="C5257" t="str">
            <v xml:space="preserve">M2    </v>
          </cell>
          <cell r="D5257">
            <v>157.43</v>
          </cell>
        </row>
        <row r="5258">
          <cell r="A5258">
            <v>34385</v>
          </cell>
          <cell r="B5258" t="str">
            <v>VIDRO LISO INCOLOR 8MM  -  SEM COLOCACAO</v>
          </cell>
          <cell r="C5258" t="str">
            <v xml:space="preserve">M2    </v>
          </cell>
          <cell r="D5258">
            <v>229.67</v>
          </cell>
        </row>
        <row r="5259">
          <cell r="A5259">
            <v>10499</v>
          </cell>
          <cell r="B5259" t="str">
            <v>VIDRO MARTELADO OU CANELADO, 4 MM - SEM COLOCACAO</v>
          </cell>
          <cell r="C5259" t="str">
            <v xml:space="preserve">M2    </v>
          </cell>
          <cell r="D5259">
            <v>92.61</v>
          </cell>
        </row>
        <row r="5260">
          <cell r="A5260">
            <v>34384</v>
          </cell>
          <cell r="B5260" t="str">
            <v>VIDRO PLANO ARAMADO E = 6 MM - SEM COLOCACAO</v>
          </cell>
          <cell r="C5260" t="str">
            <v xml:space="preserve">M2    </v>
          </cell>
          <cell r="D5260">
            <v>277.83</v>
          </cell>
        </row>
        <row r="5261">
          <cell r="A5261">
            <v>11185</v>
          </cell>
          <cell r="B5261" t="str">
            <v>VIDRO PLANO ARMADO E = 7MM - SEM COLOCACAO</v>
          </cell>
          <cell r="C5261" t="str">
            <v xml:space="preserve">M2    </v>
          </cell>
          <cell r="D5261">
            <v>287.08999999999997</v>
          </cell>
        </row>
        <row r="5262">
          <cell r="A5262">
            <v>10507</v>
          </cell>
          <cell r="B5262" t="str">
            <v>VIDRO TEMPERADO INCOLOR E = 10 MM, SEM COLOCACAO</v>
          </cell>
          <cell r="C5262" t="str">
            <v xml:space="preserve">M2    </v>
          </cell>
          <cell r="D5262">
            <v>339.31</v>
          </cell>
        </row>
        <row r="5263">
          <cell r="A5263">
            <v>10505</v>
          </cell>
          <cell r="B5263" t="str">
            <v>VIDRO TEMPERADO INCOLOR E = 6 MM, SEM COLOCACAO</v>
          </cell>
          <cell r="C5263" t="str">
            <v xml:space="preserve">M2    </v>
          </cell>
          <cell r="D5263">
            <v>200.21</v>
          </cell>
        </row>
        <row r="5264">
          <cell r="A5264">
            <v>10506</v>
          </cell>
          <cell r="B5264" t="str">
            <v>VIDRO TEMPERADO INCOLOR E = 8 MM, SEM COLOCACAO</v>
          </cell>
          <cell r="C5264" t="str">
            <v xml:space="preserve">M2    </v>
          </cell>
          <cell r="D5264">
            <v>261.36</v>
          </cell>
        </row>
        <row r="5265">
          <cell r="A5265">
            <v>5031</v>
          </cell>
          <cell r="B5265" t="str">
            <v>VIDRO TEMPERADO INCOLOR PARA PORTA DE ABRIR, E = 10 MM (SEM FERRAGENS E SEM COLOCACAO)</v>
          </cell>
          <cell r="C5265" t="str">
            <v xml:space="preserve">M2    </v>
          </cell>
          <cell r="D5265">
            <v>367</v>
          </cell>
        </row>
        <row r="5266">
          <cell r="A5266">
            <v>10502</v>
          </cell>
          <cell r="B5266" t="str">
            <v>VIDRO TEMPERADO VERDE E = 10 MM, SEM COLOCACAO</v>
          </cell>
          <cell r="C5266" t="str">
            <v xml:space="preserve">M2    </v>
          </cell>
          <cell r="D5266">
            <v>427.64</v>
          </cell>
        </row>
        <row r="5267">
          <cell r="A5267">
            <v>10501</v>
          </cell>
          <cell r="B5267" t="str">
            <v>VIDRO TEMPERADO VERDE E = 6 MM, SEM COLOCACAO</v>
          </cell>
          <cell r="C5267" t="str">
            <v xml:space="preserve">M2    </v>
          </cell>
          <cell r="D5267">
            <v>241.6</v>
          </cell>
        </row>
        <row r="5268">
          <cell r="A5268">
            <v>10503</v>
          </cell>
          <cell r="B5268" t="str">
            <v>VIDRO TEMPERADO VERDE E = 8 MM, SEM COLOCACAO</v>
          </cell>
          <cell r="C5268" t="str">
            <v xml:space="preserve">M2    </v>
          </cell>
          <cell r="D5268">
            <v>326.41000000000003</v>
          </cell>
        </row>
        <row r="5269">
          <cell r="A5269">
            <v>40270</v>
          </cell>
          <cell r="B5269" t="str">
            <v>VIGA DE ESCORAMAENTO H20, DE MADEIRA, PESO DE 5,00 A 5,20 KG/M, COM EXTREMIDADES PLASTICAS</v>
          </cell>
          <cell r="C5269" t="str">
            <v xml:space="preserve">M     </v>
          </cell>
          <cell r="D5269">
            <v>53.28</v>
          </cell>
        </row>
        <row r="5270">
          <cell r="A5270">
            <v>20213</v>
          </cell>
          <cell r="B5270" t="str">
            <v>VIGA DE MADEIRA APARELHADA *6 X 12* CM, MACARANDUBA, ANGELIM OU EQUIVALENTE DA REGIAO</v>
          </cell>
          <cell r="C5270" t="str">
            <v xml:space="preserve">M     </v>
          </cell>
          <cell r="D5270">
            <v>11.72</v>
          </cell>
        </row>
        <row r="5271">
          <cell r="A5271">
            <v>20211</v>
          </cell>
          <cell r="B5271" t="str">
            <v>VIGA DE MADEIRA APARELHADA *6 X 16* CM, MACARANDUBA, ANGELIM OU EQUIVALENTE DA REGIAO</v>
          </cell>
          <cell r="C5271" t="str">
            <v xml:space="preserve">M     </v>
          </cell>
          <cell r="D5271">
            <v>17.309999999999999</v>
          </cell>
        </row>
        <row r="5272">
          <cell r="A5272">
            <v>4472</v>
          </cell>
          <cell r="B5272" t="str">
            <v>VIGA DE MADEIRA NAO APARELHADA *6 X 16* CM, MACARANDUBA, ANGELIM OU EQUIVALENTE DA REGIAO</v>
          </cell>
          <cell r="C5272" t="str">
            <v xml:space="preserve">M     </v>
          </cell>
          <cell r="D5272">
            <v>15.13</v>
          </cell>
        </row>
        <row r="5273">
          <cell r="A5273">
            <v>35272</v>
          </cell>
          <cell r="B5273" t="str">
            <v>VIGA DE MADEIRA NAO APARELHADA *6 X 20* CM, MACARANDUBA, ANGELIM OU EQUIVALENTE DA REGIAO</v>
          </cell>
          <cell r="C5273" t="str">
            <v xml:space="preserve">M     </v>
          </cell>
          <cell r="D5273">
            <v>19.87</v>
          </cell>
        </row>
        <row r="5274">
          <cell r="A5274">
            <v>4448</v>
          </cell>
          <cell r="B5274" t="str">
            <v>VIGA DE MADEIRA NAO APARELHADA *7,5 X 15 CM (3 X 6 ") PINUS, MISTA OU EQUIVALENTE DA REGIAO</v>
          </cell>
          <cell r="C5274" t="str">
            <v xml:space="preserve">M     </v>
          </cell>
          <cell r="D5274">
            <v>32.590000000000003</v>
          </cell>
        </row>
        <row r="5275">
          <cell r="A5275">
            <v>4425</v>
          </cell>
          <cell r="B5275" t="str">
            <v>VIGA DE MADEIRA NAO APARELHADA 6 X 12 CM, MACARANDUBA, ANGELIM OU EQUIVALENTE DA REGIAO</v>
          </cell>
          <cell r="C5275" t="str">
            <v xml:space="preserve">M     </v>
          </cell>
          <cell r="D5275">
            <v>11.11</v>
          </cell>
        </row>
        <row r="5276">
          <cell r="A5276">
            <v>4481</v>
          </cell>
          <cell r="B5276" t="str">
            <v>VIGA DE MADEIRA NAO APARELHADA 8 X 16 CM, MACARANDUBA, ANGELIM OU EQUIVALENTE DA REGIAO</v>
          </cell>
          <cell r="C5276" t="str">
            <v xml:space="preserve">M     </v>
          </cell>
          <cell r="D5276">
            <v>20.48</v>
          </cell>
        </row>
        <row r="5277">
          <cell r="A5277">
            <v>34345</v>
          </cell>
          <cell r="B5277" t="str">
            <v>VIGIA DIURNO</v>
          </cell>
          <cell r="C5277" t="str">
            <v xml:space="preserve">H     </v>
          </cell>
          <cell r="D5277">
            <v>11.46</v>
          </cell>
        </row>
        <row r="5278">
          <cell r="A5278">
            <v>41096</v>
          </cell>
          <cell r="B5278" t="str">
            <v>VIGIA DIURNO (MENSALISTA)</v>
          </cell>
          <cell r="C5278" t="str">
            <v xml:space="preserve">MES   </v>
          </cell>
          <cell r="D5278">
            <v>2036.95</v>
          </cell>
        </row>
        <row r="5279">
          <cell r="A5279">
            <v>41776</v>
          </cell>
          <cell r="B5279" t="str">
            <v>VIGIA NOTURNO, HORA EFETIVAMENTE TRABALHADA DE 22 H AS 5 H (COM ADICIONAL NOTURNO)</v>
          </cell>
          <cell r="C5279" t="str">
            <v xml:space="preserve">H     </v>
          </cell>
          <cell r="D5279">
            <v>15.73</v>
          </cell>
        </row>
        <row r="5280">
          <cell r="A5280">
            <v>11157</v>
          </cell>
          <cell r="B5280" t="str">
            <v>WASH PRIMER PARA TINTA AUTOMOTIVA</v>
          </cell>
          <cell r="C5280" t="str">
            <v xml:space="preserve">GL    </v>
          </cell>
          <cell r="D5280">
            <v>142.30000000000001</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EM DESONERAÇÃO"/>
      <sheetName val="RESUMO SEM DESONERAÇÃO"/>
      <sheetName val="PLANILHA SEM DESON"/>
      <sheetName val="COMP CIVIL"/>
      <sheetName val="COMP ELE"/>
      <sheetName val="COMP ESTRUT"/>
      <sheetName val="COMP HIDR"/>
      <sheetName val="COMP ETE"/>
      <sheetName val="BDI NÃO DESONERADO"/>
      <sheetName val="QT IMPLANTAÇÃO ARQ"/>
      <sheetName val="QT ESTRUTURAL"/>
      <sheetName val="QTITATIVO ELÉTRICA"/>
      <sheetName val="QTITQTIVO ARQ"/>
      <sheetName val="QTITATIVO MURETA"/>
      <sheetName val="QTITQTIVO ETE - ADELMO"/>
      <sheetName val="LISTA DE MAT HIDROS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ória de Dimensionamento"/>
      <sheetName val="Memoria de Quantificação"/>
      <sheetName val="BANCO DE DADOS"/>
      <sheetName val="Folha3"/>
    </sheetNames>
    <sheetDataSet>
      <sheetData sheetId="0">
        <row r="32">
          <cell r="U32">
            <v>1</v>
          </cell>
          <cell r="AA32">
            <v>2</v>
          </cell>
        </row>
        <row r="60">
          <cell r="V60">
            <v>1.7000000000000002</v>
          </cell>
        </row>
        <row r="75">
          <cell r="H75">
            <v>1.8</v>
          </cell>
          <cell r="M75">
            <v>2.4</v>
          </cell>
        </row>
      </sheetData>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ontato@svgmetalurgica.com.br/%203682-6168" TargetMode="External"/><Relationship Id="rId2" Type="http://schemas.openxmlformats.org/officeDocument/2006/relationships/hyperlink" Target="mailto:contato@svgmetalurgica.com.br/%203682-6168" TargetMode="External"/><Relationship Id="rId1" Type="http://schemas.openxmlformats.org/officeDocument/2006/relationships/hyperlink" Target="mailto:contato@svgmetalurgica.com.br/%203682-6168" TargetMode="External"/><Relationship Id="rId6" Type="http://schemas.openxmlformats.org/officeDocument/2006/relationships/printerSettings" Target="../printerSettings/printerSettings4.bin"/><Relationship Id="rId5" Type="http://schemas.openxmlformats.org/officeDocument/2006/relationships/hyperlink" Target="mailto:contato@svgmetalurgica.com.br/%203682-6168" TargetMode="External"/><Relationship Id="rId4" Type="http://schemas.openxmlformats.org/officeDocument/2006/relationships/hyperlink" Target="mailto:contato@svgmetalurgica.com.br/%203682-616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vendas@paratec.com.br" TargetMode="External"/><Relationship Id="rId1" Type="http://schemas.openxmlformats.org/officeDocument/2006/relationships/hyperlink" Target="http://www.lojaeletrica.com.b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3"/>
  <sheetViews>
    <sheetView tabSelected="1" view="pageBreakPreview" topLeftCell="A7" zoomScaleNormal="100" zoomScaleSheetLayoutView="100" workbookViewId="0">
      <selection activeCell="H16" sqref="H16"/>
    </sheetView>
  </sheetViews>
  <sheetFormatPr defaultRowHeight="15"/>
  <cols>
    <col min="1" max="1" width="18.28515625" customWidth="1"/>
    <col min="2" max="2" width="15.85546875" customWidth="1"/>
    <col min="3" max="3" width="55.42578125" customWidth="1"/>
    <col min="4" max="4" width="15.140625" customWidth="1"/>
    <col min="5" max="5" width="10.85546875" customWidth="1"/>
    <col min="6" max="6" width="11.28515625" customWidth="1"/>
    <col min="7" max="7" width="10.5703125" customWidth="1"/>
    <col min="8" max="8" width="12" customWidth="1"/>
    <col min="9" max="9" width="15" customWidth="1"/>
  </cols>
  <sheetData>
    <row r="1" spans="1:9" ht="19.5" customHeight="1">
      <c r="A1" s="1802"/>
      <c r="B1" s="1803"/>
      <c r="C1" s="1804"/>
      <c r="D1" s="1805"/>
      <c r="E1" s="1805"/>
      <c r="F1" s="23"/>
      <c r="G1" s="23"/>
      <c r="H1" s="19"/>
      <c r="I1" s="19"/>
    </row>
    <row r="2" spans="1:9" ht="18.75" customHeight="1">
      <c r="A2" s="1888"/>
      <c r="B2" s="1888"/>
      <c r="C2" s="1888"/>
      <c r="D2" s="1888"/>
      <c r="E2" s="1888"/>
      <c r="F2" s="23"/>
      <c r="G2" s="23"/>
      <c r="H2" s="19"/>
      <c r="I2" s="19"/>
    </row>
    <row r="3" spans="1:9" ht="15.75" customHeight="1">
      <c r="A3" s="1888"/>
      <c r="B3" s="1888"/>
      <c r="C3" s="1888"/>
      <c r="D3" s="1888"/>
      <c r="E3" s="1888"/>
      <c r="F3" s="24"/>
      <c r="G3" s="24"/>
      <c r="H3" s="19"/>
      <c r="I3" s="19"/>
    </row>
    <row r="4" spans="1:9" ht="15.75" customHeight="1">
      <c r="A4" s="1806"/>
      <c r="B4" s="1806"/>
      <c r="C4" s="1807"/>
      <c r="D4" s="1808"/>
      <c r="E4" s="1808"/>
      <c r="F4" s="22"/>
      <c r="G4" s="22"/>
      <c r="H4" s="19"/>
      <c r="I4" s="19"/>
    </row>
    <row r="5" spans="1:9" ht="17.25" customHeight="1">
      <c r="A5" s="1806"/>
      <c r="B5" s="1806"/>
      <c r="C5" s="1809"/>
      <c r="D5" s="1808"/>
      <c r="E5" s="1808"/>
      <c r="F5" s="22"/>
      <c r="G5" s="22"/>
      <c r="H5" s="19"/>
      <c r="I5" s="19"/>
    </row>
    <row r="6" spans="1:9" ht="16.5" customHeight="1" thickBot="1">
      <c r="A6" s="1806"/>
      <c r="B6" s="1806"/>
      <c r="C6" s="1809"/>
      <c r="D6" s="1808"/>
      <c r="E6" s="1808"/>
      <c r="F6" s="22"/>
      <c r="G6" s="22"/>
      <c r="H6" s="19"/>
      <c r="I6" s="19"/>
    </row>
    <row r="7" spans="1:9" ht="17.25" customHeight="1">
      <c r="A7" s="376" t="s">
        <v>0</v>
      </c>
      <c r="B7" s="1889" t="str">
        <f>'PLANILHA SEM DESON'!B9:C9</f>
        <v>SEMA-PRO-2022/00145</v>
      </c>
      <c r="C7" s="1889"/>
      <c r="D7" s="377"/>
      <c r="E7" s="378"/>
    </row>
    <row r="8" spans="1:9" ht="31.5" customHeight="1">
      <c r="A8" s="12" t="str">
        <f>'PLANILHA SEM DESON'!A10</f>
        <v>OBRA:</v>
      </c>
      <c r="B8" s="1890" t="str">
        <f>'PLANILHA SEM DESON'!B10:C10</f>
        <v>CONSTRUÇÃO DE DIRETORIA DE UNIDADE DESCONCENTRADA DA SEMA - DUDS</v>
      </c>
      <c r="C8" s="1890"/>
      <c r="D8" s="374">
        <f>'PLANILHA SEM DESON'!I12</f>
        <v>0</v>
      </c>
      <c r="E8" s="956">
        <f>'PLANILHA SEM DESON'!J12</f>
        <v>0</v>
      </c>
    </row>
    <row r="9" spans="1:9">
      <c r="A9" s="12" t="str">
        <f>'PLANILHA SEM DESON'!A11</f>
        <v>ENDEREÇO:</v>
      </c>
      <c r="B9" s="1891" t="str">
        <f>'PLANILHA SEM DESON'!B11:B11</f>
        <v>Rua Erichin, esquina com Rua Circular - Bairro Residencial Arco Íris</v>
      </c>
      <c r="C9" s="1892"/>
      <c r="D9" s="374" t="str">
        <f>'PLANILHA SEM DESON'!I13</f>
        <v>Prazo:</v>
      </c>
      <c r="E9" s="375" t="str">
        <f>'PLANILHA SEM DESON'!J13</f>
        <v>120 dias</v>
      </c>
    </row>
    <row r="10" spans="1:9">
      <c r="A10" s="12" t="str">
        <f>'PLANILHA SEM DESON'!A12</f>
        <v>MUNICÍPIO:</v>
      </c>
      <c r="B10" s="1891" t="str">
        <f>'PLANILHA SEM DESON'!B12:C12</f>
        <v>CONFRESA - MT</v>
      </c>
      <c r="C10" s="1892"/>
      <c r="D10" s="374" t="str">
        <f>'PLANILHA SEM DESON'!I11</f>
        <v>BDI:</v>
      </c>
      <c r="E10" s="536">
        <f>'PLANILHA SEM DESON'!J11</f>
        <v>0.2223</v>
      </c>
    </row>
    <row r="11" spans="1:9" ht="15.75" customHeight="1" thickBot="1">
      <c r="A11" s="1737" t="str">
        <f>'PLANILHA SEM DESON'!A13</f>
        <v>ASSUNTO:</v>
      </c>
      <c r="B11" s="1893" t="str">
        <f>'PLANILHA SEM DESON'!B13</f>
        <v xml:space="preserve">CONSTRUÇÃO </v>
      </c>
      <c r="C11" s="1894"/>
      <c r="D11" s="1738"/>
      <c r="E11" s="1739"/>
    </row>
    <row r="12" spans="1:9" ht="6.75" customHeight="1" thickBot="1">
      <c r="A12" s="951"/>
      <c r="B12" s="309"/>
      <c r="C12" s="4"/>
      <c r="D12" s="11"/>
      <c r="E12" s="11"/>
      <c r="F12" s="16"/>
    </row>
    <row r="13" spans="1:9" ht="16.5" thickBot="1">
      <c r="A13" s="1895" t="s">
        <v>27</v>
      </c>
      <c r="B13" s="1896"/>
      <c r="C13" s="1896"/>
      <c r="D13" s="1896"/>
      <c r="E13" s="1897"/>
    </row>
    <row r="14" spans="1:9" ht="13.5" customHeight="1">
      <c r="A14" s="379" t="s">
        <v>28</v>
      </c>
      <c r="B14" s="1898" t="s">
        <v>29</v>
      </c>
      <c r="C14" s="1899"/>
      <c r="D14" s="380" t="s">
        <v>30</v>
      </c>
      <c r="E14" s="381" t="s">
        <v>31</v>
      </c>
    </row>
    <row r="15" spans="1:9" ht="15.75">
      <c r="A15" s="68">
        <f>'PLANILHA SEM DESON'!A16</f>
        <v>1</v>
      </c>
      <c r="B15" s="1900" t="str">
        <f>'PLANILHA SEM DESON'!C16</f>
        <v>ADMINISTRAÇÃO LOCAL</v>
      </c>
      <c r="C15" s="1901"/>
      <c r="D15" s="5">
        <f>'PLANILHA SEM DESON'!J18</f>
        <v>98078.52</v>
      </c>
      <c r="E15" s="6">
        <f t="shared" ref="E15:E38" si="0">(D15/$D$38)*100</f>
        <v>4.5671927901005489</v>
      </c>
    </row>
    <row r="16" spans="1:9" ht="15.75">
      <c r="A16" s="68">
        <f>'PLANILHA SEM DESON'!A19</f>
        <v>2</v>
      </c>
      <c r="B16" s="1879" t="str">
        <f>'PLANILHA SEM DESON'!C19</f>
        <v>SERVIÇO PRELIMINARES</v>
      </c>
      <c r="C16" s="1880"/>
      <c r="D16" s="5">
        <f>'PLANILHA SEM DESON'!J34</f>
        <v>171005.48</v>
      </c>
      <c r="E16" s="6">
        <f t="shared" si="0"/>
        <v>7.9631604894087289</v>
      </c>
    </row>
    <row r="17" spans="1:5" ht="15.75">
      <c r="A17" s="68">
        <f>'PLANILHA SEM DESON'!A35</f>
        <v>3</v>
      </c>
      <c r="B17" s="1879" t="str">
        <f>'PLANILHA SEM DESON'!C35</f>
        <v>MOVIMENTO DE TERRA</v>
      </c>
      <c r="C17" s="1902"/>
      <c r="D17" s="5">
        <f>'PLANILHA SEM DESON'!J39</f>
        <v>44178.84</v>
      </c>
      <c r="E17" s="6">
        <f t="shared" si="0"/>
        <v>2.0572626862946719</v>
      </c>
    </row>
    <row r="18" spans="1:5" ht="15.75">
      <c r="A18" s="952">
        <f>'PLANILHA SEM DESON'!A40</f>
        <v>4</v>
      </c>
      <c r="B18" s="1877" t="str">
        <f>'PLANILHA SEM DESON'!C40</f>
        <v>ESTRUTURA EM CONCRETO ARMADO</v>
      </c>
      <c r="C18" s="1878"/>
      <c r="D18" s="953">
        <f>'PLANILHA SEM DESON'!J94</f>
        <v>251783.18</v>
      </c>
      <c r="E18" s="6">
        <f t="shared" si="0"/>
        <v>11.724711224889903</v>
      </c>
    </row>
    <row r="19" spans="1:5" ht="16.5" customHeight="1">
      <c r="A19" s="954">
        <f>'PLANILHA SEM DESON'!A95</f>
        <v>5</v>
      </c>
      <c r="B19" s="1879" t="str">
        <f>'PLANILHA SEM DESON'!C95</f>
        <v>FECHAMENTOS EM ALVENARIA</v>
      </c>
      <c r="C19" s="1880"/>
      <c r="D19" s="955">
        <f>'PLANILHA SEM DESON'!J104</f>
        <v>95018.42</v>
      </c>
      <c r="E19" s="6">
        <f t="shared" si="0"/>
        <v>4.4246940385187896</v>
      </c>
    </row>
    <row r="20" spans="1:5" ht="16.5" customHeight="1">
      <c r="A20" s="954">
        <f>'PLANILHA SEM DESON'!A105</f>
        <v>6</v>
      </c>
      <c r="B20" s="1879" t="str">
        <f>'PLANILHA SEM DESON'!C105</f>
        <v>REVESTIMENTO DE PISO</v>
      </c>
      <c r="C20" s="1880"/>
      <c r="D20" s="955">
        <f>'PLANILHA SEM DESON'!J113</f>
        <v>88997.64</v>
      </c>
      <c r="E20" s="6">
        <f t="shared" si="0"/>
        <v>4.1443261964389775</v>
      </c>
    </row>
    <row r="21" spans="1:5" ht="16.5" customHeight="1">
      <c r="A21" s="954">
        <f>'PLANILHA SEM DESON'!A114</f>
        <v>7</v>
      </c>
      <c r="B21" s="1879" t="str">
        <f>'PLANILHA SEM DESON'!C114</f>
        <v>REVESTIMENTO DE PAREDE</v>
      </c>
      <c r="C21" s="1880"/>
      <c r="D21" s="955">
        <f>'PLANILHA SEM DESON'!J125</f>
        <v>101397.57</v>
      </c>
      <c r="E21" s="6">
        <f t="shared" si="0"/>
        <v>4.7217499880474936</v>
      </c>
    </row>
    <row r="22" spans="1:5" ht="15.75">
      <c r="A22" s="954">
        <f>'PLANILHA SEM DESON'!A126</f>
        <v>8</v>
      </c>
      <c r="B22" s="1879" t="str">
        <f>'PLANILHA SEM DESON'!C126</f>
        <v>ESQUADRIAS</v>
      </c>
      <c r="C22" s="1880"/>
      <c r="D22" s="955">
        <f>'PLANILHA SEM DESON'!J142</f>
        <v>76098.899999999994</v>
      </c>
      <c r="E22" s="6">
        <f t="shared" si="0"/>
        <v>3.5436744703588783</v>
      </c>
    </row>
    <row r="23" spans="1:5" ht="15.75" customHeight="1">
      <c r="A23" s="954">
        <f>'PLANILHA SEM DESON'!A143</f>
        <v>9</v>
      </c>
      <c r="B23" s="1879" t="str">
        <f>'PLANILHA SEM DESON'!C143</f>
        <v>PINTURA</v>
      </c>
      <c r="C23" s="1880"/>
      <c r="D23" s="955">
        <f>'PLANILHA SEM DESON'!J156</f>
        <v>53678.07</v>
      </c>
      <c r="E23" s="6">
        <f t="shared" si="0"/>
        <v>2.4996104579322016</v>
      </c>
    </row>
    <row r="24" spans="1:5" ht="15.75" customHeight="1">
      <c r="A24" s="954" t="str">
        <f>'PLANILHA SEM DESON'!A158</f>
        <v>10.1</v>
      </c>
      <c r="B24" s="1879" t="str">
        <f>'PLANILHA SEM DESON'!C158</f>
        <v>ESTRUTURA METÁLICA</v>
      </c>
      <c r="C24" s="1880"/>
      <c r="D24" s="955">
        <f>'PLANILHA SEM DESON'!J163</f>
        <v>62881.24</v>
      </c>
      <c r="E24" s="6">
        <f t="shared" si="0"/>
        <v>2.9281716930535073</v>
      </c>
    </row>
    <row r="25" spans="1:5" ht="15.75" customHeight="1">
      <c r="A25" s="954" t="str">
        <f>'PLANILHA SEM DESON'!A164</f>
        <v>10.2</v>
      </c>
      <c r="B25" s="1879" t="str">
        <f>'PLANILHA SEM DESON'!C164</f>
        <v>TELHAMENTO E ACESSÓRIOS</v>
      </c>
      <c r="C25" s="1880"/>
      <c r="D25" s="955">
        <f>'PLANILHA SEM DESON'!J166</f>
        <v>50739.56</v>
      </c>
      <c r="E25" s="6">
        <f t="shared" si="0"/>
        <v>2.3627737511217974</v>
      </c>
    </row>
    <row r="26" spans="1:5" ht="15.75">
      <c r="A26" s="954">
        <f>'PLANILHA SEM DESON'!A167</f>
        <v>11</v>
      </c>
      <c r="B26" s="1879" t="str">
        <f>'PLANILHA SEM DESON'!C167</f>
        <v>INSTALAÇÕES ELÉTRICAS</v>
      </c>
      <c r="C26" s="1880"/>
      <c r="D26" s="955">
        <f>'PLANILHA SEM DESON'!J219</f>
        <v>37783.11</v>
      </c>
      <c r="E26" s="6">
        <f t="shared" si="0"/>
        <v>1.7594346609183742</v>
      </c>
    </row>
    <row r="27" spans="1:5" ht="15.75">
      <c r="A27" s="954" t="str">
        <f>'PLANILHA SEM DESON'!A220</f>
        <v>11.2</v>
      </c>
      <c r="B27" s="1879" t="str">
        <f>'PLANILHA SEM DESON'!C220</f>
        <v xml:space="preserve">CABEAMENTO ESTRUTURADO </v>
      </c>
      <c r="C27" s="1880"/>
      <c r="D27" s="955">
        <f>'PLANILHA SEM DESON'!J249</f>
        <v>27298.26</v>
      </c>
      <c r="E27" s="6">
        <f t="shared" si="0"/>
        <v>1.2711898207098784</v>
      </c>
    </row>
    <row r="28" spans="1:5" ht="15.75">
      <c r="A28" s="954">
        <f>'PLANILHA SEM DESON'!A250</f>
        <v>12</v>
      </c>
      <c r="B28" s="1879" t="str">
        <f>'PLANILHA SEM DESON'!C250</f>
        <v>SPDA</v>
      </c>
      <c r="C28" s="1880"/>
      <c r="D28" s="955">
        <f>'PLANILHA SEM DESON'!J258</f>
        <v>27158.639999999999</v>
      </c>
      <c r="E28" s="6">
        <f t="shared" si="0"/>
        <v>1.264688178379286</v>
      </c>
    </row>
    <row r="29" spans="1:5" ht="15.75">
      <c r="A29" s="954">
        <f>'PLANILHA SEM DESON'!A259</f>
        <v>13</v>
      </c>
      <c r="B29" s="1879" t="str">
        <f>'PLANILHA SEM DESON'!C259</f>
        <v>INSTALAÇÕES HIDRÁULICAS</v>
      </c>
      <c r="C29" s="1880"/>
      <c r="D29" s="955">
        <f>'PLANILHA SEM DESON'!J290</f>
        <v>18018.419999999998</v>
      </c>
      <c r="E29" s="6">
        <f t="shared" si="0"/>
        <v>0.8390583168771667</v>
      </c>
    </row>
    <row r="30" spans="1:5" ht="15.75">
      <c r="A30" s="954">
        <f>'PLANILHA SEM DESON'!A291</f>
        <v>14</v>
      </c>
      <c r="B30" s="1879" t="str">
        <f>'PLANILHA SEM DESON'!C291</f>
        <v>APARELHOS E METAIS</v>
      </c>
      <c r="C30" s="1880"/>
      <c r="D30" s="955">
        <f>'PLANILHA SEM DESON'!J307</f>
        <v>10049.040000000001</v>
      </c>
      <c r="E30" s="6">
        <f t="shared" si="0"/>
        <v>0.4679506076909809</v>
      </c>
    </row>
    <row r="31" spans="1:5" ht="15.75">
      <c r="A31" s="954" t="str">
        <f>'PLANILHA SEM DESON'!A309</f>
        <v>15.1</v>
      </c>
      <c r="B31" s="1879" t="str">
        <f>'PLANILHA SEM DESON'!C309</f>
        <v>SERVIÇOS DE INSTALAÇÕES SANITÁRIAS</v>
      </c>
      <c r="C31" s="1880"/>
      <c r="D31" s="955">
        <f>'PLANILHA SEM DESON'!J336</f>
        <v>7720.29</v>
      </c>
      <c r="E31" s="6">
        <f t="shared" si="0"/>
        <v>0.35950841046016363</v>
      </c>
    </row>
    <row r="32" spans="1:5" ht="15.75">
      <c r="A32" s="954" t="str">
        <f>'PLANILHA SEM DESON'!A338</f>
        <v>15.2.1</v>
      </c>
      <c r="B32" s="1879" t="str">
        <f>'PLANILHA SEM DESON'!C338</f>
        <v xml:space="preserve">SUMIDOURO CIRCULAR, EM ALVENARIA COM TIJOLOS CERÂMICOS MACIÇOS, DIMENSÕES INTERNAS: DIAMETRO 2,84 M, ALTURA 3,00 M, ÁREA DE INFILTRAÇÃO: 132,40 M² </v>
      </c>
      <c r="C32" s="1880"/>
      <c r="D32" s="955">
        <f>'PLANILHA SEM DESON'!J349</f>
        <v>6913.8</v>
      </c>
      <c r="E32" s="6">
        <f t="shared" si="0"/>
        <v>0.32195283444527079</v>
      </c>
    </row>
    <row r="33" spans="1:5" ht="15.75">
      <c r="A33" s="954" t="str">
        <f>'PLANILHA SEM DESON'!A350</f>
        <v>15.2.2</v>
      </c>
      <c r="B33" s="1879" t="str">
        <f>'PLANILHA SEM DESON'!C350</f>
        <v>FOSSA SÉPTICA E FILTRO ANAERÓBIO CONJUGADO EM BLOCO DE CONCRETO</v>
      </c>
      <c r="C33" s="1880"/>
      <c r="D33" s="955">
        <f>'PLANILHA SEM DESON'!J363</f>
        <v>9308.7999999999993</v>
      </c>
      <c r="E33" s="6">
        <f t="shared" si="0"/>
        <v>0.43348007539763028</v>
      </c>
    </row>
    <row r="34" spans="1:5" ht="15.75">
      <c r="A34" s="954">
        <f>'PLANILHA SEM DESON'!A364</f>
        <v>16</v>
      </c>
      <c r="B34" s="1879" t="str">
        <f>'PLANILHA SEM DESON'!C364</f>
        <v xml:space="preserve">BANCADAS, RODABANCADAS, DIVISÓRIAS E REQUADRO EM GRANITO </v>
      </c>
      <c r="C34" s="1880"/>
      <c r="D34" s="955">
        <f>'PLANILHA SEM DESON'!J371</f>
        <v>12834.04</v>
      </c>
      <c r="E34" s="6">
        <f t="shared" si="0"/>
        <v>0.59763886073996686</v>
      </c>
    </row>
    <row r="35" spans="1:5" ht="15.75">
      <c r="A35" s="954">
        <f>'PLANILHA SEM DESON'!A372</f>
        <v>17</v>
      </c>
      <c r="B35" s="1879" t="str">
        <f>'PLANILHA SEM DESON'!C372</f>
        <v>MURETA COM GRADIL</v>
      </c>
      <c r="C35" s="1880"/>
      <c r="D35" s="955">
        <f>'PLANILHA SEM DESON'!J407</f>
        <v>616138.52</v>
      </c>
      <c r="E35" s="6">
        <f t="shared" si="0"/>
        <v>28.691536192096123</v>
      </c>
    </row>
    <row r="36" spans="1:5" ht="15.75">
      <c r="A36" s="954">
        <f>'PLANILHA SEM DESON'!A408</f>
        <v>18</v>
      </c>
      <c r="B36" s="1879" t="str">
        <f>'PLANILHA SEM DESON'!C408</f>
        <v>SERVIÇOS CONSTRUTIVOS COMPLEMENTARES</v>
      </c>
      <c r="C36" s="1880"/>
      <c r="D36" s="955">
        <f>'PLANILHA SEM DESON'!J423</f>
        <v>277761.17</v>
      </c>
      <c r="E36" s="6">
        <f t="shared" si="0"/>
        <v>12.934420431648977</v>
      </c>
    </row>
    <row r="37" spans="1:5" ht="15.75">
      <c r="A37" s="954">
        <f>'PLANILHA SEM DESON'!A424</f>
        <v>19</v>
      </c>
      <c r="B37" s="1879" t="str">
        <f>'PLANILHA SEM DESON'!C424</f>
        <v>LIMPEZA GERAL</v>
      </c>
      <c r="C37" s="1880"/>
      <c r="D37" s="955">
        <f>'PLANILHA SEM DESON'!J428</f>
        <v>2615.9</v>
      </c>
      <c r="E37" s="6">
        <f t="shared" si="0"/>
        <v>0.12181382447067948</v>
      </c>
    </row>
    <row r="38" spans="1:5" ht="15.75">
      <c r="A38" s="1885" t="s">
        <v>25</v>
      </c>
      <c r="B38" s="1886"/>
      <c r="C38" s="1887"/>
      <c r="D38" s="7">
        <f>TRUNC(SUM(D15:D37),2)</f>
        <v>2147457.41</v>
      </c>
      <c r="E38" s="6">
        <f t="shared" si="0"/>
        <v>100</v>
      </c>
    </row>
    <row r="39" spans="1:5" ht="15.75">
      <c r="A39" s="1881"/>
      <c r="B39" s="1882"/>
      <c r="C39" s="17" t="s">
        <v>32</v>
      </c>
      <c r="D39" s="1883">
        <f>D38</f>
        <v>2147457.41</v>
      </c>
      <c r="E39" s="1884"/>
    </row>
    <row r="40" spans="1:5">
      <c r="A40" s="1829"/>
      <c r="B40" s="1829"/>
      <c r="C40" s="1829"/>
      <c r="D40" s="1829"/>
      <c r="E40" s="1829"/>
    </row>
    <row r="41" spans="1:5">
      <c r="A41" s="1829"/>
      <c r="B41" s="1829"/>
      <c r="C41" s="1829"/>
      <c r="D41" s="1829"/>
      <c r="E41" s="1830" t="s">
        <v>2849</v>
      </c>
    </row>
    <row r="42" spans="1:5">
      <c r="A42" s="1829"/>
      <c r="B42" s="1829"/>
      <c r="C42" s="1829"/>
      <c r="D42" s="1829"/>
      <c r="E42" s="1829"/>
    </row>
    <row r="43" spans="1:5">
      <c r="A43" s="1829"/>
      <c r="B43" s="1829"/>
      <c r="C43" s="1829"/>
      <c r="D43" s="1829"/>
      <c r="E43" s="1829"/>
    </row>
    <row r="44" spans="1:5">
      <c r="A44" s="1829"/>
      <c r="B44" s="1829"/>
      <c r="C44" s="1829"/>
      <c r="D44" s="1829"/>
      <c r="E44" s="1829"/>
    </row>
    <row r="45" spans="1:5">
      <c r="A45" s="1829"/>
      <c r="B45" s="1829"/>
      <c r="C45" s="1829"/>
      <c r="D45" s="1829"/>
      <c r="E45" s="1829"/>
    </row>
    <row r="46" spans="1:5">
      <c r="A46" s="1829"/>
      <c r="B46" s="1829"/>
      <c r="C46" s="1829"/>
      <c r="D46" s="1829"/>
      <c r="E46" s="1829"/>
    </row>
    <row r="47" spans="1:5">
      <c r="A47" s="1903" t="s">
        <v>2850</v>
      </c>
      <c r="B47" s="1903"/>
      <c r="C47" s="1903"/>
      <c r="D47" s="1903"/>
      <c r="E47" s="1903"/>
    </row>
    <row r="48" spans="1:5">
      <c r="A48" s="1903" t="s">
        <v>2847</v>
      </c>
      <c r="B48" s="1903"/>
      <c r="C48" s="1903"/>
      <c r="D48" s="1903"/>
      <c r="E48" s="1903"/>
    </row>
    <row r="49" spans="1:5">
      <c r="A49" s="1903" t="s">
        <v>2851</v>
      </c>
      <c r="B49" s="1903"/>
      <c r="C49" s="1903"/>
      <c r="D49" s="1903"/>
      <c r="E49" s="1903"/>
    </row>
    <row r="50" spans="1:5">
      <c r="A50" s="1903" t="s">
        <v>2852</v>
      </c>
      <c r="B50" s="1903"/>
      <c r="C50" s="1903"/>
      <c r="D50" s="1903"/>
      <c r="E50" s="1903"/>
    </row>
    <row r="51" spans="1:5">
      <c r="A51" s="1903" t="s">
        <v>2848</v>
      </c>
      <c r="B51" s="1903"/>
      <c r="C51" s="1903"/>
      <c r="D51" s="1903"/>
      <c r="E51" s="1903"/>
    </row>
    <row r="52" spans="1:5">
      <c r="A52" s="1829"/>
      <c r="B52" s="1829"/>
      <c r="C52" s="1829"/>
      <c r="D52" s="1829"/>
      <c r="E52" s="1829"/>
    </row>
    <row r="53" spans="1:5">
      <c r="A53" s="1829"/>
      <c r="B53" s="1829"/>
      <c r="C53" s="1829"/>
      <c r="D53" s="1829"/>
      <c r="E53" s="1829"/>
    </row>
  </sheetData>
  <mergeCells count="40">
    <mergeCell ref="A47:E47"/>
    <mergeCell ref="A48:E48"/>
    <mergeCell ref="A49:E49"/>
    <mergeCell ref="A50:E50"/>
    <mergeCell ref="A51:E51"/>
    <mergeCell ref="B34:C34"/>
    <mergeCell ref="B35:C35"/>
    <mergeCell ref="A2:E2"/>
    <mergeCell ref="A3:E3"/>
    <mergeCell ref="B7:C7"/>
    <mergeCell ref="B8:C8"/>
    <mergeCell ref="B9:C9"/>
    <mergeCell ref="B10:C10"/>
    <mergeCell ref="B11:C11"/>
    <mergeCell ref="A13:E13"/>
    <mergeCell ref="B14:C14"/>
    <mergeCell ref="B27:C27"/>
    <mergeCell ref="B29:C29"/>
    <mergeCell ref="B15:C15"/>
    <mergeCell ref="B17:C17"/>
    <mergeCell ref="B16:C16"/>
    <mergeCell ref="B36:C36"/>
    <mergeCell ref="B37:C37"/>
    <mergeCell ref="A39:B39"/>
    <mergeCell ref="D39:E39"/>
    <mergeCell ref="A38:C38"/>
    <mergeCell ref="B31:C31"/>
    <mergeCell ref="B32:C32"/>
    <mergeCell ref="B33:C33"/>
    <mergeCell ref="B22:C22"/>
    <mergeCell ref="B26:C26"/>
    <mergeCell ref="B28:C28"/>
    <mergeCell ref="B30:C30"/>
    <mergeCell ref="B25:C25"/>
    <mergeCell ref="B18:C18"/>
    <mergeCell ref="B20:C20"/>
    <mergeCell ref="B19:C19"/>
    <mergeCell ref="B21:C21"/>
    <mergeCell ref="B24:C24"/>
    <mergeCell ref="B23:C23"/>
  </mergeCells>
  <printOptions horizontalCentered="1"/>
  <pageMargins left="0.39370078740157483" right="0.39370078740157483" top="0.39370078740157483"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37"/>
  <sheetViews>
    <sheetView tabSelected="1" view="pageBreakPreview" topLeftCell="A414" zoomScaleNormal="90" zoomScaleSheetLayoutView="100" workbookViewId="0">
      <selection activeCell="H16" sqref="H16"/>
    </sheetView>
  </sheetViews>
  <sheetFormatPr defaultRowHeight="15"/>
  <cols>
    <col min="1" max="2" width="16.42578125" customWidth="1"/>
    <col min="3" max="3" width="78.7109375" customWidth="1"/>
    <col min="5" max="5" width="11.140625" hidden="1" customWidth="1"/>
    <col min="6" max="6" width="11.140625" customWidth="1"/>
    <col min="7" max="7" width="9.28515625" customWidth="1"/>
    <col min="8" max="8" width="9.140625" hidden="1" customWidth="1"/>
    <col min="9" max="9" width="11.28515625" customWidth="1"/>
    <col min="10" max="10" width="13" customWidth="1"/>
    <col min="11" max="11" width="17" hidden="1" customWidth="1"/>
    <col min="12" max="12" width="33.28515625" hidden="1" customWidth="1"/>
    <col min="13" max="13" width="30.140625" hidden="1" customWidth="1"/>
    <col min="14" max="14" width="10" hidden="1" customWidth="1"/>
    <col min="15" max="15" width="10.28515625" hidden="1" customWidth="1"/>
    <col min="16" max="16" width="0" hidden="1" customWidth="1"/>
    <col min="23" max="23" width="11.7109375" customWidth="1"/>
  </cols>
  <sheetData>
    <row r="1" spans="1:23" ht="30" hidden="1">
      <c r="A1" s="1690"/>
      <c r="B1" s="1690"/>
      <c r="C1" s="1691"/>
      <c r="D1" s="21"/>
      <c r="E1" s="21"/>
      <c r="F1" s="21"/>
      <c r="G1" s="1690"/>
      <c r="H1" s="1690"/>
      <c r="I1" s="1692"/>
      <c r="J1" s="19"/>
      <c r="V1" s="1799"/>
    </row>
    <row r="2" spans="1:23" ht="15.75" hidden="1">
      <c r="A2" s="1192"/>
      <c r="B2" s="1192"/>
      <c r="C2" s="121"/>
      <c r="D2" s="121"/>
      <c r="E2" s="121"/>
      <c r="F2" s="121"/>
      <c r="G2" s="121"/>
      <c r="H2" s="121"/>
      <c r="I2" s="121"/>
      <c r="J2" s="19"/>
    </row>
    <row r="3" spans="1:23" ht="15.75" hidden="1">
      <c r="A3" s="1192"/>
      <c r="B3" s="1192"/>
      <c r="C3" s="1913"/>
      <c r="D3" s="1913"/>
      <c r="E3" s="1913"/>
      <c r="F3" s="1913"/>
      <c r="G3" s="1913"/>
      <c r="H3" s="1913"/>
      <c r="I3" s="1913"/>
      <c r="J3" s="19"/>
    </row>
    <row r="4" spans="1:23" ht="15.75" hidden="1">
      <c r="A4" s="1192"/>
      <c r="B4" s="1192"/>
      <c r="C4" s="1913"/>
      <c r="D4" s="1913"/>
      <c r="E4" s="1913"/>
      <c r="F4" s="1913"/>
      <c r="G4" s="1913"/>
      <c r="H4" s="1913"/>
      <c r="I4" s="1913"/>
      <c r="J4" s="19"/>
    </row>
    <row r="5" spans="1:23" ht="15.75" hidden="1">
      <c r="A5" s="1192"/>
      <c r="B5" s="1192"/>
      <c r="C5" s="1913"/>
      <c r="D5" s="1913"/>
      <c r="E5" s="1913"/>
      <c r="F5" s="1913"/>
      <c r="G5" s="1913"/>
      <c r="H5" s="1913"/>
      <c r="I5" s="1913"/>
      <c r="J5" s="19"/>
    </row>
    <row r="6" spans="1:23" ht="27" hidden="1">
      <c r="A6" s="21"/>
      <c r="B6" s="21"/>
      <c r="C6" s="1693"/>
      <c r="D6" s="22"/>
      <c r="E6" s="22"/>
      <c r="F6" s="22"/>
      <c r="G6" s="22"/>
      <c r="H6" s="22"/>
      <c r="I6" s="19"/>
      <c r="J6" s="19"/>
    </row>
    <row r="7" spans="1:23" ht="6.75" customHeight="1"/>
    <row r="8" spans="1:23" ht="109.5" customHeight="1" thickBot="1">
      <c r="A8" s="1915"/>
      <c r="B8" s="1915"/>
      <c r="C8" s="1915"/>
      <c r="D8" s="1915"/>
      <c r="E8" s="1915"/>
      <c r="F8" s="1915"/>
      <c r="G8" s="1915"/>
      <c r="H8" s="1915"/>
      <c r="I8" s="1915"/>
      <c r="J8" s="1915"/>
    </row>
    <row r="9" spans="1:23" ht="17.25" customHeight="1">
      <c r="A9" s="312" t="s">
        <v>0</v>
      </c>
      <c r="B9" s="1914" t="s">
        <v>2169</v>
      </c>
      <c r="C9" s="1914"/>
      <c r="D9" s="1914"/>
      <c r="E9" s="26"/>
      <c r="F9" s="26"/>
      <c r="G9" s="25"/>
      <c r="H9" s="27"/>
      <c r="I9" s="1275"/>
      <c r="J9" s="45"/>
      <c r="U9" s="98"/>
      <c r="V9" s="1799"/>
      <c r="W9" s="1800"/>
    </row>
    <row r="10" spans="1:23">
      <c r="A10" s="313" t="s">
        <v>1</v>
      </c>
      <c r="B10" s="1890" t="s">
        <v>1480</v>
      </c>
      <c r="C10" s="1890"/>
      <c r="D10" s="1"/>
      <c r="E10" s="2"/>
      <c r="F10" s="2"/>
      <c r="G10" s="1"/>
      <c r="H10" s="309"/>
      <c r="I10" s="1276"/>
      <c r="J10" s="175"/>
      <c r="U10" s="98"/>
      <c r="V10" s="1799"/>
      <c r="W10" s="1801"/>
    </row>
    <row r="11" spans="1:23">
      <c r="A11" s="313" t="s">
        <v>2</v>
      </c>
      <c r="B11" s="1890" t="s">
        <v>2903</v>
      </c>
      <c r="C11" s="1890"/>
      <c r="D11" s="1"/>
      <c r="E11" s="2"/>
      <c r="F11" s="2"/>
      <c r="G11" s="1"/>
      <c r="H11" s="309"/>
      <c r="I11" s="315" t="s">
        <v>3</v>
      </c>
      <c r="J11" s="316">
        <v>0.2223</v>
      </c>
      <c r="U11" s="98"/>
      <c r="V11" t="s">
        <v>3</v>
      </c>
      <c r="W11" s="1801">
        <v>0.2223</v>
      </c>
    </row>
    <row r="12" spans="1:23">
      <c r="A12" s="313" t="s">
        <v>4</v>
      </c>
      <c r="B12" s="1890" t="s">
        <v>2904</v>
      </c>
      <c r="C12" s="1890"/>
      <c r="D12" s="1"/>
      <c r="E12" s="2"/>
      <c r="F12" s="2"/>
      <c r="G12" s="1"/>
      <c r="H12" s="309"/>
      <c r="I12" s="317"/>
      <c r="J12" s="1277"/>
      <c r="U12" s="98"/>
      <c r="V12" s="1799"/>
      <c r="W12" s="1800"/>
    </row>
    <row r="13" spans="1:23" ht="16.5" thickBot="1">
      <c r="A13" s="314" t="s">
        <v>5</v>
      </c>
      <c r="B13" s="1697" t="s">
        <v>589</v>
      </c>
      <c r="C13" s="1698" t="s">
        <v>2210</v>
      </c>
      <c r="D13" s="1699"/>
      <c r="E13" s="1700"/>
      <c r="F13" s="1700"/>
      <c r="G13" s="1701"/>
      <c r="H13" s="1702"/>
      <c r="I13" s="1703" t="s">
        <v>43</v>
      </c>
      <c r="J13" s="1704" t="s">
        <v>1673</v>
      </c>
      <c r="U13" s="98"/>
      <c r="V13" s="1799" t="s">
        <v>43</v>
      </c>
      <c r="W13" t="s">
        <v>1673</v>
      </c>
    </row>
    <row r="14" spans="1:23" ht="3.75" customHeight="1" thickBot="1"/>
    <row r="15" spans="1:23" ht="45.75" thickBot="1">
      <c r="A15" s="347" t="s">
        <v>6</v>
      </c>
      <c r="B15" s="346" t="s">
        <v>7</v>
      </c>
      <c r="C15" s="348" t="s">
        <v>8</v>
      </c>
      <c r="D15" s="346" t="s">
        <v>9</v>
      </c>
      <c r="E15" s="349" t="s">
        <v>10</v>
      </c>
      <c r="F15" s="349" t="s">
        <v>2409</v>
      </c>
      <c r="G15" s="346" t="s">
        <v>11</v>
      </c>
      <c r="H15" s="350" t="s">
        <v>11</v>
      </c>
      <c r="I15" s="350" t="s">
        <v>2115</v>
      </c>
      <c r="J15" s="351" t="s">
        <v>12</v>
      </c>
      <c r="L15" s="118"/>
      <c r="U15" s="98" t="s">
        <v>10</v>
      </c>
      <c r="V15" s="1798" t="s">
        <v>2115</v>
      </c>
      <c r="W15" s="1798" t="s">
        <v>12</v>
      </c>
    </row>
    <row r="16" spans="1:23" ht="14.25" customHeight="1">
      <c r="A16" s="352">
        <v>1</v>
      </c>
      <c r="B16" s="353"/>
      <c r="C16" s="354" t="s">
        <v>168</v>
      </c>
      <c r="D16" s="355"/>
      <c r="E16" s="356"/>
      <c r="F16" s="356"/>
      <c r="G16" s="355"/>
      <c r="H16" s="357"/>
      <c r="I16" s="357"/>
      <c r="J16" s="358"/>
      <c r="K16" s="511" t="s">
        <v>426</v>
      </c>
      <c r="L16" s="511"/>
      <c r="U16" s="98"/>
      <c r="V16" s="1798"/>
      <c r="W16" s="1798"/>
    </row>
    <row r="17" spans="1:23">
      <c r="A17" s="1523" t="s">
        <v>14</v>
      </c>
      <c r="B17" s="1794" t="s">
        <v>128</v>
      </c>
      <c r="C17" s="1302" t="s">
        <v>120</v>
      </c>
      <c r="D17" s="1310" t="s">
        <v>55</v>
      </c>
      <c r="E17" s="1311">
        <f>K17</f>
        <v>80240.959999999992</v>
      </c>
      <c r="F17" s="1311">
        <f>VLOOKUP(B17,'CADERNO DE COMPOSIÇÃO'!$A$8:$J$15448,10,FALSE)</f>
        <v>80240.959999999992</v>
      </c>
      <c r="G17" s="1362">
        <v>1</v>
      </c>
      <c r="H17" s="1363">
        <v>1</v>
      </c>
      <c r="I17" s="1364">
        <f>TRUNC(F17*(1+$J$11),2)</f>
        <v>98078.52</v>
      </c>
      <c r="J17" s="77">
        <f>TRUNC(I17*G17,2)</f>
        <v>98078.52</v>
      </c>
      <c r="K17" s="96">
        <f>'COMP CIVIL'!F20</f>
        <v>80240.959999999992</v>
      </c>
      <c r="L17" s="119"/>
      <c r="U17" s="1797">
        <v>80240.959999999992</v>
      </c>
      <c r="V17" s="1798">
        <v>98078.52</v>
      </c>
      <c r="W17" s="1798">
        <v>98078.52</v>
      </c>
    </row>
    <row r="18" spans="1:23" ht="15.75" thickBot="1">
      <c r="A18" s="78"/>
      <c r="B18" s="1852"/>
      <c r="C18" s="1853"/>
      <c r="D18" s="1854"/>
      <c r="E18" s="1067"/>
      <c r="F18" s="1067"/>
      <c r="G18" s="1027"/>
      <c r="H18" s="1028"/>
      <c r="I18" s="1404" t="s">
        <v>15</v>
      </c>
      <c r="J18" s="1029">
        <f>TRUNC(SUM(J17:J17),2)</f>
        <v>98078.52</v>
      </c>
      <c r="K18" s="15"/>
      <c r="L18" s="119"/>
      <c r="U18" s="98"/>
      <c r="V18" s="1801" t="s">
        <v>15</v>
      </c>
      <c r="W18" s="1798">
        <v>98078.52</v>
      </c>
    </row>
    <row r="19" spans="1:23" ht="14.25" customHeight="1">
      <c r="A19" s="352">
        <v>2</v>
      </c>
      <c r="B19" s="353"/>
      <c r="C19" s="354" t="s">
        <v>13</v>
      </c>
      <c r="D19" s="355"/>
      <c r="E19" s="1409"/>
      <c r="F19" s="1409"/>
      <c r="G19" s="1410"/>
      <c r="H19" s="1411"/>
      <c r="I19" s="1411"/>
      <c r="J19" s="1412"/>
      <c r="K19" s="511" t="s">
        <v>426</v>
      </c>
      <c r="L19" s="501" t="s">
        <v>1321</v>
      </c>
      <c r="U19" s="98"/>
      <c r="V19" s="1798"/>
      <c r="W19" s="1798"/>
    </row>
    <row r="20" spans="1:23" ht="20.25" customHeight="1">
      <c r="A20" s="1523" t="s">
        <v>16</v>
      </c>
      <c r="B20" s="1794" t="s">
        <v>132</v>
      </c>
      <c r="C20" s="1302" t="s">
        <v>45</v>
      </c>
      <c r="D20" s="1310" t="s">
        <v>46</v>
      </c>
      <c r="E20" s="1311">
        <f>K20</f>
        <v>524.04999999999995</v>
      </c>
      <c r="F20" s="1311">
        <f>VLOOKUP(B20,'CADERNO DE COMPOSIÇÃO'!$A$8:$J$15448,10,FALSE)</f>
        <v>521.25000000000011</v>
      </c>
      <c r="G20" s="1362">
        <v>12.5</v>
      </c>
      <c r="H20" s="1363">
        <v>12.5</v>
      </c>
      <c r="I20" s="1364">
        <f t="shared" ref="I20:I33" si="0">TRUNC(F20*(1+$J$11),2)</f>
        <v>637.12</v>
      </c>
      <c r="J20" s="77">
        <f t="shared" ref="J20:J33" si="1">TRUNC(I20*G20,2)</f>
        <v>7964</v>
      </c>
      <c r="K20" s="538">
        <f>'COMP CIVIL'!F37</f>
        <v>524.04999999999995</v>
      </c>
      <c r="L20" s="216"/>
      <c r="U20" s="1797">
        <v>524.04999999999995</v>
      </c>
      <c r="V20" s="1798">
        <v>640.54</v>
      </c>
      <c r="W20" s="1798">
        <v>8006.75</v>
      </c>
    </row>
    <row r="21" spans="1:23" ht="43.5" customHeight="1">
      <c r="A21" s="1523" t="s">
        <v>17</v>
      </c>
      <c r="B21" s="1309">
        <v>98525</v>
      </c>
      <c r="C21" s="1855" t="s">
        <v>380</v>
      </c>
      <c r="D21" s="1310" t="s">
        <v>46</v>
      </c>
      <c r="E21" s="1311">
        <v>0.36</v>
      </c>
      <c r="F21" s="1311">
        <f>VLOOKUP(B21,'CADERNO DE COMPOSIÇÃO'!$A$8:$J$15448,10,FALSE)</f>
        <v>0.35</v>
      </c>
      <c r="G21" s="1362">
        <v>1570</v>
      </c>
      <c r="H21" s="1365">
        <v>1499.19</v>
      </c>
      <c r="I21" s="1364">
        <f t="shared" si="0"/>
        <v>0.42</v>
      </c>
      <c r="J21" s="77">
        <f t="shared" si="1"/>
        <v>659.4</v>
      </c>
      <c r="K21" s="15"/>
      <c r="L21" s="119"/>
      <c r="M21" s="177">
        <f>1499.19*0.2*0.4+40.02+12.08*0.4+21</f>
        <v>185.78720000000001</v>
      </c>
      <c r="U21" s="1797">
        <v>0.36</v>
      </c>
      <c r="V21" s="1798">
        <v>0.44</v>
      </c>
      <c r="W21" s="1798">
        <v>690.8</v>
      </c>
    </row>
    <row r="22" spans="1:23" ht="42.75">
      <c r="A22" s="1523" t="s">
        <v>68</v>
      </c>
      <c r="B22" s="1309">
        <v>100981</v>
      </c>
      <c r="C22" s="1302" t="s">
        <v>1587</v>
      </c>
      <c r="D22" s="1310" t="s">
        <v>47</v>
      </c>
      <c r="E22" s="1311">
        <v>8.32</v>
      </c>
      <c r="F22" s="1311">
        <f>VLOOKUP(B22,'CADERNO DE COMPOSIÇÃO'!$A$8:$J$15448,10,FALSE)</f>
        <v>8.2799999999999994</v>
      </c>
      <c r="G22" s="1362">
        <v>190.4</v>
      </c>
      <c r="H22" s="1363">
        <v>171.26</v>
      </c>
      <c r="I22" s="1364">
        <f t="shared" si="0"/>
        <v>10.119999999999999</v>
      </c>
      <c r="J22" s="77">
        <f t="shared" si="1"/>
        <v>1926.84</v>
      </c>
      <c r="K22" s="535" t="s">
        <v>2029</v>
      </c>
      <c r="L22" s="382" t="s">
        <v>2028</v>
      </c>
      <c r="M22" s="54"/>
      <c r="U22" s="1797">
        <v>8.32</v>
      </c>
      <c r="V22" s="1798">
        <v>10.16</v>
      </c>
      <c r="W22" s="1798">
        <v>1934.46</v>
      </c>
    </row>
    <row r="23" spans="1:23" ht="30" customHeight="1">
      <c r="A23" s="1523" t="s">
        <v>124</v>
      </c>
      <c r="B23" s="1309">
        <v>95875</v>
      </c>
      <c r="C23" s="1302" t="s">
        <v>1588</v>
      </c>
      <c r="D23" s="1310" t="s">
        <v>1589</v>
      </c>
      <c r="E23" s="1311">
        <v>2.2799999999999998</v>
      </c>
      <c r="F23" s="1311">
        <f>VLOOKUP(B23,'CADERNO DE COMPOSIÇÃO'!$A$8:$J$15448,10,FALSE)</f>
        <v>2.27</v>
      </c>
      <c r="G23" s="1362">
        <v>5712</v>
      </c>
      <c r="H23" s="1363">
        <v>5573.4</v>
      </c>
      <c r="I23" s="1364">
        <f t="shared" si="0"/>
        <v>2.77</v>
      </c>
      <c r="J23" s="77">
        <f t="shared" si="1"/>
        <v>15822.24</v>
      </c>
      <c r="K23" s="96">
        <f>185.78*30</f>
        <v>5573.4</v>
      </c>
      <c r="L23" s="1912" t="s">
        <v>2077</v>
      </c>
      <c r="M23" s="1912"/>
      <c r="N23" s="1910" t="s">
        <v>2078</v>
      </c>
      <c r="O23" s="1910"/>
      <c r="P23" s="1910"/>
      <c r="U23" s="1797">
        <v>2.2799999999999998</v>
      </c>
      <c r="V23" s="1798">
        <v>2.78</v>
      </c>
      <c r="W23" s="1798">
        <v>15879.36</v>
      </c>
    </row>
    <row r="24" spans="1:23" ht="18" customHeight="1">
      <c r="A24" s="1523" t="s">
        <v>183</v>
      </c>
      <c r="B24" s="1856">
        <v>98459</v>
      </c>
      <c r="C24" s="1857" t="s">
        <v>381</v>
      </c>
      <c r="D24" s="1310" t="s">
        <v>46</v>
      </c>
      <c r="E24" s="1311">
        <v>106.58</v>
      </c>
      <c r="F24" s="1311">
        <f>VLOOKUP(B24,'CADERNO DE COMPOSIÇÃO'!$A$8:$J$15448,10,FALSE)</f>
        <v>106.06</v>
      </c>
      <c r="G24" s="1362">
        <v>394.96</v>
      </c>
      <c r="H24" s="1365">
        <v>364.6</v>
      </c>
      <c r="I24" s="1364">
        <f t="shared" si="0"/>
        <v>129.63</v>
      </c>
      <c r="J24" s="77">
        <f t="shared" si="1"/>
        <v>51198.66</v>
      </c>
      <c r="K24" s="199"/>
      <c r="L24" s="199"/>
      <c r="U24" s="1797">
        <v>106.58</v>
      </c>
      <c r="V24" s="1798">
        <v>130.27000000000001</v>
      </c>
      <c r="W24" s="1798">
        <v>51451.43</v>
      </c>
    </row>
    <row r="25" spans="1:23" ht="30.75" customHeight="1">
      <c r="A25" s="1523" t="s">
        <v>184</v>
      </c>
      <c r="B25" s="1309">
        <v>99059</v>
      </c>
      <c r="C25" s="1302" t="s">
        <v>1666</v>
      </c>
      <c r="D25" s="1858" t="s">
        <v>54</v>
      </c>
      <c r="E25" s="1311">
        <v>56.99</v>
      </c>
      <c r="F25" s="1311">
        <f>VLOOKUP(B25,'CADERNO DE COMPOSIÇÃO'!$A$8:$J$15448,10,FALSE)</f>
        <v>56.800000000000011</v>
      </c>
      <c r="G25" s="1362">
        <v>78.25</v>
      </c>
      <c r="H25" s="1363">
        <v>78.25</v>
      </c>
      <c r="I25" s="1364">
        <f t="shared" si="0"/>
        <v>69.42</v>
      </c>
      <c r="J25" s="77">
        <f t="shared" si="1"/>
        <v>5432.11</v>
      </c>
      <c r="K25" s="119"/>
      <c r="L25" s="171"/>
      <c r="U25" s="1797">
        <v>56.99</v>
      </c>
      <c r="V25" s="1798">
        <v>69.650000000000006</v>
      </c>
      <c r="W25" s="1798">
        <v>5450.11</v>
      </c>
    </row>
    <row r="26" spans="1:23" ht="30.75" customHeight="1">
      <c r="A26" s="1523" t="s">
        <v>185</v>
      </c>
      <c r="B26" s="1859" t="s">
        <v>135</v>
      </c>
      <c r="C26" s="1637" t="s">
        <v>1665</v>
      </c>
      <c r="D26" s="1310" t="s">
        <v>55</v>
      </c>
      <c r="E26" s="1311">
        <f>K26</f>
        <v>2577.1400000000008</v>
      </c>
      <c r="F26" s="1311">
        <f>VLOOKUP(B26,'CADERNO DE COMPOSIÇÃO'!$A$8:$J$15448,10,FALSE)</f>
        <v>2563.3900000000003</v>
      </c>
      <c r="G26" s="1362">
        <v>1</v>
      </c>
      <c r="H26" s="1363">
        <v>1</v>
      </c>
      <c r="I26" s="1364">
        <f t="shared" si="0"/>
        <v>3133.23</v>
      </c>
      <c r="J26" s="77">
        <f t="shared" si="1"/>
        <v>3133.23</v>
      </c>
      <c r="K26" s="117">
        <f>'COMP CIVIL'!F64</f>
        <v>2577.1400000000008</v>
      </c>
      <c r="L26" s="171"/>
      <c r="U26" s="1797">
        <v>2577.1400000000008</v>
      </c>
      <c r="V26" s="1798">
        <v>3150.03</v>
      </c>
      <c r="W26" s="1798">
        <v>3150.03</v>
      </c>
    </row>
    <row r="27" spans="1:23" ht="28.5" customHeight="1">
      <c r="A27" s="1523" t="s">
        <v>186</v>
      </c>
      <c r="B27" s="1860">
        <v>93212</v>
      </c>
      <c r="C27" s="1857" t="s">
        <v>384</v>
      </c>
      <c r="D27" s="1858" t="s">
        <v>46</v>
      </c>
      <c r="E27" s="1312">
        <v>1070.56</v>
      </c>
      <c r="F27" s="1311">
        <f>VLOOKUP(B27,'CADERNO DE COMPOSIÇÃO'!$A$8:$J$15448,10,FALSE)</f>
        <v>1064</v>
      </c>
      <c r="G27" s="1362">
        <v>9</v>
      </c>
      <c r="H27" s="1363">
        <v>9</v>
      </c>
      <c r="I27" s="1364">
        <f t="shared" si="0"/>
        <v>1300.52</v>
      </c>
      <c r="J27" s="77">
        <f t="shared" si="1"/>
        <v>11704.68</v>
      </c>
      <c r="K27" s="170"/>
      <c r="L27" s="171"/>
      <c r="U27" s="1798">
        <v>1070.56</v>
      </c>
      <c r="V27" s="1798">
        <v>1308.54</v>
      </c>
      <c r="W27" s="1798">
        <v>11776.86</v>
      </c>
    </row>
    <row r="28" spans="1:23" ht="30.75" customHeight="1">
      <c r="A28" s="1523" t="s">
        <v>187</v>
      </c>
      <c r="B28" s="1309">
        <v>93208</v>
      </c>
      <c r="C28" s="1306" t="s">
        <v>383</v>
      </c>
      <c r="D28" s="1858" t="s">
        <v>46</v>
      </c>
      <c r="E28" s="1311">
        <v>962.6</v>
      </c>
      <c r="F28" s="1311">
        <f>VLOOKUP(B28,'CADERNO DE COMPOSIÇÃO'!$A$8:$J$15448,10,FALSE)</f>
        <v>956.89000000000021</v>
      </c>
      <c r="G28" s="1362">
        <v>23.38</v>
      </c>
      <c r="H28" s="1363">
        <v>23.38</v>
      </c>
      <c r="I28" s="1364">
        <f t="shared" si="0"/>
        <v>1169.5999999999999</v>
      </c>
      <c r="J28" s="77">
        <f t="shared" si="1"/>
        <v>27345.24</v>
      </c>
      <c r="K28" s="81"/>
      <c r="L28" s="171"/>
      <c r="U28" s="1797">
        <v>962.6</v>
      </c>
      <c r="V28" s="1798">
        <v>1176.58</v>
      </c>
      <c r="W28" s="1798">
        <v>27508.44</v>
      </c>
    </row>
    <row r="29" spans="1:23" ht="29.25" customHeight="1">
      <c r="A29" s="1523" t="s">
        <v>188</v>
      </c>
      <c r="B29" s="1309">
        <v>93210</v>
      </c>
      <c r="C29" s="1313" t="s">
        <v>1162</v>
      </c>
      <c r="D29" s="1858" t="s">
        <v>46</v>
      </c>
      <c r="E29" s="1311">
        <v>628.86</v>
      </c>
      <c r="F29" s="1311">
        <f>VLOOKUP(B29,'CADERNO DE COMPOSIÇÃO'!$A$8:$J$15448,10,FALSE)</f>
        <v>625.16</v>
      </c>
      <c r="G29" s="1362">
        <v>23.38</v>
      </c>
      <c r="H29" s="1363">
        <v>23.38</v>
      </c>
      <c r="I29" s="1364">
        <f t="shared" si="0"/>
        <v>764.13</v>
      </c>
      <c r="J29" s="77">
        <f t="shared" si="1"/>
        <v>17865.349999999999</v>
      </c>
      <c r="K29" s="81"/>
      <c r="L29" s="171"/>
      <c r="U29" s="1797">
        <v>628.86</v>
      </c>
      <c r="V29" s="1798">
        <v>768.65</v>
      </c>
      <c r="W29" s="1798">
        <v>17971.03</v>
      </c>
    </row>
    <row r="30" spans="1:23" ht="29.25" customHeight="1">
      <c r="A30" s="1523" t="s">
        <v>189</v>
      </c>
      <c r="B30" s="1309">
        <v>93207</v>
      </c>
      <c r="C30" s="1313" t="s">
        <v>1161</v>
      </c>
      <c r="D30" s="1858" t="s">
        <v>46</v>
      </c>
      <c r="E30" s="1311">
        <v>1193.96</v>
      </c>
      <c r="F30" s="1311">
        <f>VLOOKUP(B30,'CADERNO DE COMPOSIÇÃO'!$A$8:$J$15448,10,FALSE)</f>
        <v>1186.6699999999998</v>
      </c>
      <c r="G30" s="1362">
        <v>13.6</v>
      </c>
      <c r="H30" s="1363">
        <v>13.6</v>
      </c>
      <c r="I30" s="1364">
        <f t="shared" si="0"/>
        <v>1450.46</v>
      </c>
      <c r="J30" s="77">
        <f t="shared" si="1"/>
        <v>19726.25</v>
      </c>
      <c r="K30" s="81"/>
      <c r="L30" s="171"/>
      <c r="U30" s="1797">
        <v>1193.96</v>
      </c>
      <c r="V30" s="1798">
        <v>1459.37</v>
      </c>
      <c r="W30" s="1798">
        <v>19847.43</v>
      </c>
    </row>
    <row r="31" spans="1:23" ht="34.5" customHeight="1">
      <c r="A31" s="1523" t="s">
        <v>190</v>
      </c>
      <c r="B31" s="1646">
        <v>93214</v>
      </c>
      <c r="C31" s="1306" t="s">
        <v>382</v>
      </c>
      <c r="D31" s="1310" t="s">
        <v>55</v>
      </c>
      <c r="E31" s="1312">
        <v>6342.19</v>
      </c>
      <c r="F31" s="1311">
        <f>VLOOKUP(B31,'CADERNO DE COMPOSIÇÃO'!$A$8:$J$15448,10,FALSE)</f>
        <v>6303.93</v>
      </c>
      <c r="G31" s="1362">
        <v>1</v>
      </c>
      <c r="H31" s="1363">
        <v>1</v>
      </c>
      <c r="I31" s="1364">
        <f t="shared" si="0"/>
        <v>7705.29</v>
      </c>
      <c r="J31" s="77">
        <f t="shared" si="1"/>
        <v>7705.29</v>
      </c>
      <c r="K31" s="81"/>
      <c r="L31" s="171"/>
      <c r="U31" s="1798">
        <v>6342.19</v>
      </c>
      <c r="V31" s="1798">
        <v>7752.05</v>
      </c>
      <c r="W31" s="1798">
        <v>7752.05</v>
      </c>
    </row>
    <row r="32" spans="1:23" ht="45" customHeight="1">
      <c r="A32" s="1861" t="s">
        <v>191</v>
      </c>
      <c r="B32" s="1862">
        <v>95635</v>
      </c>
      <c r="C32" s="1356" t="s">
        <v>386</v>
      </c>
      <c r="D32" s="1357" t="s">
        <v>55</v>
      </c>
      <c r="E32" s="1358">
        <v>285.54000000000002</v>
      </c>
      <c r="F32" s="1311">
        <f>VLOOKUP(B32,'CADERNO DE COMPOSIÇÃO'!$A$8:$J$15448,10,FALSE)</f>
        <v>284.27999999999997</v>
      </c>
      <c r="G32" s="1359">
        <v>1</v>
      </c>
      <c r="H32" s="643">
        <v>1</v>
      </c>
      <c r="I32" s="1360">
        <f t="shared" si="0"/>
        <v>347.47</v>
      </c>
      <c r="J32" s="1361">
        <f t="shared" si="1"/>
        <v>347.47</v>
      </c>
      <c r="K32" s="81"/>
      <c r="L32" s="171"/>
      <c r="U32" s="1798">
        <v>285.54000000000002</v>
      </c>
      <c r="V32" s="1798">
        <v>349.01</v>
      </c>
      <c r="W32" s="1798">
        <v>349.01</v>
      </c>
    </row>
    <row r="33" spans="1:23" ht="18" customHeight="1">
      <c r="A33" s="1523" t="s">
        <v>192</v>
      </c>
      <c r="B33" s="1309">
        <v>95675</v>
      </c>
      <c r="C33" s="1306" t="s">
        <v>385</v>
      </c>
      <c r="D33" s="1310" t="s">
        <v>55</v>
      </c>
      <c r="E33" s="1311">
        <v>143.66999999999999</v>
      </c>
      <c r="F33" s="1311">
        <f>VLOOKUP(B33,'CADERNO DE COMPOSIÇÃO'!$A$8:$J$15448,10,FALSE)</f>
        <v>142.94999999999999</v>
      </c>
      <c r="G33" s="1362">
        <v>1</v>
      </c>
      <c r="H33" s="1365">
        <v>1</v>
      </c>
      <c r="I33" s="1364">
        <f t="shared" si="0"/>
        <v>174.72</v>
      </c>
      <c r="J33" s="77">
        <f t="shared" si="1"/>
        <v>174.72</v>
      </c>
      <c r="K33" s="199"/>
      <c r="L33" s="199"/>
      <c r="U33" s="1797">
        <v>143.66999999999999</v>
      </c>
      <c r="V33" s="1798">
        <v>175.6</v>
      </c>
      <c r="W33" s="1798">
        <v>175.6</v>
      </c>
    </row>
    <row r="34" spans="1:23" ht="15.75" thickBot="1">
      <c r="A34" s="78"/>
      <c r="B34" s="1413"/>
      <c r="C34" s="1414"/>
      <c r="D34" s="1392"/>
      <c r="E34" s="1320"/>
      <c r="F34" s="1320"/>
      <c r="G34" s="1415"/>
      <c r="H34" s="1367"/>
      <c r="I34" s="1416" t="s">
        <v>15</v>
      </c>
      <c r="J34" s="79">
        <f>TRUNC(SUM(J20:J33),2)</f>
        <v>171005.48</v>
      </c>
      <c r="K34" s="196"/>
      <c r="L34" s="98"/>
      <c r="U34" s="98"/>
      <c r="V34" s="1801" t="s">
        <v>15</v>
      </c>
      <c r="W34" s="1798">
        <v>171943.36</v>
      </c>
    </row>
    <row r="35" spans="1:23">
      <c r="A35" s="352">
        <v>3</v>
      </c>
      <c r="B35" s="353"/>
      <c r="C35" s="354" t="s">
        <v>195</v>
      </c>
      <c r="D35" s="355"/>
      <c r="E35" s="1071"/>
      <c r="F35" s="1071"/>
      <c r="G35" s="641"/>
      <c r="H35" s="642"/>
      <c r="I35" s="642"/>
      <c r="J35" s="358"/>
      <c r="K35" s="269" t="s">
        <v>1322</v>
      </c>
      <c r="L35" s="511"/>
      <c r="U35" s="98"/>
      <c r="V35" s="1798"/>
      <c r="W35" s="1798"/>
    </row>
    <row r="36" spans="1:23" ht="42.75" customHeight="1">
      <c r="A36" s="1623" t="s">
        <v>18</v>
      </c>
      <c r="B36" s="1309">
        <v>101113</v>
      </c>
      <c r="C36" s="1313" t="s">
        <v>1163</v>
      </c>
      <c r="D36" s="1307" t="s">
        <v>47</v>
      </c>
      <c r="E36" s="1311">
        <v>1020.55</v>
      </c>
      <c r="F36" s="1311">
        <f>VLOOKUP(B36,'CADERNO DE COMPOSIÇÃO'!$A$8:$J$15448,10,FALSE)</f>
        <v>1015.5199999999999</v>
      </c>
      <c r="G36" s="1362">
        <v>30.34</v>
      </c>
      <c r="H36" s="1363">
        <v>30.34</v>
      </c>
      <c r="I36" s="1364">
        <f t="shared" ref="I36:I38" si="2">TRUNC(F36*(1+$J$11),2)</f>
        <v>1241.27</v>
      </c>
      <c r="J36" s="77">
        <f t="shared" ref="J36:J38" si="3">TRUNC(I36*G36,2)</f>
        <v>37660.129999999997</v>
      </c>
      <c r="K36" s="511" t="s">
        <v>426</v>
      </c>
      <c r="L36" s="80"/>
      <c r="U36" s="1797">
        <v>1020.55</v>
      </c>
      <c r="V36" s="1798">
        <v>1247.4100000000001</v>
      </c>
      <c r="W36" s="1798">
        <v>37846.410000000003</v>
      </c>
    </row>
    <row r="37" spans="1:23" ht="30.75" customHeight="1">
      <c r="A37" s="1384" t="s">
        <v>2027</v>
      </c>
      <c r="B37" s="1309">
        <v>96527</v>
      </c>
      <c r="C37" s="1313" t="s">
        <v>581</v>
      </c>
      <c r="D37" s="1307" t="s">
        <v>47</v>
      </c>
      <c r="E37" s="1311">
        <v>116.35</v>
      </c>
      <c r="F37" s="1311">
        <f>VLOOKUP(B37,'CADERNO DE COMPOSIÇÃO'!$A$8:$J$15448,10,FALSE)</f>
        <v>116.35</v>
      </c>
      <c r="G37" s="1362">
        <v>35.49</v>
      </c>
      <c r="H37" s="1363">
        <v>35.49</v>
      </c>
      <c r="I37" s="1364">
        <f t="shared" si="2"/>
        <v>142.21</v>
      </c>
      <c r="J37" s="77">
        <f t="shared" si="3"/>
        <v>5047.03</v>
      </c>
      <c r="K37" s="197"/>
      <c r="L37" s="303"/>
      <c r="U37" s="1797">
        <v>116.35</v>
      </c>
      <c r="V37" s="1798">
        <v>142.21</v>
      </c>
      <c r="W37" s="1798">
        <v>5047.03</v>
      </c>
    </row>
    <row r="38" spans="1:23" ht="19.5" customHeight="1">
      <c r="A38" s="1384" t="s">
        <v>69</v>
      </c>
      <c r="B38" s="1309">
        <v>96995</v>
      </c>
      <c r="C38" s="1313" t="s">
        <v>390</v>
      </c>
      <c r="D38" s="1307" t="s">
        <v>47</v>
      </c>
      <c r="E38" s="1311">
        <v>46.65</v>
      </c>
      <c r="F38" s="1311">
        <f>VLOOKUP(B38,'CADERNO DE COMPOSIÇÃO'!$A$8:$J$15448,10,FALSE)</f>
        <v>46.65</v>
      </c>
      <c r="G38" s="1362">
        <v>25.81</v>
      </c>
      <c r="H38" s="1363">
        <v>25.81</v>
      </c>
      <c r="I38" s="1364">
        <f t="shared" si="2"/>
        <v>57.02</v>
      </c>
      <c r="J38" s="77">
        <f t="shared" si="3"/>
        <v>1471.68</v>
      </c>
      <c r="K38" s="422"/>
      <c r="L38" s="436" t="s">
        <v>1176</v>
      </c>
      <c r="M38" s="423"/>
      <c r="U38" s="1797">
        <v>46.65</v>
      </c>
      <c r="V38" s="1798">
        <v>57.02</v>
      </c>
      <c r="W38" s="1798">
        <v>1471.68</v>
      </c>
    </row>
    <row r="39" spans="1:23" ht="15.75" thickBot="1">
      <c r="A39" s="1624"/>
      <c r="B39" s="1392"/>
      <c r="C39" s="1392"/>
      <c r="D39" s="1392"/>
      <c r="E39" s="1320"/>
      <c r="F39" s="1311"/>
      <c r="G39" s="1415"/>
      <c r="H39" s="1367"/>
      <c r="I39" s="1416" t="s">
        <v>15</v>
      </c>
      <c r="J39" s="79">
        <f>TRUNC(SUM(J36:J38),2)</f>
        <v>44178.84</v>
      </c>
      <c r="K39" s="194"/>
      <c r="L39" s="53"/>
      <c r="U39" s="98"/>
      <c r="V39" s="1801" t="s">
        <v>15</v>
      </c>
      <c r="W39" s="1798">
        <v>44365.120000000003</v>
      </c>
    </row>
    <row r="40" spans="1:23">
      <c r="A40" s="352">
        <v>4</v>
      </c>
      <c r="B40" s="353"/>
      <c r="C40" s="354" t="s">
        <v>1129</v>
      </c>
      <c r="D40" s="355"/>
      <c r="E40" s="1071"/>
      <c r="F40" s="1071"/>
      <c r="G40" s="641"/>
      <c r="H40" s="642"/>
      <c r="I40" s="642"/>
      <c r="J40" s="358"/>
      <c r="K40" s="269"/>
      <c r="L40" s="53"/>
      <c r="U40" s="98"/>
      <c r="V40" s="1798"/>
      <c r="W40" s="1798"/>
    </row>
    <row r="41" spans="1:23">
      <c r="A41" s="1625" t="s">
        <v>19</v>
      </c>
      <c r="B41" s="1606"/>
      <c r="C41" s="1607" t="s">
        <v>206</v>
      </c>
      <c r="D41" s="1606"/>
      <c r="E41" s="1608"/>
      <c r="F41" s="1608"/>
      <c r="G41" s="1609" t="s">
        <v>42</v>
      </c>
      <c r="H41" s="1605"/>
      <c r="I41" s="1605" t="str">
        <f>IF(OR(E41&lt;=0)," ",TRUNC((E41*(1+$J$11)),2))</f>
        <v xml:space="preserve"> </v>
      </c>
      <c r="J41" s="176" t="str">
        <f>IF(OR(E41&lt;=0)," ",TRUNC((I41*G41),2))</f>
        <v xml:space="preserve"> </v>
      </c>
      <c r="K41" s="511" t="s">
        <v>426</v>
      </c>
      <c r="L41" s="53"/>
      <c r="U41" s="98"/>
      <c r="V41" s="1798" t="s">
        <v>42</v>
      </c>
      <c r="W41" s="1798" t="s">
        <v>42</v>
      </c>
    </row>
    <row r="42" spans="1:23" ht="35.25" customHeight="1">
      <c r="A42" s="1384" t="s">
        <v>201</v>
      </c>
      <c r="B42" s="1295">
        <v>96536</v>
      </c>
      <c r="C42" s="1306" t="s">
        <v>397</v>
      </c>
      <c r="D42" s="1295" t="s">
        <v>46</v>
      </c>
      <c r="E42" s="1305">
        <v>75.89</v>
      </c>
      <c r="F42" s="1311">
        <f>VLOOKUP(B42,'CADERNO DE COMPOSIÇÃO'!$A$8:$J$15448,10,FALSE)</f>
        <v>75.63000000000001</v>
      </c>
      <c r="G42" s="1362">
        <v>153.22</v>
      </c>
      <c r="H42" s="1369">
        <v>153.22</v>
      </c>
      <c r="I42" s="1364">
        <f t="shared" ref="I42:I48" si="4">TRUNC(F42*(1+$J$11),2)</f>
        <v>92.44</v>
      </c>
      <c r="J42" s="77">
        <f t="shared" ref="J42:J48" si="5">TRUNC(I42*G42,2)</f>
        <v>14163.65</v>
      </c>
      <c r="K42" s="194"/>
      <c r="L42" s="53"/>
      <c r="U42" s="98">
        <v>75.89</v>
      </c>
      <c r="V42" s="1798">
        <v>92.76</v>
      </c>
      <c r="W42" s="1798">
        <v>14212.68</v>
      </c>
    </row>
    <row r="43" spans="1:23" ht="35.25" customHeight="1">
      <c r="A43" s="1384" t="s">
        <v>200</v>
      </c>
      <c r="B43" s="1295">
        <v>94965</v>
      </c>
      <c r="C43" s="186" t="s">
        <v>2853</v>
      </c>
      <c r="D43" s="1307" t="s">
        <v>47</v>
      </c>
      <c r="E43" s="1305">
        <v>568</v>
      </c>
      <c r="F43" s="1311">
        <f>VLOOKUP(B43,'CADERNO DE COMPOSIÇÃO'!$A$8:$J$15448,10,FALSE)</f>
        <v>563.42999999999995</v>
      </c>
      <c r="G43" s="1362">
        <v>9.68</v>
      </c>
      <c r="H43" s="1369">
        <v>9.68</v>
      </c>
      <c r="I43" s="1364">
        <f t="shared" si="4"/>
        <v>688.68</v>
      </c>
      <c r="J43" s="77">
        <f t="shared" si="5"/>
        <v>6666.42</v>
      </c>
      <c r="K43" s="194"/>
      <c r="L43" s="219"/>
      <c r="U43" s="98">
        <v>568</v>
      </c>
      <c r="V43" s="1798">
        <v>694.26</v>
      </c>
      <c r="W43" s="1798">
        <v>6720.43</v>
      </c>
    </row>
    <row r="44" spans="1:23" ht="28.5">
      <c r="A44" s="1384" t="s">
        <v>202</v>
      </c>
      <c r="B44" s="1295">
        <v>103673</v>
      </c>
      <c r="C44" s="1306" t="s">
        <v>2317</v>
      </c>
      <c r="D44" s="1307" t="s">
        <v>47</v>
      </c>
      <c r="E44" s="1305">
        <v>37.31</v>
      </c>
      <c r="F44" s="1311">
        <f>VLOOKUP(B44,'CADERNO DE COMPOSIÇÃO'!$A$8:$J$15448,10,FALSE)</f>
        <v>37.31</v>
      </c>
      <c r="G44" s="1362">
        <v>9.68</v>
      </c>
      <c r="H44" s="1369">
        <v>9.68</v>
      </c>
      <c r="I44" s="1364">
        <f t="shared" si="4"/>
        <v>45.6</v>
      </c>
      <c r="J44" s="77">
        <f t="shared" si="5"/>
        <v>441.4</v>
      </c>
      <c r="K44" s="98"/>
      <c r="L44" s="219"/>
      <c r="U44" s="98">
        <v>37.31</v>
      </c>
      <c r="V44" s="1798">
        <v>45.6</v>
      </c>
      <c r="W44" s="1798">
        <v>441.4</v>
      </c>
    </row>
    <row r="45" spans="1:23" ht="33" customHeight="1">
      <c r="A45" s="1384" t="s">
        <v>203</v>
      </c>
      <c r="B45" s="1295">
        <v>96543</v>
      </c>
      <c r="C45" s="1306" t="s">
        <v>396</v>
      </c>
      <c r="D45" s="1295" t="s">
        <v>100</v>
      </c>
      <c r="E45" s="1305">
        <v>19.399999999999999</v>
      </c>
      <c r="F45" s="1311">
        <f>VLOOKUP(B45,'CADERNO DE COMPOSIÇÃO'!$A$8:$J$15448,10,FALSE)</f>
        <v>19.29</v>
      </c>
      <c r="G45" s="1362">
        <v>101.8</v>
      </c>
      <c r="H45" s="1369">
        <v>101.8</v>
      </c>
      <c r="I45" s="1364">
        <f t="shared" si="4"/>
        <v>23.57</v>
      </c>
      <c r="J45" s="77">
        <f t="shared" si="5"/>
        <v>2399.42</v>
      </c>
      <c r="K45" s="98"/>
      <c r="L45" s="53"/>
      <c r="U45" s="98">
        <v>19.399999999999999</v>
      </c>
      <c r="V45" s="1798">
        <v>23.71</v>
      </c>
      <c r="W45" s="1798">
        <v>2413.67</v>
      </c>
    </row>
    <row r="46" spans="1:23" ht="47.25" customHeight="1">
      <c r="A46" s="1384" t="s">
        <v>2376</v>
      </c>
      <c r="B46" s="1295">
        <v>92761</v>
      </c>
      <c r="C46" s="1306" t="s">
        <v>2320</v>
      </c>
      <c r="D46" s="1295" t="s">
        <v>100</v>
      </c>
      <c r="E46" s="1305">
        <v>15.3</v>
      </c>
      <c r="F46" s="1311">
        <f>VLOOKUP(B46,'CADERNO DE COMPOSIÇÃO'!$A$8:$J$15448,10,FALSE)</f>
        <v>15.200000000000001</v>
      </c>
      <c r="G46" s="1362">
        <v>33.1</v>
      </c>
      <c r="H46" s="1369">
        <v>33.1</v>
      </c>
      <c r="I46" s="1364">
        <f t="shared" si="4"/>
        <v>18.57</v>
      </c>
      <c r="J46" s="77">
        <f t="shared" si="5"/>
        <v>614.66</v>
      </c>
      <c r="K46" s="98"/>
      <c r="L46" s="53"/>
      <c r="U46" s="98">
        <v>15.3</v>
      </c>
      <c r="V46" s="1798">
        <v>18.7</v>
      </c>
      <c r="W46" s="1798">
        <v>618.97</v>
      </c>
    </row>
    <row r="47" spans="1:23" ht="48" customHeight="1">
      <c r="A47" s="1384" t="s">
        <v>204</v>
      </c>
      <c r="B47" s="1295">
        <v>92762</v>
      </c>
      <c r="C47" s="1306" t="s">
        <v>2154</v>
      </c>
      <c r="D47" s="1295" t="s">
        <v>100</v>
      </c>
      <c r="E47" s="1305">
        <v>13.86</v>
      </c>
      <c r="F47" s="1311">
        <f>VLOOKUP(B47,'CADERNO DE COMPOSIÇÃO'!$A$8:$J$15448,10,FALSE)</f>
        <v>13.77</v>
      </c>
      <c r="G47" s="1362">
        <v>368.7</v>
      </c>
      <c r="H47" s="1369">
        <v>368.7</v>
      </c>
      <c r="I47" s="1364">
        <f t="shared" si="4"/>
        <v>16.829999999999998</v>
      </c>
      <c r="J47" s="77">
        <f t="shared" si="5"/>
        <v>6205.22</v>
      </c>
      <c r="K47" s="218"/>
      <c r="L47" s="53"/>
      <c r="U47" s="98">
        <v>13.86</v>
      </c>
      <c r="V47" s="1798">
        <v>16.940000000000001</v>
      </c>
      <c r="W47" s="1798">
        <v>6245.77</v>
      </c>
    </row>
    <row r="48" spans="1:23" ht="50.25" customHeight="1">
      <c r="A48" s="1384" t="s">
        <v>205</v>
      </c>
      <c r="B48" s="1295">
        <v>92763</v>
      </c>
      <c r="C48" s="1306" t="s">
        <v>2156</v>
      </c>
      <c r="D48" s="1295" t="s">
        <v>100</v>
      </c>
      <c r="E48" s="1305">
        <v>11.76</v>
      </c>
      <c r="F48" s="1311">
        <f>VLOOKUP(B48,'CADERNO DE COMPOSIÇÃO'!$A$8:$J$15448,10,FALSE)</f>
        <v>11.669999999999998</v>
      </c>
      <c r="G48" s="1362">
        <v>20</v>
      </c>
      <c r="H48" s="1369">
        <v>20</v>
      </c>
      <c r="I48" s="1364">
        <f t="shared" si="4"/>
        <v>14.26</v>
      </c>
      <c r="J48" s="77">
        <f t="shared" si="5"/>
        <v>285.2</v>
      </c>
      <c r="K48" s="1612"/>
      <c r="L48" s="1612">
        <f>TRUNC(SUM(J42:J48),2)</f>
        <v>30775.97</v>
      </c>
      <c r="U48" s="98">
        <v>11.76</v>
      </c>
      <c r="V48" s="1798">
        <v>14.37</v>
      </c>
      <c r="W48" s="1798">
        <v>287.39999999999998</v>
      </c>
    </row>
    <row r="49" spans="1:23" ht="12.75" customHeight="1">
      <c r="A49" s="1079" t="s">
        <v>20</v>
      </c>
      <c r="B49" s="1080"/>
      <c r="C49" s="1081" t="s">
        <v>1140</v>
      </c>
      <c r="D49" s="1080"/>
      <c r="E49" s="1082"/>
      <c r="F49" s="1082"/>
      <c r="G49" s="1083" t="s">
        <v>42</v>
      </c>
      <c r="H49" s="1605"/>
      <c r="I49" s="1084" t="str">
        <f>IF(OR(E49&lt;=0)," ",TRUNC((E49*(1+$J$11)),2))</f>
        <v xml:space="preserve"> </v>
      </c>
      <c r="J49" s="1085" t="str">
        <f>IF(OR(E49&lt;=0)," ",TRUNC((I49*G49),2))</f>
        <v xml:space="preserve"> </v>
      </c>
      <c r="K49" s="511" t="s">
        <v>426</v>
      </c>
      <c r="L49" s="53"/>
      <c r="U49" s="98"/>
      <c r="V49" s="1798" t="s">
        <v>42</v>
      </c>
      <c r="W49" s="1798" t="s">
        <v>42</v>
      </c>
    </row>
    <row r="50" spans="1:23" ht="22.5" customHeight="1">
      <c r="A50" s="1384" t="s">
        <v>1164</v>
      </c>
      <c r="B50" s="1475" t="s">
        <v>420</v>
      </c>
      <c r="C50" s="1626" t="s">
        <v>1166</v>
      </c>
      <c r="D50" s="1307" t="s">
        <v>46</v>
      </c>
      <c r="E50" s="1305">
        <f>K50</f>
        <v>85.34</v>
      </c>
      <c r="F50" s="1311">
        <f>VLOOKUP(B50,'CADERNO DE COMPOSIÇÃO'!$A$8:$J$15448,10,FALSE)</f>
        <v>85.11</v>
      </c>
      <c r="G50" s="1362">
        <v>13.32</v>
      </c>
      <c r="H50" s="1369">
        <v>13.32</v>
      </c>
      <c r="I50" s="1364">
        <f t="shared" ref="I50:I53" si="6">TRUNC(F50*(1+$J$11),2)</f>
        <v>104.02</v>
      </c>
      <c r="J50" s="77">
        <f t="shared" ref="J50:J53" si="7">TRUNC(I50*G50,2)</f>
        <v>1385.54</v>
      </c>
      <c r="K50" s="328">
        <f>'COMP ESTRUT'!F25</f>
        <v>85.34</v>
      </c>
      <c r="L50" s="53"/>
      <c r="U50" s="98">
        <v>85.34</v>
      </c>
      <c r="V50" s="1798">
        <v>104.31</v>
      </c>
      <c r="W50" s="1798">
        <v>1389.4</v>
      </c>
    </row>
    <row r="51" spans="1:23" ht="35.25" customHeight="1">
      <c r="A51" s="1384" t="s">
        <v>207</v>
      </c>
      <c r="B51" s="1295">
        <v>94965</v>
      </c>
      <c r="C51" s="186" t="s">
        <v>2854</v>
      </c>
      <c r="D51" s="1307" t="s">
        <v>47</v>
      </c>
      <c r="E51" s="1305">
        <v>568</v>
      </c>
      <c r="F51" s="1311">
        <f>VLOOKUP(B51,'CADERNO DE COMPOSIÇÃO'!$A$8:$J$15448,10,FALSE)</f>
        <v>563.42999999999995</v>
      </c>
      <c r="G51" s="1362">
        <v>30.34</v>
      </c>
      <c r="H51" s="1369">
        <v>30.34</v>
      </c>
      <c r="I51" s="1364">
        <f t="shared" si="6"/>
        <v>688.68</v>
      </c>
      <c r="J51" s="77">
        <f t="shared" si="7"/>
        <v>20894.55</v>
      </c>
      <c r="K51" s="229"/>
      <c r="L51" s="53"/>
      <c r="U51" s="98">
        <v>568</v>
      </c>
      <c r="V51" s="1798">
        <v>694.26</v>
      </c>
      <c r="W51" s="1798">
        <v>21063.84</v>
      </c>
    </row>
    <row r="52" spans="1:23" ht="23.25" customHeight="1">
      <c r="A52" s="1384" t="s">
        <v>208</v>
      </c>
      <c r="B52" s="1475" t="s">
        <v>421</v>
      </c>
      <c r="C52" s="1306" t="s">
        <v>1167</v>
      </c>
      <c r="D52" s="1307" t="s">
        <v>47</v>
      </c>
      <c r="E52" s="1305">
        <f>K52</f>
        <v>78.36</v>
      </c>
      <c r="F52" s="1311">
        <f>VLOOKUP(B52,'CADERNO DE COMPOSIÇÃO'!$A$8:$J$15448,10,FALSE)</f>
        <v>78.36</v>
      </c>
      <c r="G52" s="1362">
        <v>30.34</v>
      </c>
      <c r="H52" s="1369">
        <v>30.34</v>
      </c>
      <c r="I52" s="1364">
        <f t="shared" si="6"/>
        <v>95.77</v>
      </c>
      <c r="J52" s="77">
        <f t="shared" si="7"/>
        <v>2905.66</v>
      </c>
      <c r="K52" s="328">
        <f>'COMP ESTRUT'!F36</f>
        <v>78.36</v>
      </c>
      <c r="L52" s="53"/>
      <c r="U52" s="98">
        <v>78.36</v>
      </c>
      <c r="V52" s="1798">
        <v>95.77</v>
      </c>
      <c r="W52" s="1798">
        <v>2905.66</v>
      </c>
    </row>
    <row r="53" spans="1:23" ht="34.5" customHeight="1">
      <c r="A53" s="1384" t="s">
        <v>2152</v>
      </c>
      <c r="B53" s="1475" t="s">
        <v>2121</v>
      </c>
      <c r="C53" s="1306" t="s">
        <v>1169</v>
      </c>
      <c r="D53" s="1295" t="s">
        <v>100</v>
      </c>
      <c r="E53" s="1305">
        <f>K53</f>
        <v>60.348834999999994</v>
      </c>
      <c r="F53" s="1311">
        <f>VLOOKUP(B53,'CADERNO DE COMPOSIÇÃO'!$A$8:$J$15448,10,FALSE)</f>
        <v>60.230000000000004</v>
      </c>
      <c r="G53" s="1362">
        <v>482</v>
      </c>
      <c r="H53" s="1369">
        <v>482</v>
      </c>
      <c r="I53" s="1364">
        <f t="shared" si="6"/>
        <v>73.61</v>
      </c>
      <c r="J53" s="77">
        <f t="shared" si="7"/>
        <v>35480.019999999997</v>
      </c>
      <c r="K53" s="328">
        <f>'COMP ESTRUT'!F55</f>
        <v>60.348834999999994</v>
      </c>
      <c r="L53" s="120">
        <f>TRUNC(SUM(J50:J53),2)</f>
        <v>60665.77</v>
      </c>
      <c r="U53" s="98">
        <v>60.348834999999994</v>
      </c>
      <c r="V53" s="1798">
        <v>73.760000000000005</v>
      </c>
      <c r="W53" s="1798">
        <v>35552.32</v>
      </c>
    </row>
    <row r="54" spans="1:23" ht="14.25" customHeight="1">
      <c r="A54" s="1625" t="s">
        <v>21</v>
      </c>
      <c r="B54" s="1606"/>
      <c r="C54" s="1607" t="s">
        <v>1326</v>
      </c>
      <c r="D54" s="1606"/>
      <c r="E54" s="1608"/>
      <c r="F54" s="1608"/>
      <c r="G54" s="1609" t="s">
        <v>42</v>
      </c>
      <c r="H54" s="1605"/>
      <c r="I54" s="1605" t="str">
        <f>IF(OR(E54&lt;=0)," ",TRUNC((E54*(1+$J$11)),2))</f>
        <v xml:space="preserve"> </v>
      </c>
      <c r="J54" s="176" t="str">
        <f>IF(OR(E54&lt;=0)," ",TRUNC((I54*G54),2))</f>
        <v xml:space="preserve"> </v>
      </c>
      <c r="K54" s="195" t="s">
        <v>1382</v>
      </c>
      <c r="L54" s="197"/>
      <c r="U54" s="98"/>
      <c r="V54" s="1798" t="s">
        <v>42</v>
      </c>
      <c r="W54" s="1798" t="s">
        <v>42</v>
      </c>
    </row>
    <row r="55" spans="1:23" ht="48.75" customHeight="1">
      <c r="A55" s="1116" t="s">
        <v>209</v>
      </c>
      <c r="B55" s="1565">
        <v>92522</v>
      </c>
      <c r="C55" s="1469" t="s">
        <v>1667</v>
      </c>
      <c r="D55" s="1565" t="s">
        <v>46</v>
      </c>
      <c r="E55" s="1068">
        <v>47.84</v>
      </c>
      <c r="F55" s="1311">
        <f>VLOOKUP(B55,'CADERNO DE COMPOSIÇÃO'!$A$8:$J$15448,10,FALSE)</f>
        <v>47.64</v>
      </c>
      <c r="G55" s="1359">
        <v>61.4</v>
      </c>
      <c r="H55" s="507">
        <v>61.4</v>
      </c>
      <c r="I55" s="1360">
        <f t="shared" ref="I55:I62" si="8">TRUNC(F55*(1+$J$11),2)</f>
        <v>58.23</v>
      </c>
      <c r="J55" s="1361">
        <f t="shared" ref="J55:J62" si="9">TRUNC(I55*G55,2)</f>
        <v>3575.32</v>
      </c>
      <c r="K55" s="511" t="s">
        <v>426</v>
      </c>
      <c r="L55" s="195"/>
      <c r="U55" s="98">
        <v>47.84</v>
      </c>
      <c r="V55" s="1798">
        <v>58.47</v>
      </c>
      <c r="W55" s="1798">
        <v>3590.05</v>
      </c>
    </row>
    <row r="56" spans="1:23" ht="33" customHeight="1">
      <c r="A56" s="1627" t="s">
        <v>210</v>
      </c>
      <c r="B56" s="1295">
        <v>94965</v>
      </c>
      <c r="C56" s="1793" t="s">
        <v>2854</v>
      </c>
      <c r="D56" s="1307" t="s">
        <v>47</v>
      </c>
      <c r="E56" s="1305">
        <v>568</v>
      </c>
      <c r="F56" s="1311">
        <f>VLOOKUP(B56,'CADERNO DE COMPOSIÇÃO'!$A$8:$J$15448,10,FALSE)</f>
        <v>563.42999999999995</v>
      </c>
      <c r="G56" s="1362">
        <v>11.07</v>
      </c>
      <c r="H56" s="1369">
        <v>11.07</v>
      </c>
      <c r="I56" s="1364">
        <f t="shared" si="8"/>
        <v>688.68</v>
      </c>
      <c r="J56" s="77">
        <f t="shared" si="9"/>
        <v>7623.68</v>
      </c>
      <c r="K56" s="319"/>
      <c r="L56" s="195"/>
      <c r="U56" s="98">
        <v>568</v>
      </c>
      <c r="V56" s="1798">
        <v>694.26</v>
      </c>
      <c r="W56" s="1798">
        <v>7685.45</v>
      </c>
    </row>
    <row r="57" spans="1:23" ht="33.75" customHeight="1">
      <c r="A57" s="1627" t="s">
        <v>211</v>
      </c>
      <c r="B57" s="1295">
        <v>103673</v>
      </c>
      <c r="C57" s="1302" t="s">
        <v>2317</v>
      </c>
      <c r="D57" s="1307" t="s">
        <v>47</v>
      </c>
      <c r="E57" s="1305">
        <v>37.31</v>
      </c>
      <c r="F57" s="1311">
        <f>VLOOKUP(B57,'CADERNO DE COMPOSIÇÃO'!$A$8:$J$15448,10,FALSE)</f>
        <v>37.31</v>
      </c>
      <c r="G57" s="1362">
        <v>11.07</v>
      </c>
      <c r="H57" s="1369">
        <v>11.07</v>
      </c>
      <c r="I57" s="1364">
        <f t="shared" si="8"/>
        <v>45.6</v>
      </c>
      <c r="J57" s="77">
        <f t="shared" si="9"/>
        <v>504.79</v>
      </c>
      <c r="K57" s="319"/>
      <c r="L57" s="195"/>
      <c r="U57" s="98">
        <v>37.31</v>
      </c>
      <c r="V57" s="1798">
        <v>45.6</v>
      </c>
      <c r="W57" s="1798">
        <v>504.79</v>
      </c>
    </row>
    <row r="58" spans="1:23" ht="33" customHeight="1">
      <c r="A58" s="1627" t="s">
        <v>212</v>
      </c>
      <c r="B58" s="1295">
        <v>92768</v>
      </c>
      <c r="C58" s="1302" t="s">
        <v>2157</v>
      </c>
      <c r="D58" s="1295" t="s">
        <v>100</v>
      </c>
      <c r="E58" s="1305">
        <v>15.75</v>
      </c>
      <c r="F58" s="1311">
        <f>VLOOKUP(B58,'CADERNO DE COMPOSIÇÃO'!$A$8:$J$15448,10,FALSE)</f>
        <v>15.639999999999999</v>
      </c>
      <c r="G58" s="1362">
        <v>113.63</v>
      </c>
      <c r="H58" s="1369">
        <v>113.63</v>
      </c>
      <c r="I58" s="1364">
        <f t="shared" si="8"/>
        <v>19.11</v>
      </c>
      <c r="J58" s="77">
        <f t="shared" si="9"/>
        <v>2171.46</v>
      </c>
      <c r="K58" s="319"/>
      <c r="L58" s="195"/>
      <c r="U58" s="98">
        <v>15.75</v>
      </c>
      <c r="V58" s="1798">
        <v>19.25</v>
      </c>
      <c r="W58" s="1798">
        <v>2187.37</v>
      </c>
    </row>
    <row r="59" spans="1:23" ht="32.25" customHeight="1">
      <c r="A59" s="1627" t="s">
        <v>213</v>
      </c>
      <c r="B59" s="1295">
        <v>92769</v>
      </c>
      <c r="C59" s="1302" t="s">
        <v>2158</v>
      </c>
      <c r="D59" s="1295" t="s">
        <v>100</v>
      </c>
      <c r="E59" s="1305">
        <v>15.41</v>
      </c>
      <c r="F59" s="1311">
        <f>VLOOKUP(B59,'CADERNO DE COMPOSIÇÃO'!$A$8:$J$15448,10,FALSE)</f>
        <v>15.299999999999999</v>
      </c>
      <c r="G59" s="1362">
        <v>322</v>
      </c>
      <c r="H59" s="1369">
        <v>322</v>
      </c>
      <c r="I59" s="1364">
        <f t="shared" si="8"/>
        <v>18.7</v>
      </c>
      <c r="J59" s="77">
        <f t="shared" si="9"/>
        <v>6021.4</v>
      </c>
      <c r="K59" s="319"/>
      <c r="L59" s="195"/>
      <c r="U59" s="98">
        <v>15.41</v>
      </c>
      <c r="V59" s="1798">
        <v>18.829999999999998</v>
      </c>
      <c r="W59" s="1798">
        <v>6063.26</v>
      </c>
    </row>
    <row r="60" spans="1:23" ht="33" customHeight="1">
      <c r="A60" s="1627" t="s">
        <v>214</v>
      </c>
      <c r="B60" s="1295">
        <v>92770</v>
      </c>
      <c r="C60" s="1302" t="s">
        <v>2159</v>
      </c>
      <c r="D60" s="1295" t="s">
        <v>100</v>
      </c>
      <c r="E60" s="1305">
        <v>14.86</v>
      </c>
      <c r="F60" s="1311">
        <f>VLOOKUP(B60,'CADERNO DE COMPOSIÇÃO'!$A$8:$J$15448,10,FALSE)</f>
        <v>14.76</v>
      </c>
      <c r="G60" s="1362">
        <v>28.07</v>
      </c>
      <c r="H60" s="1369">
        <v>28.07</v>
      </c>
      <c r="I60" s="1364">
        <f t="shared" si="8"/>
        <v>18.04</v>
      </c>
      <c r="J60" s="77">
        <f t="shared" si="9"/>
        <v>506.38</v>
      </c>
      <c r="K60" s="319"/>
      <c r="L60" s="195"/>
      <c r="U60" s="98">
        <v>14.86</v>
      </c>
      <c r="V60" s="1798">
        <v>18.16</v>
      </c>
      <c r="W60" s="1798">
        <v>509.75</v>
      </c>
    </row>
    <row r="61" spans="1:23" ht="46.5" customHeight="1">
      <c r="A61" s="1627" t="s">
        <v>215</v>
      </c>
      <c r="B61" s="1295">
        <v>102730</v>
      </c>
      <c r="C61" s="1302" t="s">
        <v>2855</v>
      </c>
      <c r="D61" s="1295" t="s">
        <v>100</v>
      </c>
      <c r="E61" s="1305">
        <v>14.64</v>
      </c>
      <c r="F61" s="1311">
        <f>VLOOKUP(B61,'CADERNO DE COMPOSIÇÃO'!$A$8:$J$15448,10,FALSE)</f>
        <v>14.55</v>
      </c>
      <c r="G61" s="1362">
        <v>103.3</v>
      </c>
      <c r="H61" s="1369">
        <v>103.3</v>
      </c>
      <c r="I61" s="1364">
        <f t="shared" si="8"/>
        <v>17.78</v>
      </c>
      <c r="J61" s="77">
        <f t="shared" si="9"/>
        <v>1836.67</v>
      </c>
      <c r="K61" s="319"/>
      <c r="L61" s="195"/>
      <c r="U61" s="98">
        <v>14.64</v>
      </c>
      <c r="V61" s="1798">
        <v>17.89</v>
      </c>
      <c r="W61" s="1798">
        <v>1848.03</v>
      </c>
    </row>
    <row r="62" spans="1:23" ht="46.5" customHeight="1">
      <c r="A62" s="1627" t="s">
        <v>216</v>
      </c>
      <c r="B62" s="1295">
        <v>102731</v>
      </c>
      <c r="C62" s="1302" t="s">
        <v>2856</v>
      </c>
      <c r="D62" s="1295" t="s">
        <v>100</v>
      </c>
      <c r="E62" s="1305">
        <v>12.41</v>
      </c>
      <c r="F62" s="1311">
        <f>VLOOKUP(B62,'CADERNO DE COMPOSIÇÃO'!$A$8:$J$15448,10,FALSE)</f>
        <v>12.319999999999999</v>
      </c>
      <c r="G62" s="1362">
        <v>114.3</v>
      </c>
      <c r="H62" s="1369">
        <v>114.3</v>
      </c>
      <c r="I62" s="1364">
        <f t="shared" si="8"/>
        <v>15.05</v>
      </c>
      <c r="J62" s="77">
        <f t="shared" si="9"/>
        <v>1720.21</v>
      </c>
      <c r="K62" s="319"/>
      <c r="L62" s="195">
        <f>TRUNC(SUM(J55:J62),2)</f>
        <v>23959.91</v>
      </c>
      <c r="U62" s="98">
        <v>12.41</v>
      </c>
      <c r="V62" s="1798">
        <v>15.16</v>
      </c>
      <c r="W62" s="1798">
        <v>1732.78</v>
      </c>
    </row>
    <row r="63" spans="1:23" ht="13.5" customHeight="1">
      <c r="A63" s="1625" t="s">
        <v>22</v>
      </c>
      <c r="B63" s="1606"/>
      <c r="C63" s="1607" t="s">
        <v>1327</v>
      </c>
      <c r="D63" s="1606"/>
      <c r="E63" s="1608"/>
      <c r="F63" s="1608"/>
      <c r="G63" s="1609" t="s">
        <v>42</v>
      </c>
      <c r="H63" s="1605"/>
      <c r="I63" s="1605" t="str">
        <f>IF(OR(E63&lt;=0)," ",TRUNC((E63*(1+$J$11)),2))</f>
        <v xml:space="preserve"> </v>
      </c>
      <c r="J63" s="176" t="str">
        <f>IF(OR(E63&lt;=0)," ",TRUNC((I63*G63),2))</f>
        <v xml:space="preserve"> </v>
      </c>
      <c r="K63" s="511" t="s">
        <v>426</v>
      </c>
      <c r="L63" s="195"/>
      <c r="U63" s="98"/>
      <c r="V63" s="1798" t="s">
        <v>42</v>
      </c>
      <c r="W63" s="1798" t="s">
        <v>42</v>
      </c>
    </row>
    <row r="64" spans="1:23" ht="28.5" customHeight="1">
      <c r="A64" s="1627" t="s">
        <v>218</v>
      </c>
      <c r="B64" s="1475" t="s">
        <v>1179</v>
      </c>
      <c r="C64" s="1302" t="s">
        <v>1389</v>
      </c>
      <c r="D64" s="1310" t="s">
        <v>46</v>
      </c>
      <c r="E64" s="1305">
        <f>K64</f>
        <v>161.19999999999999</v>
      </c>
      <c r="F64" s="1311">
        <f>VLOOKUP(B64,'CADERNO DE COMPOSIÇÃO'!$A$8:$J$15448,10,FALSE)</f>
        <v>160.36000000000001</v>
      </c>
      <c r="G64" s="1362">
        <v>209</v>
      </c>
      <c r="H64" s="1369">
        <v>209</v>
      </c>
      <c r="I64" s="1364">
        <f t="shared" ref="I64:I68" si="10">TRUNC(F64*(1+$J$11),2)</f>
        <v>196</v>
      </c>
      <c r="J64" s="77">
        <f t="shared" ref="J64:J68" si="11">TRUNC(I64*G64,2)</f>
        <v>40964</v>
      </c>
      <c r="K64" s="329">
        <f>'COMP ESTRUT'!F73</f>
        <v>161.19999999999999</v>
      </c>
      <c r="L64" s="382" t="s">
        <v>1986</v>
      </c>
      <c r="U64" s="98">
        <v>161.19999999999999</v>
      </c>
      <c r="V64" s="1798">
        <v>197.03</v>
      </c>
      <c r="W64" s="1798">
        <v>41179.269999999997</v>
      </c>
    </row>
    <row r="65" spans="1:23" ht="31.5" customHeight="1">
      <c r="A65" s="1627" t="s">
        <v>219</v>
      </c>
      <c r="B65" s="1295">
        <v>92768</v>
      </c>
      <c r="C65" s="1302" t="s">
        <v>2157</v>
      </c>
      <c r="D65" s="1295" t="s">
        <v>100</v>
      </c>
      <c r="E65" s="1305">
        <v>15.75</v>
      </c>
      <c r="F65" s="1311">
        <f>VLOOKUP(B65,'CADERNO DE COMPOSIÇÃO'!$A$8:$J$15448,10,FALSE)</f>
        <v>15.639999999999999</v>
      </c>
      <c r="G65" s="1362">
        <v>97.45</v>
      </c>
      <c r="H65" s="1369">
        <v>97.45</v>
      </c>
      <c r="I65" s="1364">
        <f t="shared" si="10"/>
        <v>19.11</v>
      </c>
      <c r="J65" s="77">
        <f t="shared" si="11"/>
        <v>1862.26</v>
      </c>
      <c r="K65" s="195"/>
      <c r="L65" s="197"/>
      <c r="U65" s="98">
        <v>15.75</v>
      </c>
      <c r="V65" s="1798">
        <v>19.25</v>
      </c>
      <c r="W65" s="1798">
        <v>1875.91</v>
      </c>
    </row>
    <row r="66" spans="1:23" ht="35.25" customHeight="1">
      <c r="A66" s="1627" t="s">
        <v>220</v>
      </c>
      <c r="B66" s="1295">
        <v>92769</v>
      </c>
      <c r="C66" s="1302" t="s">
        <v>2158</v>
      </c>
      <c r="D66" s="1295" t="s">
        <v>100</v>
      </c>
      <c r="E66" s="1305">
        <v>15.41</v>
      </c>
      <c r="F66" s="1311">
        <f>VLOOKUP(B66,'CADERNO DE COMPOSIÇÃO'!$A$8:$J$15448,10,FALSE)</f>
        <v>15.299999999999999</v>
      </c>
      <c r="G66" s="1362">
        <v>160</v>
      </c>
      <c r="H66" s="1369">
        <v>160</v>
      </c>
      <c r="I66" s="1364">
        <f t="shared" si="10"/>
        <v>18.7</v>
      </c>
      <c r="J66" s="77">
        <f t="shared" si="11"/>
        <v>2992</v>
      </c>
      <c r="K66" s="195"/>
      <c r="L66" s="197"/>
      <c r="U66" s="98">
        <v>15.41</v>
      </c>
      <c r="V66" s="1798">
        <v>18.829999999999998</v>
      </c>
      <c r="W66" s="1798">
        <v>3012.8</v>
      </c>
    </row>
    <row r="67" spans="1:23" ht="35.25" customHeight="1">
      <c r="A67" s="1627" t="s">
        <v>221</v>
      </c>
      <c r="B67" s="1295">
        <v>92770</v>
      </c>
      <c r="C67" s="1302" t="s">
        <v>2159</v>
      </c>
      <c r="D67" s="1295" t="s">
        <v>100</v>
      </c>
      <c r="E67" s="1305">
        <v>14.86</v>
      </c>
      <c r="F67" s="1311">
        <f>VLOOKUP(B67,'CADERNO DE COMPOSIÇÃO'!$A$8:$J$15448,10,FALSE)</f>
        <v>14.76</v>
      </c>
      <c r="G67" s="1362">
        <v>73.03</v>
      </c>
      <c r="H67" s="1369">
        <v>73.03</v>
      </c>
      <c r="I67" s="1364">
        <f t="shared" si="10"/>
        <v>18.04</v>
      </c>
      <c r="J67" s="77">
        <f t="shared" si="11"/>
        <v>1317.46</v>
      </c>
      <c r="K67" s="195"/>
      <c r="L67" s="311"/>
      <c r="U67" s="98">
        <v>14.86</v>
      </c>
      <c r="V67" s="1798">
        <v>18.16</v>
      </c>
      <c r="W67" s="1798">
        <v>1326.22</v>
      </c>
    </row>
    <row r="68" spans="1:23" ht="47.25" customHeight="1">
      <c r="A68" s="1627" t="s">
        <v>222</v>
      </c>
      <c r="B68" s="1295">
        <v>102730</v>
      </c>
      <c r="C68" s="1302" t="s">
        <v>2855</v>
      </c>
      <c r="D68" s="1295" t="s">
        <v>100</v>
      </c>
      <c r="E68" s="1305">
        <v>14.64</v>
      </c>
      <c r="F68" s="1311">
        <f>VLOOKUP(B68,'CADERNO DE COMPOSIÇÃO'!$A$8:$J$15448,10,FALSE)</f>
        <v>14.55</v>
      </c>
      <c r="G68" s="1362">
        <v>11.8</v>
      </c>
      <c r="H68" s="1369">
        <v>11.8</v>
      </c>
      <c r="I68" s="1364">
        <f t="shared" si="10"/>
        <v>17.78</v>
      </c>
      <c r="J68" s="77">
        <f t="shared" si="11"/>
        <v>209.8</v>
      </c>
      <c r="K68" s="195"/>
      <c r="L68" s="322">
        <f>TRUNC(SUM(J64:J68),2)</f>
        <v>47345.52</v>
      </c>
      <c r="U68" s="98">
        <v>14.64</v>
      </c>
      <c r="V68" s="1798">
        <v>17.89</v>
      </c>
      <c r="W68" s="1798">
        <v>211.1</v>
      </c>
    </row>
    <row r="69" spans="1:23">
      <c r="A69" s="1625" t="s">
        <v>22</v>
      </c>
      <c r="B69" s="1606"/>
      <c r="C69" s="1607" t="s">
        <v>217</v>
      </c>
      <c r="D69" s="1606"/>
      <c r="E69" s="1608"/>
      <c r="F69" s="1608"/>
      <c r="G69" s="1609" t="s">
        <v>42</v>
      </c>
      <c r="H69" s="1605"/>
      <c r="I69" s="1605" t="str">
        <f>IF(OR(E69&lt;=0)," ",TRUNC((E69*(1+$J$11)),2))</f>
        <v xml:space="preserve"> </v>
      </c>
      <c r="J69" s="176" t="str">
        <f>IF(OR(E69&lt;=0)," ",TRUNC((I69*G69),2))</f>
        <v xml:space="preserve"> </v>
      </c>
      <c r="K69" s="511" t="s">
        <v>426</v>
      </c>
      <c r="L69" s="53"/>
      <c r="U69" s="98"/>
      <c r="V69" s="1798" t="s">
        <v>42</v>
      </c>
      <c r="W69" s="1798" t="s">
        <v>42</v>
      </c>
    </row>
    <row r="70" spans="1:23" ht="58.5" customHeight="1">
      <c r="A70" s="1086" t="s">
        <v>218</v>
      </c>
      <c r="B70" s="1026">
        <v>92431</v>
      </c>
      <c r="C70" s="1087" t="s">
        <v>2857</v>
      </c>
      <c r="D70" s="1026" t="s">
        <v>46</v>
      </c>
      <c r="E70" s="1067">
        <v>66.599999999999994</v>
      </c>
      <c r="F70" s="1311">
        <f>VLOOKUP(B70,'CADERNO DE COMPOSIÇÃO'!$A$8:$J$15448,10,FALSE)</f>
        <v>66.3</v>
      </c>
      <c r="G70" s="1073">
        <v>193.57</v>
      </c>
      <c r="H70" s="1369">
        <v>193.57</v>
      </c>
      <c r="I70" s="1028">
        <f t="shared" ref="I70:I76" si="12">TRUNC(F70*(1+$J$11),2)</f>
        <v>81.03</v>
      </c>
      <c r="J70" s="1031">
        <f t="shared" ref="J70:J76" si="13">TRUNC(I70*G70,2)</f>
        <v>15684.97</v>
      </c>
      <c r="K70" s="195"/>
      <c r="L70" s="53"/>
      <c r="U70" s="98">
        <v>66.599999999999994</v>
      </c>
      <c r="V70" s="1798">
        <v>81.400000000000006</v>
      </c>
      <c r="W70" s="1798">
        <v>15756.59</v>
      </c>
    </row>
    <row r="71" spans="1:23" ht="37.5" customHeight="1">
      <c r="A71" s="1627" t="s">
        <v>219</v>
      </c>
      <c r="B71" s="1295">
        <v>94965</v>
      </c>
      <c r="C71" s="1302" t="s">
        <v>2854</v>
      </c>
      <c r="D71" s="1307" t="s">
        <v>47</v>
      </c>
      <c r="E71" s="1305">
        <v>568</v>
      </c>
      <c r="F71" s="1311">
        <f>VLOOKUP(B71,'CADERNO DE COMPOSIÇÃO'!$A$8:$J$15448,10,FALSE)</f>
        <v>563.42999999999995</v>
      </c>
      <c r="G71" s="1362">
        <v>10.77</v>
      </c>
      <c r="H71" s="1369">
        <v>10.77</v>
      </c>
      <c r="I71" s="1364">
        <f t="shared" si="12"/>
        <v>688.68</v>
      </c>
      <c r="J71" s="77">
        <f t="shared" si="13"/>
        <v>7417.08</v>
      </c>
      <c r="K71" s="195"/>
      <c r="L71" s="53"/>
      <c r="U71" s="98">
        <v>568</v>
      </c>
      <c r="V71" s="1798">
        <v>694.26</v>
      </c>
      <c r="W71" s="1798">
        <v>7477.18</v>
      </c>
    </row>
    <row r="72" spans="1:23" ht="28.5">
      <c r="A72" s="1116" t="s">
        <v>220</v>
      </c>
      <c r="B72" s="1565">
        <v>103673</v>
      </c>
      <c r="C72" s="1469" t="s">
        <v>2317</v>
      </c>
      <c r="D72" s="1566" t="s">
        <v>47</v>
      </c>
      <c r="E72" s="1068">
        <v>37.31</v>
      </c>
      <c r="F72" s="1311">
        <f>VLOOKUP(B72,'CADERNO DE COMPOSIÇÃO'!$A$8:$J$15448,10,FALSE)</f>
        <v>37.31</v>
      </c>
      <c r="G72" s="1359">
        <v>10.77</v>
      </c>
      <c r="H72" s="1369">
        <v>10.77</v>
      </c>
      <c r="I72" s="1360">
        <f t="shared" si="12"/>
        <v>45.6</v>
      </c>
      <c r="J72" s="1361">
        <f t="shared" si="13"/>
        <v>491.11</v>
      </c>
      <c r="K72" s="195"/>
      <c r="L72" s="53"/>
      <c r="U72" s="98">
        <v>37.31</v>
      </c>
      <c r="V72" s="1798">
        <v>45.6</v>
      </c>
      <c r="W72" s="1798">
        <v>491.11</v>
      </c>
    </row>
    <row r="73" spans="1:23" ht="48.75" customHeight="1">
      <c r="A73" s="1627" t="s">
        <v>221</v>
      </c>
      <c r="B73" s="1295">
        <v>92759</v>
      </c>
      <c r="C73" s="1302" t="s">
        <v>2858</v>
      </c>
      <c r="D73" s="1295" t="s">
        <v>100</v>
      </c>
      <c r="E73" s="1305">
        <v>17.11</v>
      </c>
      <c r="F73" s="1311">
        <f>VLOOKUP(B73,'CADERNO DE COMPOSIÇÃO'!$A$8:$J$15448,10,FALSE)</f>
        <v>16.079999999999998</v>
      </c>
      <c r="G73" s="1362">
        <v>254.9</v>
      </c>
      <c r="H73" s="1369">
        <v>254.9</v>
      </c>
      <c r="I73" s="1364">
        <f t="shared" si="12"/>
        <v>19.649999999999999</v>
      </c>
      <c r="J73" s="77">
        <f t="shared" si="13"/>
        <v>5008.78</v>
      </c>
      <c r="K73" s="320"/>
      <c r="L73" s="53"/>
      <c r="U73" s="98">
        <v>17.11</v>
      </c>
      <c r="V73" s="1798">
        <v>20.91</v>
      </c>
      <c r="W73" s="1798">
        <v>5329.95</v>
      </c>
    </row>
    <row r="74" spans="1:23" ht="42.75">
      <c r="A74" s="1627" t="s">
        <v>222</v>
      </c>
      <c r="B74" s="1295">
        <v>92762</v>
      </c>
      <c r="C74" s="1302" t="s">
        <v>2154</v>
      </c>
      <c r="D74" s="1295" t="s">
        <v>100</v>
      </c>
      <c r="E74" s="1305">
        <v>15.41</v>
      </c>
      <c r="F74" s="1311">
        <f>VLOOKUP(B74,'CADERNO DE COMPOSIÇÃO'!$A$8:$J$15448,10,FALSE)</f>
        <v>13.77</v>
      </c>
      <c r="G74" s="1362">
        <v>574.1</v>
      </c>
      <c r="H74" s="1369">
        <v>574.1</v>
      </c>
      <c r="I74" s="1364">
        <f t="shared" si="12"/>
        <v>16.829999999999998</v>
      </c>
      <c r="J74" s="77">
        <f t="shared" si="13"/>
        <v>9662.1</v>
      </c>
      <c r="K74" s="320"/>
      <c r="L74" s="53"/>
      <c r="U74" s="98">
        <v>15.41</v>
      </c>
      <c r="V74" s="1798">
        <v>18.829999999999998</v>
      </c>
      <c r="W74" s="1798">
        <v>10810.3</v>
      </c>
    </row>
    <row r="75" spans="1:23" ht="42.75">
      <c r="A75" s="1627" t="s">
        <v>1180</v>
      </c>
      <c r="B75" s="1295">
        <v>92763</v>
      </c>
      <c r="C75" s="1302" t="s">
        <v>2156</v>
      </c>
      <c r="D75" s="1295" t="s">
        <v>100</v>
      </c>
      <c r="E75" s="1305">
        <v>11.76</v>
      </c>
      <c r="F75" s="1311">
        <f>VLOOKUP(B75,'CADERNO DE COMPOSIÇÃO'!$A$8:$J$15448,10,FALSE)</f>
        <v>11.669999999999998</v>
      </c>
      <c r="G75" s="1362">
        <v>11.1</v>
      </c>
      <c r="H75" s="1369">
        <v>11.1</v>
      </c>
      <c r="I75" s="1364">
        <f t="shared" si="12"/>
        <v>14.26</v>
      </c>
      <c r="J75" s="77">
        <f t="shared" si="13"/>
        <v>158.28</v>
      </c>
      <c r="K75" s="320"/>
      <c r="L75" s="53"/>
      <c r="U75" s="98">
        <v>11.76</v>
      </c>
      <c r="V75" s="1798">
        <v>14.37</v>
      </c>
      <c r="W75" s="1798">
        <v>159.5</v>
      </c>
    </row>
    <row r="76" spans="1:23" ht="42.75">
      <c r="A76" s="1627" t="s">
        <v>1328</v>
      </c>
      <c r="B76" s="1295">
        <v>92764</v>
      </c>
      <c r="C76" s="1302" t="s">
        <v>2155</v>
      </c>
      <c r="D76" s="1295" t="s">
        <v>100</v>
      </c>
      <c r="E76" s="1305">
        <v>11.49</v>
      </c>
      <c r="F76" s="1311">
        <f>VLOOKUP(B76,'CADERNO DE COMPOSIÇÃO'!$A$8:$J$15448,10,FALSE)</f>
        <v>11.41</v>
      </c>
      <c r="G76" s="1362">
        <v>428.3</v>
      </c>
      <c r="H76" s="1369">
        <v>428.3</v>
      </c>
      <c r="I76" s="1364">
        <f t="shared" si="12"/>
        <v>13.94</v>
      </c>
      <c r="J76" s="77">
        <f t="shared" si="13"/>
        <v>5970.5</v>
      </c>
      <c r="K76" s="320"/>
      <c r="L76" s="195">
        <f>TRUNC(SUM(J70:J76),2)</f>
        <v>44392.82</v>
      </c>
      <c r="U76" s="98">
        <v>11.49</v>
      </c>
      <c r="V76" s="1798">
        <v>14.04</v>
      </c>
      <c r="W76" s="1798">
        <v>6013.33</v>
      </c>
    </row>
    <row r="77" spans="1:23" ht="14.25" customHeight="1">
      <c r="A77" s="1625" t="s">
        <v>199</v>
      </c>
      <c r="B77" s="1606"/>
      <c r="C77" s="1607" t="s">
        <v>586</v>
      </c>
      <c r="D77" s="1606"/>
      <c r="E77" s="1608"/>
      <c r="F77" s="1608"/>
      <c r="G77" s="1609" t="s">
        <v>42</v>
      </c>
      <c r="H77" s="1605"/>
      <c r="I77" s="1605" t="str">
        <f>IF(OR(E77&lt;=0)," ",TRUNC((E77*(1+$J$11)),2))</f>
        <v xml:space="preserve"> </v>
      </c>
      <c r="J77" s="176" t="str">
        <f>IF(OR(E77&lt;=0)," ",TRUNC((I77*G77),2))</f>
        <v xml:space="preserve"> </v>
      </c>
      <c r="K77" s="511" t="s">
        <v>426</v>
      </c>
      <c r="L77" s="53"/>
      <c r="U77" s="98"/>
      <c r="V77" s="1798" t="s">
        <v>42</v>
      </c>
      <c r="W77" s="1798" t="s">
        <v>42</v>
      </c>
    </row>
    <row r="78" spans="1:23" ht="48" customHeight="1">
      <c r="A78" s="1627" t="s">
        <v>223</v>
      </c>
      <c r="B78" s="1295">
        <v>92479</v>
      </c>
      <c r="C78" s="1302" t="s">
        <v>2859</v>
      </c>
      <c r="D78" s="1295" t="s">
        <v>46</v>
      </c>
      <c r="E78" s="1305">
        <v>80.47</v>
      </c>
      <c r="F78" s="1311">
        <f>VLOOKUP(B78,'CADERNO DE COMPOSIÇÃO'!$A$8:$J$15448,10,FALSE)</f>
        <v>80.09</v>
      </c>
      <c r="G78" s="1362">
        <v>164.63</v>
      </c>
      <c r="H78" s="1369">
        <v>164.63</v>
      </c>
      <c r="I78" s="1364">
        <f t="shared" ref="I78:I87" si="14">TRUNC(F78*(1+$J$11),2)</f>
        <v>97.89</v>
      </c>
      <c r="J78" s="77">
        <f t="shared" ref="J78:J87" si="15">TRUNC(I78*G78,2)</f>
        <v>16115.63</v>
      </c>
      <c r="K78" s="321"/>
      <c r="L78" s="53"/>
      <c r="U78" s="98">
        <v>80.47</v>
      </c>
      <c r="V78" s="1798">
        <v>98.35</v>
      </c>
      <c r="W78" s="1798">
        <v>16191.36</v>
      </c>
    </row>
    <row r="79" spans="1:23" ht="30.75" customHeight="1">
      <c r="A79" s="1627" t="s">
        <v>224</v>
      </c>
      <c r="B79" s="1295">
        <v>94965</v>
      </c>
      <c r="C79" s="1302" t="s">
        <v>2854</v>
      </c>
      <c r="D79" s="1307" t="s">
        <v>47</v>
      </c>
      <c r="E79" s="1305">
        <v>568</v>
      </c>
      <c r="F79" s="1311">
        <f>VLOOKUP(B79,'CADERNO DE COMPOSIÇÃO'!$A$8:$J$15448,10,FALSE)</f>
        <v>563.42999999999995</v>
      </c>
      <c r="G79" s="1362">
        <v>10.77</v>
      </c>
      <c r="H79" s="1369">
        <v>10.77</v>
      </c>
      <c r="I79" s="1364">
        <f t="shared" si="14"/>
        <v>688.68</v>
      </c>
      <c r="J79" s="77">
        <f t="shared" si="15"/>
        <v>7417.08</v>
      </c>
      <c r="K79" s="321"/>
      <c r="L79" s="53"/>
      <c r="U79" s="98">
        <v>568</v>
      </c>
      <c r="V79" s="1798">
        <v>694.26</v>
      </c>
      <c r="W79" s="1798">
        <v>7477.18</v>
      </c>
    </row>
    <row r="80" spans="1:23" ht="30.75" customHeight="1">
      <c r="A80" s="1627" t="s">
        <v>225</v>
      </c>
      <c r="B80" s="1295">
        <v>103673</v>
      </c>
      <c r="C80" s="1302" t="s">
        <v>2317</v>
      </c>
      <c r="D80" s="1307" t="s">
        <v>47</v>
      </c>
      <c r="E80" s="1305">
        <v>37.31</v>
      </c>
      <c r="F80" s="1311">
        <f>VLOOKUP(B80,'CADERNO DE COMPOSIÇÃO'!$A$8:$J$15448,10,FALSE)</f>
        <v>37.31</v>
      </c>
      <c r="G80" s="1362">
        <v>10.77</v>
      </c>
      <c r="H80" s="1369">
        <v>10.77</v>
      </c>
      <c r="I80" s="1364">
        <f t="shared" si="14"/>
        <v>45.6</v>
      </c>
      <c r="J80" s="77">
        <f t="shared" si="15"/>
        <v>491.11</v>
      </c>
      <c r="K80" s="321"/>
      <c r="L80" s="53"/>
      <c r="U80" s="98">
        <v>37.31</v>
      </c>
      <c r="V80" s="1798">
        <v>45.6</v>
      </c>
      <c r="W80" s="1798">
        <v>491.11</v>
      </c>
    </row>
    <row r="81" spans="1:23" ht="48" customHeight="1">
      <c r="A81" s="1627" t="s">
        <v>226</v>
      </c>
      <c r="B81" s="1295">
        <v>92759</v>
      </c>
      <c r="C81" s="1302" t="s">
        <v>2153</v>
      </c>
      <c r="D81" s="1295" t="s">
        <v>100</v>
      </c>
      <c r="E81" s="1305">
        <v>16.190000000000001</v>
      </c>
      <c r="F81" s="1311">
        <f>VLOOKUP(B81,'CADERNO DE COMPOSIÇÃO'!$A$8:$J$15448,10,FALSE)</f>
        <v>16.079999999999998</v>
      </c>
      <c r="G81" s="1362">
        <v>137.9</v>
      </c>
      <c r="H81" s="1369">
        <v>137.9</v>
      </c>
      <c r="I81" s="1364">
        <f t="shared" si="14"/>
        <v>19.649999999999999</v>
      </c>
      <c r="J81" s="77">
        <f t="shared" si="15"/>
        <v>2709.73</v>
      </c>
      <c r="K81" s="321"/>
      <c r="L81" s="425"/>
      <c r="U81" s="98">
        <v>16.190000000000001</v>
      </c>
      <c r="V81" s="1798">
        <v>19.78</v>
      </c>
      <c r="W81" s="1798">
        <v>2727.66</v>
      </c>
    </row>
    <row r="82" spans="1:23" ht="33.75" customHeight="1">
      <c r="A82" s="1627" t="s">
        <v>227</v>
      </c>
      <c r="B82" s="1295">
        <v>92760</v>
      </c>
      <c r="C82" s="1302" t="s">
        <v>2319</v>
      </c>
      <c r="D82" s="1295" t="s">
        <v>100</v>
      </c>
      <c r="E82" s="1305">
        <v>15.87</v>
      </c>
      <c r="F82" s="1311">
        <f>VLOOKUP(B82,'CADERNO DE COMPOSIÇÃO'!$A$8:$J$15448,10,FALSE)</f>
        <v>15.77</v>
      </c>
      <c r="G82" s="1362">
        <v>131.5</v>
      </c>
      <c r="H82" s="1369">
        <v>131.5</v>
      </c>
      <c r="I82" s="1364">
        <f t="shared" si="14"/>
        <v>19.27</v>
      </c>
      <c r="J82" s="77">
        <f t="shared" si="15"/>
        <v>2534</v>
      </c>
      <c r="K82" s="321"/>
      <c r="L82" s="425"/>
      <c r="U82" s="98">
        <v>15.87</v>
      </c>
      <c r="V82" s="1798">
        <v>19.39</v>
      </c>
      <c r="W82" s="1798">
        <v>2549.7800000000002</v>
      </c>
    </row>
    <row r="83" spans="1:23" ht="36.75" customHeight="1">
      <c r="A83" s="1627" t="s">
        <v>228</v>
      </c>
      <c r="B83" s="1295">
        <v>92761</v>
      </c>
      <c r="C83" s="1302" t="s">
        <v>2320</v>
      </c>
      <c r="D83" s="1295" t="s">
        <v>100</v>
      </c>
      <c r="E83" s="1305">
        <v>15.3</v>
      </c>
      <c r="F83" s="1311">
        <f>VLOOKUP(B83,'CADERNO DE COMPOSIÇÃO'!$A$8:$J$15448,10,FALSE)</f>
        <v>15.200000000000001</v>
      </c>
      <c r="G83" s="1362">
        <v>54.8</v>
      </c>
      <c r="H83" s="1369">
        <v>54.8</v>
      </c>
      <c r="I83" s="1364">
        <f t="shared" si="14"/>
        <v>18.57</v>
      </c>
      <c r="J83" s="77">
        <f t="shared" si="15"/>
        <v>1017.63</v>
      </c>
      <c r="K83" s="321"/>
      <c r="L83" s="425"/>
      <c r="U83" s="98">
        <v>15.3</v>
      </c>
      <c r="V83" s="1798">
        <v>18.7</v>
      </c>
      <c r="W83" s="1798">
        <v>1024.76</v>
      </c>
    </row>
    <row r="84" spans="1:23" ht="43.5" customHeight="1">
      <c r="A84" s="1627" t="s">
        <v>229</v>
      </c>
      <c r="B84" s="1295">
        <v>92762</v>
      </c>
      <c r="C84" s="1302" t="s">
        <v>2154</v>
      </c>
      <c r="D84" s="1295" t="s">
        <v>100</v>
      </c>
      <c r="E84" s="1305">
        <v>13.89</v>
      </c>
      <c r="F84" s="1311">
        <f>VLOOKUP(B84,'CADERNO DE COMPOSIÇÃO'!$A$8:$J$15448,10,FALSE)</f>
        <v>13.77</v>
      </c>
      <c r="G84" s="1362">
        <v>329.4</v>
      </c>
      <c r="H84" s="1369">
        <v>329.4</v>
      </c>
      <c r="I84" s="1364">
        <f t="shared" si="14"/>
        <v>16.829999999999998</v>
      </c>
      <c r="J84" s="77">
        <f t="shared" si="15"/>
        <v>5543.8</v>
      </c>
      <c r="K84" s="322"/>
      <c r="L84" s="425"/>
      <c r="U84" s="98">
        <v>13.89</v>
      </c>
      <c r="V84" s="1798">
        <v>16.97</v>
      </c>
      <c r="W84" s="1798">
        <v>5589.91</v>
      </c>
    </row>
    <row r="85" spans="1:23" ht="43.5" customHeight="1">
      <c r="A85" s="1627" t="s">
        <v>1181</v>
      </c>
      <c r="B85" s="1295">
        <v>92763</v>
      </c>
      <c r="C85" s="1302" t="s">
        <v>2156</v>
      </c>
      <c r="D85" s="1295" t="s">
        <v>100</v>
      </c>
      <c r="E85" s="1305">
        <v>11.76</v>
      </c>
      <c r="F85" s="1311">
        <f>VLOOKUP(B85,'CADERNO DE COMPOSIÇÃO'!$A$8:$J$15448,10,FALSE)</f>
        <v>11.669999999999998</v>
      </c>
      <c r="G85" s="1073">
        <v>21.5</v>
      </c>
      <c r="H85" s="1369">
        <v>21.5</v>
      </c>
      <c r="I85" s="1028">
        <f t="shared" si="14"/>
        <v>14.26</v>
      </c>
      <c r="J85" s="1031">
        <f t="shared" si="15"/>
        <v>306.58999999999997</v>
      </c>
      <c r="K85" s="322"/>
      <c r="L85" s="425"/>
      <c r="U85" s="98">
        <v>11.76</v>
      </c>
      <c r="V85" s="1798">
        <v>14.37</v>
      </c>
      <c r="W85" s="1798">
        <v>308.95</v>
      </c>
    </row>
    <row r="86" spans="1:23" ht="45.75" customHeight="1">
      <c r="A86" s="1627" t="s">
        <v>1182</v>
      </c>
      <c r="B86" s="1295">
        <v>92764</v>
      </c>
      <c r="C86" s="1313" t="s">
        <v>2155</v>
      </c>
      <c r="D86" s="1295" t="s">
        <v>100</v>
      </c>
      <c r="E86" s="1305">
        <v>11.49</v>
      </c>
      <c r="F86" s="1311">
        <f>VLOOKUP(B86,'CADERNO DE COMPOSIÇÃO'!$A$8:$J$15448,10,FALSE)</f>
        <v>11.41</v>
      </c>
      <c r="G86" s="1073">
        <v>90.4</v>
      </c>
      <c r="H86" s="1369">
        <v>90.4</v>
      </c>
      <c r="I86" s="1028">
        <f t="shared" si="14"/>
        <v>13.94</v>
      </c>
      <c r="J86" s="1031">
        <f t="shared" si="15"/>
        <v>1260.17</v>
      </c>
      <c r="K86" s="322"/>
      <c r="L86" s="425"/>
      <c r="U86" s="98">
        <v>11.49</v>
      </c>
      <c r="V86" s="1798">
        <v>14.04</v>
      </c>
      <c r="W86" s="1798">
        <v>1269.21</v>
      </c>
    </row>
    <row r="87" spans="1:23" ht="48" customHeight="1">
      <c r="A87" s="1086" t="s">
        <v>1183</v>
      </c>
      <c r="B87" s="1026">
        <v>92765</v>
      </c>
      <c r="C87" s="1087" t="s">
        <v>2321</v>
      </c>
      <c r="D87" s="1026" t="s">
        <v>100</v>
      </c>
      <c r="E87" s="1067">
        <v>13.2</v>
      </c>
      <c r="F87" s="1311">
        <f>VLOOKUP(B87,'CADERNO DE COMPOSIÇÃO'!$A$8:$J$15448,10,FALSE)</f>
        <v>13.11</v>
      </c>
      <c r="G87" s="1073">
        <v>40.200000000000003</v>
      </c>
      <c r="H87" s="1074">
        <v>40.200000000000003</v>
      </c>
      <c r="I87" s="1028">
        <f t="shared" si="14"/>
        <v>16.02</v>
      </c>
      <c r="J87" s="1031">
        <f t="shared" si="15"/>
        <v>644</v>
      </c>
      <c r="K87" s="322"/>
      <c r="L87" s="1613">
        <f>TRUNC(SUM(J78:J87),2)</f>
        <v>38039.74</v>
      </c>
      <c r="U87" s="98">
        <v>13.2</v>
      </c>
      <c r="V87" s="1798">
        <v>16.13</v>
      </c>
      <c r="W87" s="1798">
        <v>648.41999999999996</v>
      </c>
    </row>
    <row r="88" spans="1:23" ht="13.5" customHeight="1">
      <c r="A88" s="1625" t="s">
        <v>1184</v>
      </c>
      <c r="B88" s="1606"/>
      <c r="C88" s="1607" t="s">
        <v>1185</v>
      </c>
      <c r="D88" s="1606"/>
      <c r="E88" s="1608"/>
      <c r="F88" s="1608"/>
      <c r="G88" s="1609" t="s">
        <v>42</v>
      </c>
      <c r="H88" s="1605"/>
      <c r="I88" s="1605" t="str">
        <f>IF(OR(E88&lt;=0)," ",TRUNC((E88*(1+$J$11)),2))</f>
        <v xml:space="preserve"> </v>
      </c>
      <c r="J88" s="176" t="str">
        <f>IF(OR(E88&lt;=0)," ",TRUNC((I88*G88),2))</f>
        <v xml:space="preserve"> </v>
      </c>
      <c r="K88" s="511" t="s">
        <v>426</v>
      </c>
      <c r="L88" s="53"/>
      <c r="U88" s="98"/>
      <c r="V88" s="1798" t="s">
        <v>42</v>
      </c>
      <c r="W88" s="1798" t="s">
        <v>42</v>
      </c>
    </row>
    <row r="89" spans="1:23" ht="41.25" customHeight="1">
      <c r="A89" s="1628" t="s">
        <v>1186</v>
      </c>
      <c r="B89" s="1295">
        <v>92479</v>
      </c>
      <c r="C89" s="1302" t="s">
        <v>2859</v>
      </c>
      <c r="D89" s="1295" t="s">
        <v>46</v>
      </c>
      <c r="E89" s="1301">
        <v>80.47</v>
      </c>
      <c r="F89" s="1311">
        <f>VLOOKUP(B89,'CADERNO DE COMPOSIÇÃO'!$A$8:$J$15448,10,FALSE)</f>
        <v>80.09</v>
      </c>
      <c r="G89" s="1362">
        <v>32.53</v>
      </c>
      <c r="H89" s="1368">
        <v>32.53</v>
      </c>
      <c r="I89" s="1364">
        <f t="shared" ref="I89:I93" si="16">TRUNC(F89*(1+$J$11),2)</f>
        <v>97.89</v>
      </c>
      <c r="J89" s="77">
        <f t="shared" ref="J89:J93" si="17">TRUNC(I89*G89,2)</f>
        <v>3184.36</v>
      </c>
      <c r="K89" s="181"/>
      <c r="L89" s="53"/>
      <c r="U89" s="98">
        <v>80.47</v>
      </c>
      <c r="V89" s="1798">
        <v>98.35</v>
      </c>
      <c r="W89" s="1798">
        <v>3199.32</v>
      </c>
    </row>
    <row r="90" spans="1:23" ht="34.5" customHeight="1">
      <c r="A90" s="1628" t="s">
        <v>1187</v>
      </c>
      <c r="B90" s="1295">
        <v>94965</v>
      </c>
      <c r="C90" s="1793" t="s">
        <v>2854</v>
      </c>
      <c r="D90" s="1307" t="s">
        <v>47</v>
      </c>
      <c r="E90" s="1301">
        <v>568</v>
      </c>
      <c r="F90" s="1311">
        <f>VLOOKUP(B90,'CADERNO DE COMPOSIÇÃO'!$A$8:$J$15448,10,FALSE)</f>
        <v>563.42999999999995</v>
      </c>
      <c r="G90" s="1073">
        <v>1.88</v>
      </c>
      <c r="H90" s="1368">
        <v>1.88</v>
      </c>
      <c r="I90" s="1028">
        <f t="shared" si="16"/>
        <v>688.68</v>
      </c>
      <c r="J90" s="1031">
        <f t="shared" si="17"/>
        <v>1294.71</v>
      </c>
      <c r="K90" s="181"/>
      <c r="L90" s="53"/>
      <c r="U90" s="98">
        <v>568</v>
      </c>
      <c r="V90" s="1798">
        <v>694.26</v>
      </c>
      <c r="W90" s="1798">
        <v>1305.2</v>
      </c>
    </row>
    <row r="91" spans="1:23" ht="33.75" customHeight="1">
      <c r="A91" s="1628" t="s">
        <v>1189</v>
      </c>
      <c r="B91" s="1295">
        <v>103673</v>
      </c>
      <c r="C91" s="1302" t="s">
        <v>2317</v>
      </c>
      <c r="D91" s="1307" t="s">
        <v>47</v>
      </c>
      <c r="E91" s="1305">
        <v>37.31</v>
      </c>
      <c r="F91" s="1311">
        <f>VLOOKUP(B91,'CADERNO DE COMPOSIÇÃO'!$A$8:$J$15448,10,FALSE)</f>
        <v>37.31</v>
      </c>
      <c r="G91" s="1073">
        <v>1.88</v>
      </c>
      <c r="H91" s="1368">
        <v>1.88</v>
      </c>
      <c r="I91" s="1028">
        <f t="shared" si="16"/>
        <v>45.6</v>
      </c>
      <c r="J91" s="1031">
        <f t="shared" si="17"/>
        <v>85.72</v>
      </c>
      <c r="K91" s="181"/>
      <c r="L91" s="53"/>
      <c r="U91" s="98">
        <v>37.31</v>
      </c>
      <c r="V91" s="1798">
        <v>45.6</v>
      </c>
      <c r="W91" s="1798">
        <v>85.72</v>
      </c>
    </row>
    <row r="92" spans="1:23" ht="50.25" customHeight="1">
      <c r="A92" s="1628" t="s">
        <v>1190</v>
      </c>
      <c r="B92" s="1295">
        <v>92759</v>
      </c>
      <c r="C92" s="1302" t="s">
        <v>2153</v>
      </c>
      <c r="D92" s="1295" t="s">
        <v>100</v>
      </c>
      <c r="E92" s="1305">
        <v>16.190000000000001</v>
      </c>
      <c r="F92" s="1311">
        <f>VLOOKUP(B92,'CADERNO DE COMPOSIÇÃO'!$A$8:$J$15448,10,FALSE)</f>
        <v>16.079999999999998</v>
      </c>
      <c r="G92" s="1073">
        <v>34.1</v>
      </c>
      <c r="H92" s="1368">
        <v>34.1</v>
      </c>
      <c r="I92" s="1028">
        <f t="shared" si="16"/>
        <v>19.649999999999999</v>
      </c>
      <c r="J92" s="1031">
        <f t="shared" si="17"/>
        <v>670.06</v>
      </c>
      <c r="K92" s="181"/>
      <c r="L92" s="53"/>
      <c r="U92" s="98">
        <v>16.190000000000001</v>
      </c>
      <c r="V92" s="1798">
        <v>19.78</v>
      </c>
      <c r="W92" s="1798">
        <v>674.49</v>
      </c>
    </row>
    <row r="93" spans="1:23" ht="41.25" customHeight="1">
      <c r="A93" s="1628" t="s">
        <v>1188</v>
      </c>
      <c r="B93" s="1295">
        <v>92761</v>
      </c>
      <c r="C93" s="1302" t="s">
        <v>2322</v>
      </c>
      <c r="D93" s="1295" t="s">
        <v>100</v>
      </c>
      <c r="E93" s="1305">
        <v>15.3</v>
      </c>
      <c r="F93" s="1311">
        <f>VLOOKUP(B93,'CADERNO DE COMPOSIÇÃO'!$A$8:$J$15448,10,FALSE)</f>
        <v>15.200000000000001</v>
      </c>
      <c r="G93" s="1073">
        <v>73.7</v>
      </c>
      <c r="H93" s="1368">
        <v>73.7</v>
      </c>
      <c r="I93" s="1028">
        <f t="shared" si="16"/>
        <v>18.57</v>
      </c>
      <c r="J93" s="1031">
        <f t="shared" si="17"/>
        <v>1368.6</v>
      </c>
      <c r="K93" s="181"/>
      <c r="L93" s="120">
        <f>TRUNC(SUM(J89:J93),2)</f>
        <v>6603.45</v>
      </c>
      <c r="U93" s="98">
        <v>15.3</v>
      </c>
      <c r="V93" s="1798">
        <v>18.7</v>
      </c>
      <c r="W93" s="1798">
        <v>1378.19</v>
      </c>
    </row>
    <row r="94" spans="1:23" ht="18.75" customHeight="1" thickBot="1">
      <c r="A94" s="434"/>
      <c r="B94" s="1314"/>
      <c r="C94" s="1315"/>
      <c r="D94" s="1316"/>
      <c r="E94" s="1308"/>
      <c r="F94" s="1311"/>
      <c r="G94" s="1629"/>
      <c r="H94" s="1630"/>
      <c r="I94" s="1416" t="s">
        <v>15</v>
      </c>
      <c r="J94" s="79">
        <f>TRUNC(SUM(J42:J93),2)</f>
        <v>251783.18</v>
      </c>
      <c r="K94" s="181"/>
      <c r="L94" s="120">
        <f>L48+L53+L62+L68+L76+L87+L93</f>
        <v>251783.18</v>
      </c>
      <c r="U94" s="98"/>
      <c r="V94" s="1801" t="s">
        <v>15</v>
      </c>
      <c r="W94" s="1798">
        <v>254537.54</v>
      </c>
    </row>
    <row r="95" spans="1:23" ht="14.25" customHeight="1">
      <c r="A95" s="352">
        <v>5</v>
      </c>
      <c r="B95" s="353"/>
      <c r="C95" s="354" t="s">
        <v>1191</v>
      </c>
      <c r="D95" s="355"/>
      <c r="E95" s="1071"/>
      <c r="F95" s="1071"/>
      <c r="G95" s="641"/>
      <c r="H95" s="642"/>
      <c r="I95" s="642"/>
      <c r="J95" s="358"/>
      <c r="K95" s="269" t="s">
        <v>1321</v>
      </c>
      <c r="L95" s="53"/>
      <c r="U95" s="98"/>
      <c r="V95" s="1798"/>
      <c r="W95" s="1798"/>
    </row>
    <row r="96" spans="1:23" ht="48" customHeight="1">
      <c r="A96" s="1627" t="s">
        <v>23</v>
      </c>
      <c r="B96" s="1295">
        <v>103332</v>
      </c>
      <c r="C96" s="1302" t="s">
        <v>2324</v>
      </c>
      <c r="D96" s="1295" t="s">
        <v>46</v>
      </c>
      <c r="E96" s="1305">
        <v>120.92</v>
      </c>
      <c r="F96" s="1311">
        <f>VLOOKUP(B96,'CADERNO DE COMPOSIÇÃO'!$A$8:$J$15448,10,FALSE)</f>
        <v>120.48</v>
      </c>
      <c r="G96" s="1362">
        <v>555.49</v>
      </c>
      <c r="H96" s="1369">
        <v>555.49</v>
      </c>
      <c r="I96" s="1364">
        <f t="shared" ref="I96:I103" si="18">TRUNC(F96*(1+$J$11),2)</f>
        <v>147.26</v>
      </c>
      <c r="J96" s="77">
        <f t="shared" ref="J96:J103" si="19">TRUNC(I96*G96,2)</f>
        <v>81801.45</v>
      </c>
      <c r="K96" s="1317" t="s">
        <v>2323</v>
      </c>
      <c r="L96" s="53"/>
      <c r="U96" s="98">
        <v>120.92</v>
      </c>
      <c r="V96" s="1798">
        <v>147.80000000000001</v>
      </c>
      <c r="W96" s="1798">
        <v>82101.42</v>
      </c>
    </row>
    <row r="97" spans="1:23" ht="49.5" customHeight="1">
      <c r="A97" s="1086" t="s">
        <v>1196</v>
      </c>
      <c r="B97" s="1295">
        <v>101161</v>
      </c>
      <c r="C97" s="1302" t="s">
        <v>1432</v>
      </c>
      <c r="D97" s="1295" t="s">
        <v>46</v>
      </c>
      <c r="E97" s="1305">
        <v>217.46</v>
      </c>
      <c r="F97" s="1311">
        <f>VLOOKUP(B97,'CADERNO DE COMPOSIÇÃO'!$A$8:$J$15448,10,FALSE)</f>
        <v>216.56000000000003</v>
      </c>
      <c r="G97" s="1362">
        <v>10.53</v>
      </c>
      <c r="H97" s="1369">
        <v>10.53</v>
      </c>
      <c r="I97" s="1364">
        <f t="shared" si="18"/>
        <v>264.7</v>
      </c>
      <c r="J97" s="77">
        <f t="shared" si="19"/>
        <v>2787.29</v>
      </c>
      <c r="K97" s="181"/>
      <c r="L97" s="53"/>
      <c r="U97" s="98">
        <v>217.46</v>
      </c>
      <c r="V97" s="1798">
        <v>265.8</v>
      </c>
      <c r="W97" s="1798">
        <v>2798.87</v>
      </c>
    </row>
    <row r="98" spans="1:23" ht="35.25" customHeight="1">
      <c r="A98" s="1627" t="s">
        <v>1306</v>
      </c>
      <c r="B98" s="1295">
        <v>93192</v>
      </c>
      <c r="C98" s="1302" t="s">
        <v>392</v>
      </c>
      <c r="D98" s="1295" t="s">
        <v>54</v>
      </c>
      <c r="E98" s="1305">
        <v>58.62</v>
      </c>
      <c r="F98" s="1311">
        <f>VLOOKUP(B98,'CADERNO DE COMPOSIÇÃO'!$A$8:$J$15448,10,FALSE)</f>
        <v>58.26</v>
      </c>
      <c r="G98" s="1362">
        <v>30</v>
      </c>
      <c r="H98" s="1369">
        <v>30</v>
      </c>
      <c r="I98" s="1364">
        <f t="shared" si="18"/>
        <v>71.209999999999994</v>
      </c>
      <c r="J98" s="77">
        <f t="shared" si="19"/>
        <v>2136.3000000000002</v>
      </c>
      <c r="K98" s="181"/>
      <c r="L98" s="457" t="s">
        <v>1422</v>
      </c>
      <c r="U98" s="98">
        <v>58.62</v>
      </c>
      <c r="V98" s="1798">
        <v>71.650000000000006</v>
      </c>
      <c r="W98" s="1798">
        <v>2149.5</v>
      </c>
    </row>
    <row r="99" spans="1:23" ht="33" customHeight="1">
      <c r="A99" s="1627" t="s">
        <v>1307</v>
      </c>
      <c r="B99" s="1295">
        <v>93193</v>
      </c>
      <c r="C99" s="1302" t="s">
        <v>393</v>
      </c>
      <c r="D99" s="1295" t="s">
        <v>54</v>
      </c>
      <c r="E99" s="1305">
        <v>54.34</v>
      </c>
      <c r="F99" s="1311">
        <f>VLOOKUP(B99,'CADERNO DE COMPOSIÇÃO'!$A$8:$J$15448,10,FALSE)</f>
        <v>53.999999999999993</v>
      </c>
      <c r="G99" s="1362">
        <v>3.36</v>
      </c>
      <c r="H99" s="1369">
        <v>3.36</v>
      </c>
      <c r="I99" s="1364">
        <f t="shared" si="18"/>
        <v>66</v>
      </c>
      <c r="J99" s="77">
        <f t="shared" si="19"/>
        <v>221.76</v>
      </c>
      <c r="K99" s="181"/>
      <c r="L99" s="458"/>
      <c r="U99" s="98">
        <v>54.34</v>
      </c>
      <c r="V99" s="1798">
        <v>66.41</v>
      </c>
      <c r="W99" s="1798">
        <v>223.13</v>
      </c>
    </row>
    <row r="100" spans="1:23" ht="31.5" customHeight="1">
      <c r="A100" s="1086" t="s">
        <v>1308</v>
      </c>
      <c r="B100" s="1295">
        <v>93190</v>
      </c>
      <c r="C100" s="1302" t="s">
        <v>391</v>
      </c>
      <c r="D100" s="1295" t="s">
        <v>54</v>
      </c>
      <c r="E100" s="1305">
        <v>50.7</v>
      </c>
      <c r="F100" s="1311">
        <f>VLOOKUP(B100,'CADERNO DE COMPOSIÇÃO'!$A$8:$J$15448,10,FALSE)</f>
        <v>50.389999999999993</v>
      </c>
      <c r="G100" s="1362">
        <v>34.299999999999997</v>
      </c>
      <c r="H100" s="1369">
        <v>34.299999999999997</v>
      </c>
      <c r="I100" s="1364">
        <f t="shared" si="18"/>
        <v>61.59</v>
      </c>
      <c r="J100" s="77">
        <f t="shared" si="19"/>
        <v>2112.5300000000002</v>
      </c>
      <c r="K100" s="459"/>
      <c r="L100" s="386" t="s">
        <v>1423</v>
      </c>
      <c r="U100" s="98">
        <v>50.7</v>
      </c>
      <c r="V100" s="1798">
        <v>61.97</v>
      </c>
      <c r="W100" s="1798">
        <v>2125.5700000000002</v>
      </c>
    </row>
    <row r="101" spans="1:23" ht="32.25" customHeight="1">
      <c r="A101" s="1086" t="s">
        <v>1309</v>
      </c>
      <c r="B101" s="1295">
        <v>93187</v>
      </c>
      <c r="C101" s="1302" t="s">
        <v>2325</v>
      </c>
      <c r="D101" s="1295" t="s">
        <v>54</v>
      </c>
      <c r="E101" s="1305">
        <v>105.6</v>
      </c>
      <c r="F101" s="1311">
        <f>VLOOKUP(B101,'CADERNO DE COMPOSIÇÃO'!$A$8:$J$15448,10,FALSE)</f>
        <v>104.98</v>
      </c>
      <c r="G101" s="1362">
        <v>23</v>
      </c>
      <c r="H101" s="1369">
        <v>23</v>
      </c>
      <c r="I101" s="1364">
        <f t="shared" si="18"/>
        <v>128.31</v>
      </c>
      <c r="J101" s="77">
        <f t="shared" si="19"/>
        <v>2951.13</v>
      </c>
      <c r="K101" s="198"/>
      <c r="L101" s="53"/>
      <c r="U101" s="98">
        <v>105.6</v>
      </c>
      <c r="V101" s="1798">
        <v>129.07</v>
      </c>
      <c r="W101" s="1798">
        <v>2968.61</v>
      </c>
    </row>
    <row r="102" spans="1:23" ht="34.5" customHeight="1">
      <c r="A102" s="1086" t="s">
        <v>1310</v>
      </c>
      <c r="B102" s="1295">
        <v>93198</v>
      </c>
      <c r="C102" s="1302" t="s">
        <v>2326</v>
      </c>
      <c r="D102" s="1295" t="s">
        <v>54</v>
      </c>
      <c r="E102" s="1305">
        <v>43.44</v>
      </c>
      <c r="F102" s="1311">
        <f>VLOOKUP(B102,'CADERNO DE COMPOSIÇÃO'!$A$8:$J$15448,10,FALSE)</f>
        <v>43.169999999999995</v>
      </c>
      <c r="G102" s="1362">
        <v>34.299999999999997</v>
      </c>
      <c r="H102" s="1369">
        <v>34.299999999999997</v>
      </c>
      <c r="I102" s="1364">
        <f t="shared" si="18"/>
        <v>52.76</v>
      </c>
      <c r="J102" s="77">
        <f t="shared" si="19"/>
        <v>1809.66</v>
      </c>
      <c r="K102" s="182"/>
      <c r="L102" s="386" t="s">
        <v>1423</v>
      </c>
      <c r="U102" s="98">
        <v>43.44</v>
      </c>
      <c r="V102" s="1798">
        <v>53.09</v>
      </c>
      <c r="W102" s="1798">
        <v>1820.98</v>
      </c>
    </row>
    <row r="103" spans="1:23" ht="35.25" customHeight="1">
      <c r="A103" s="1627" t="s">
        <v>1311</v>
      </c>
      <c r="B103" s="1295">
        <v>93199</v>
      </c>
      <c r="C103" s="1302" t="s">
        <v>394</v>
      </c>
      <c r="D103" s="1295" t="s">
        <v>54</v>
      </c>
      <c r="E103" s="1305">
        <v>42.9</v>
      </c>
      <c r="F103" s="1311">
        <f>VLOOKUP(B103,'CADERNO DE COMPOSIÇÃO'!$A$8:$J$15448,10,FALSE)</f>
        <v>42.629999999999995</v>
      </c>
      <c r="G103" s="1362">
        <v>23</v>
      </c>
      <c r="H103" s="1369">
        <v>23</v>
      </c>
      <c r="I103" s="1364">
        <f t="shared" si="18"/>
        <v>52.1</v>
      </c>
      <c r="J103" s="77">
        <f t="shared" si="19"/>
        <v>1198.3</v>
      </c>
      <c r="K103" s="182"/>
      <c r="L103" s="386"/>
      <c r="U103" s="98">
        <v>42.9</v>
      </c>
      <c r="V103" s="1798">
        <v>52.43</v>
      </c>
      <c r="W103" s="1798">
        <v>1205.8900000000001</v>
      </c>
    </row>
    <row r="104" spans="1:23" ht="15.75" thickBot="1">
      <c r="A104" s="180"/>
      <c r="B104" s="1088"/>
      <c r="C104" s="1089"/>
      <c r="D104" s="1088"/>
      <c r="E104" s="1090"/>
      <c r="F104" s="1311"/>
      <c r="G104" s="1091"/>
      <c r="H104" s="1092"/>
      <c r="I104" s="1416" t="s">
        <v>15</v>
      </c>
      <c r="J104" s="1093">
        <f>TRUNC(SUM(J96:J103),2)</f>
        <v>95018.42</v>
      </c>
      <c r="K104" s="98"/>
      <c r="L104" s="53"/>
      <c r="U104" s="98"/>
      <c r="V104" s="1801" t="s">
        <v>15</v>
      </c>
      <c r="W104" s="1798">
        <v>95393.97</v>
      </c>
    </row>
    <row r="105" spans="1:23">
      <c r="A105" s="352">
        <v>6</v>
      </c>
      <c r="B105" s="353"/>
      <c r="C105" s="354" t="s">
        <v>196</v>
      </c>
      <c r="D105" s="355"/>
      <c r="E105" s="1071"/>
      <c r="F105" s="1071"/>
      <c r="G105" s="641"/>
      <c r="H105" s="642"/>
      <c r="I105" s="642"/>
      <c r="J105" s="358"/>
      <c r="K105" s="511" t="s">
        <v>426</v>
      </c>
      <c r="L105" s="53"/>
      <c r="U105" s="98"/>
      <c r="V105" s="1798"/>
      <c r="W105" s="1798"/>
    </row>
    <row r="106" spans="1:23" ht="31.5" customHeight="1">
      <c r="A106" s="1627" t="s">
        <v>67</v>
      </c>
      <c r="B106" s="1295" t="s">
        <v>2120</v>
      </c>
      <c r="C106" s="1568" t="s">
        <v>1424</v>
      </c>
      <c r="D106" s="1295" t="s">
        <v>46</v>
      </c>
      <c r="E106" s="1305">
        <f>K106</f>
        <v>14.58</v>
      </c>
      <c r="F106" s="1311">
        <f>VLOOKUP(B106,'CADERNO DE COMPOSIÇÃO'!$A$8:$J$15448,10,FALSE)</f>
        <v>14.58</v>
      </c>
      <c r="G106" s="1362">
        <v>246.05</v>
      </c>
      <c r="H106" s="1369">
        <v>246.05</v>
      </c>
      <c r="I106" s="1364">
        <f t="shared" ref="I106:I112" si="20">TRUNC(F106*(1+$J$11),2)</f>
        <v>17.82</v>
      </c>
      <c r="J106" s="77">
        <f t="shared" ref="J106:J112" si="21">TRUNC(I106*G106,2)</f>
        <v>4384.6099999999997</v>
      </c>
      <c r="K106" s="504">
        <f>'COMP CIVIL'!F228</f>
        <v>14.58</v>
      </c>
      <c r="L106" s="53"/>
      <c r="U106" s="98">
        <v>14.58</v>
      </c>
      <c r="V106" s="1798">
        <v>17.82</v>
      </c>
      <c r="W106" s="1798">
        <v>4384.6099999999997</v>
      </c>
    </row>
    <row r="107" spans="1:23" ht="28.5">
      <c r="A107" s="1627" t="s">
        <v>1192</v>
      </c>
      <c r="B107" s="1295">
        <v>95241</v>
      </c>
      <c r="C107" s="1302" t="s">
        <v>2482</v>
      </c>
      <c r="D107" s="1295" t="s">
        <v>46</v>
      </c>
      <c r="E107" s="1305">
        <v>32.82</v>
      </c>
      <c r="F107" s="1311">
        <f>VLOOKUP(B107,'CADERNO DE COMPOSIÇÃO'!$A$8:$J$15448,10,FALSE)</f>
        <v>32.67</v>
      </c>
      <c r="G107" s="1362">
        <v>246.05</v>
      </c>
      <c r="H107" s="1369">
        <v>246.05</v>
      </c>
      <c r="I107" s="1364">
        <f t="shared" si="20"/>
        <v>39.93</v>
      </c>
      <c r="J107" s="77">
        <f t="shared" si="21"/>
        <v>9824.77</v>
      </c>
      <c r="K107" s="98"/>
      <c r="L107" s="53"/>
      <c r="U107" s="98">
        <v>32.82</v>
      </c>
      <c r="V107" s="1798">
        <v>40.11</v>
      </c>
      <c r="W107" s="1798">
        <v>9869.06</v>
      </c>
    </row>
    <row r="108" spans="1:23" ht="74.25" customHeight="1">
      <c r="A108" s="1627" t="s">
        <v>1312</v>
      </c>
      <c r="B108" s="1295">
        <v>94438</v>
      </c>
      <c r="C108" s="1793" t="s">
        <v>2860</v>
      </c>
      <c r="D108" s="1295" t="s">
        <v>46</v>
      </c>
      <c r="E108" s="1305">
        <v>46.63</v>
      </c>
      <c r="F108" s="1311">
        <f>VLOOKUP(B108,'CADERNO DE COMPOSIÇÃO'!$A$8:$J$15448,10,FALSE)</f>
        <v>46.36</v>
      </c>
      <c r="G108" s="1362">
        <v>246.05</v>
      </c>
      <c r="H108" s="1369">
        <v>246.05</v>
      </c>
      <c r="I108" s="1364">
        <f t="shared" si="20"/>
        <v>56.66</v>
      </c>
      <c r="J108" s="77">
        <f t="shared" si="21"/>
        <v>13941.19</v>
      </c>
      <c r="K108" s="98"/>
      <c r="L108" s="53"/>
      <c r="U108" s="98">
        <v>46.63</v>
      </c>
      <c r="V108" s="1798">
        <v>56.99</v>
      </c>
      <c r="W108" s="1798">
        <v>14022.38</v>
      </c>
    </row>
    <row r="109" spans="1:23" ht="43.5" customHeight="1">
      <c r="A109" s="1627" t="s">
        <v>1313</v>
      </c>
      <c r="B109" s="1295">
        <v>87261</v>
      </c>
      <c r="C109" s="1302" t="s">
        <v>1425</v>
      </c>
      <c r="D109" s="1295" t="s">
        <v>46</v>
      </c>
      <c r="E109" s="1305">
        <v>184.04</v>
      </c>
      <c r="F109" s="1311">
        <f>VLOOKUP(B109,'CADERNO DE COMPOSIÇÃO'!$A$8:$J$15448,10,FALSE)</f>
        <v>183.10999999999999</v>
      </c>
      <c r="G109" s="1362">
        <v>8.74</v>
      </c>
      <c r="H109" s="1369">
        <v>8.74</v>
      </c>
      <c r="I109" s="1364">
        <f t="shared" si="20"/>
        <v>223.81</v>
      </c>
      <c r="J109" s="77">
        <f t="shared" si="21"/>
        <v>1956.09</v>
      </c>
      <c r="K109" s="98"/>
      <c r="L109" s="53"/>
      <c r="U109" s="98">
        <v>184.04</v>
      </c>
      <c r="V109" s="1798">
        <v>224.95</v>
      </c>
      <c r="W109" s="1798">
        <v>1966.06</v>
      </c>
    </row>
    <row r="110" spans="1:23" ht="45.75" customHeight="1">
      <c r="A110" s="1627" t="s">
        <v>1314</v>
      </c>
      <c r="B110" s="1295">
        <v>87262</v>
      </c>
      <c r="C110" s="1302" t="s">
        <v>2861</v>
      </c>
      <c r="D110" s="1295" t="s">
        <v>46</v>
      </c>
      <c r="E110" s="1305">
        <v>168.88</v>
      </c>
      <c r="F110" s="1311">
        <f>VLOOKUP(B110,'CADERNO DE COMPOSIÇÃO'!$A$8:$J$15448,10,FALSE)</f>
        <v>167.97000000000003</v>
      </c>
      <c r="G110" s="1362">
        <v>23.06</v>
      </c>
      <c r="H110" s="1369">
        <v>23.06</v>
      </c>
      <c r="I110" s="1364">
        <f t="shared" si="20"/>
        <v>205.3</v>
      </c>
      <c r="J110" s="77">
        <f t="shared" si="21"/>
        <v>4734.21</v>
      </c>
      <c r="K110" s="98"/>
      <c r="L110" s="53"/>
      <c r="U110" s="98">
        <v>168.88</v>
      </c>
      <c r="V110" s="1798">
        <v>206.42</v>
      </c>
      <c r="W110" s="1798">
        <v>4760.04</v>
      </c>
    </row>
    <row r="111" spans="1:23" ht="45.75" customHeight="1">
      <c r="A111" s="1627" t="s">
        <v>1315</v>
      </c>
      <c r="B111" s="1295">
        <v>87263</v>
      </c>
      <c r="C111" s="1302" t="s">
        <v>1426</v>
      </c>
      <c r="D111" s="1295" t="s">
        <v>46</v>
      </c>
      <c r="E111" s="1305">
        <v>160.04</v>
      </c>
      <c r="F111" s="1311">
        <f>VLOOKUP(B111,'CADERNO DE COMPOSIÇÃO'!$A$8:$J$15448,10,FALSE)</f>
        <v>159.13999999999999</v>
      </c>
      <c r="G111" s="1362">
        <v>214.25</v>
      </c>
      <c r="H111" s="1369">
        <v>214.25</v>
      </c>
      <c r="I111" s="1364">
        <f t="shared" si="20"/>
        <v>194.51</v>
      </c>
      <c r="J111" s="77">
        <f t="shared" si="21"/>
        <v>41673.760000000002</v>
      </c>
      <c r="K111" s="98"/>
      <c r="L111" s="53"/>
      <c r="U111" s="98">
        <v>160.04</v>
      </c>
      <c r="V111" s="1798">
        <v>195.61</v>
      </c>
      <c r="W111" s="1798">
        <v>41909.440000000002</v>
      </c>
    </row>
    <row r="112" spans="1:23" ht="31.5" customHeight="1">
      <c r="A112" s="1627" t="s">
        <v>1316</v>
      </c>
      <c r="B112" s="1295" t="s">
        <v>107</v>
      </c>
      <c r="C112" s="1302" t="s">
        <v>1428</v>
      </c>
      <c r="D112" s="1295" t="s">
        <v>54</v>
      </c>
      <c r="E112" s="1305">
        <f>K112</f>
        <v>77.900000000000006</v>
      </c>
      <c r="F112" s="1311">
        <f>VLOOKUP(B112,'CADERNO DE COMPOSIÇÃO'!$A$8:$J$15448,10,FALSE)</f>
        <v>77.430000000000007</v>
      </c>
      <c r="G112" s="1866">
        <v>131.9</v>
      </c>
      <c r="H112" s="1369">
        <v>131.9</v>
      </c>
      <c r="I112" s="1364">
        <f t="shared" si="20"/>
        <v>94.64</v>
      </c>
      <c r="J112" s="77">
        <f t="shared" si="21"/>
        <v>12483.01</v>
      </c>
      <c r="K112" s="328">
        <f>'COMP CIVIL'!F241</f>
        <v>77.900000000000006</v>
      </c>
      <c r="L112" s="53"/>
      <c r="U112" s="98">
        <v>77.900000000000006</v>
      </c>
      <c r="V112" s="1798">
        <v>95.21</v>
      </c>
      <c r="W112" s="1798">
        <v>12558.19</v>
      </c>
    </row>
    <row r="113" spans="1:23" ht="15.75" thickBot="1">
      <c r="A113" s="180"/>
      <c r="B113" s="1088"/>
      <c r="C113" s="1089"/>
      <c r="D113" s="1088"/>
      <c r="E113" s="1090"/>
      <c r="F113" s="1311"/>
      <c r="G113" s="1091"/>
      <c r="H113" s="1092"/>
      <c r="I113" s="1416" t="s">
        <v>15</v>
      </c>
      <c r="J113" s="1093">
        <f>TRUNC(SUM(J106:J112),2)</f>
        <v>88997.64</v>
      </c>
      <c r="K113" s="98"/>
      <c r="L113" s="53"/>
      <c r="U113" s="98"/>
      <c r="V113" s="1801" t="s">
        <v>15</v>
      </c>
      <c r="W113" s="1798">
        <v>89469.78</v>
      </c>
    </row>
    <row r="114" spans="1:23">
      <c r="A114" s="352">
        <v>7</v>
      </c>
      <c r="B114" s="353"/>
      <c r="C114" s="354" t="s">
        <v>197</v>
      </c>
      <c r="D114" s="355"/>
      <c r="E114" s="1071"/>
      <c r="F114" s="1071"/>
      <c r="G114" s="641" t="s">
        <v>42</v>
      </c>
      <c r="H114" s="642"/>
      <c r="I114" s="642" t="str">
        <f>IF(OR(E114&lt;=0)," ",TRUNC((E114*(1+$J$11)),2))</f>
        <v xml:space="preserve"> </v>
      </c>
      <c r="J114" s="358" t="str">
        <f>IF(OR(E114&lt;=0)," ",TRUNC((I114*G114),2))</f>
        <v xml:space="preserve"> </v>
      </c>
      <c r="K114" s="511" t="s">
        <v>426</v>
      </c>
      <c r="L114" s="53"/>
      <c r="U114" s="98"/>
      <c r="V114" s="1798" t="s">
        <v>42</v>
      </c>
      <c r="W114" s="1798" t="s">
        <v>42</v>
      </c>
    </row>
    <row r="115" spans="1:23" ht="44.25" customHeight="1">
      <c r="A115" s="1627" t="s">
        <v>44</v>
      </c>
      <c r="B115" s="1631">
        <v>87904</v>
      </c>
      <c r="C115" s="1302" t="s">
        <v>1461</v>
      </c>
      <c r="D115" s="1295" t="s">
        <v>46</v>
      </c>
      <c r="E115" s="1305">
        <v>8.0399999999999991</v>
      </c>
      <c r="F115" s="1311">
        <f>VLOOKUP(B115,'CADERNO DE COMPOSIÇÃO'!$A$8:$J$15448,10,FALSE)</f>
        <v>8.02</v>
      </c>
      <c r="G115" s="1362">
        <v>514.19000000000005</v>
      </c>
      <c r="H115" s="1369">
        <v>514.19000000000005</v>
      </c>
      <c r="I115" s="1364">
        <f t="shared" ref="I115:I124" si="22">TRUNC(F115*(1+$J$11),2)</f>
        <v>9.8000000000000007</v>
      </c>
      <c r="J115" s="77">
        <f t="shared" ref="J115:J124" si="23">TRUNC(I115*G115,2)</f>
        <v>5039.0600000000004</v>
      </c>
      <c r="K115" s="98"/>
      <c r="L115" s="386" t="s">
        <v>1462</v>
      </c>
      <c r="U115" s="98">
        <v>8.0399999999999991</v>
      </c>
      <c r="V115" s="1798">
        <v>9.82</v>
      </c>
      <c r="W115" s="1798">
        <v>5049.34</v>
      </c>
    </row>
    <row r="116" spans="1:23" ht="44.25" customHeight="1">
      <c r="A116" s="1627" t="s">
        <v>72</v>
      </c>
      <c r="B116" s="1631">
        <v>87879</v>
      </c>
      <c r="C116" s="1302" t="s">
        <v>594</v>
      </c>
      <c r="D116" s="1295" t="s">
        <v>46</v>
      </c>
      <c r="E116" s="1305">
        <v>4.38</v>
      </c>
      <c r="F116" s="1311">
        <f>VLOOKUP(B116,'CADERNO DE COMPOSIÇÃO'!$A$8:$J$15448,10,FALSE)</f>
        <v>4.37</v>
      </c>
      <c r="G116" s="1362">
        <v>925.09</v>
      </c>
      <c r="H116" s="1369">
        <v>925.09</v>
      </c>
      <c r="I116" s="1364">
        <f t="shared" si="22"/>
        <v>5.34</v>
      </c>
      <c r="J116" s="77">
        <f t="shared" si="23"/>
        <v>4939.9799999999996</v>
      </c>
      <c r="K116" s="323"/>
      <c r="L116" s="475" t="s">
        <v>1472</v>
      </c>
      <c r="U116" s="98">
        <v>4.38</v>
      </c>
      <c r="V116" s="1798">
        <v>5.35</v>
      </c>
      <c r="W116" s="1798">
        <v>4949.2299999999996</v>
      </c>
    </row>
    <row r="117" spans="1:23" ht="54.75" customHeight="1">
      <c r="A117" s="1627" t="s">
        <v>73</v>
      </c>
      <c r="B117" s="1295">
        <v>87528</v>
      </c>
      <c r="C117" s="1302" t="s">
        <v>1464</v>
      </c>
      <c r="D117" s="1295" t="s">
        <v>46</v>
      </c>
      <c r="E117" s="1305">
        <v>44.75</v>
      </c>
      <c r="F117" s="1311">
        <f>VLOOKUP(B117,'CADERNO DE COMPOSIÇÃO'!$A$8:$J$15448,10,FALSE)</f>
        <v>44.59</v>
      </c>
      <c r="G117" s="1362">
        <v>72.64</v>
      </c>
      <c r="H117" s="1369">
        <v>72.64</v>
      </c>
      <c r="I117" s="1364">
        <f t="shared" si="22"/>
        <v>54.5</v>
      </c>
      <c r="J117" s="77">
        <f t="shared" si="23"/>
        <v>3958.88</v>
      </c>
      <c r="K117" s="98"/>
      <c r="L117" s="475" t="s">
        <v>1473</v>
      </c>
      <c r="U117" s="98">
        <v>44.75</v>
      </c>
      <c r="V117" s="1798">
        <v>54.69</v>
      </c>
      <c r="W117" s="1798">
        <v>3972.68</v>
      </c>
    </row>
    <row r="118" spans="1:23" ht="61.5" customHeight="1">
      <c r="A118" s="1627" t="s">
        <v>1624</v>
      </c>
      <c r="B118" s="1295">
        <v>87532</v>
      </c>
      <c r="C118" s="1319" t="s">
        <v>2862</v>
      </c>
      <c r="D118" s="1295" t="s">
        <v>46</v>
      </c>
      <c r="E118" s="1305">
        <v>40.03</v>
      </c>
      <c r="F118" s="1311">
        <f>VLOOKUP(B118,'CADERNO DE COMPOSIÇÃO'!$A$8:$J$15448,10,FALSE)</f>
        <v>39.869999999999997</v>
      </c>
      <c r="G118" s="1362">
        <v>42.84</v>
      </c>
      <c r="H118" s="1369">
        <v>42.84</v>
      </c>
      <c r="I118" s="1364">
        <f t="shared" si="22"/>
        <v>48.73</v>
      </c>
      <c r="J118" s="77">
        <f t="shared" si="23"/>
        <v>2087.59</v>
      </c>
      <c r="K118" s="98"/>
      <c r="L118" s="475" t="s">
        <v>1474</v>
      </c>
      <c r="U118" s="98">
        <v>40.03</v>
      </c>
      <c r="V118" s="1798">
        <v>48.92</v>
      </c>
      <c r="W118" s="1798">
        <v>2095.73</v>
      </c>
    </row>
    <row r="119" spans="1:23" ht="60.75" customHeight="1">
      <c r="A119" s="1627" t="s">
        <v>1625</v>
      </c>
      <c r="B119" s="1295">
        <v>87536</v>
      </c>
      <c r="C119" s="1302" t="s">
        <v>2863</v>
      </c>
      <c r="D119" s="1295" t="s">
        <v>46</v>
      </c>
      <c r="E119" s="1305">
        <v>36.54</v>
      </c>
      <c r="F119" s="1311">
        <f>VLOOKUP(B119,'CADERNO DE COMPOSIÇÃO'!$A$8:$J$15448,10,FALSE)</f>
        <v>36.380000000000003</v>
      </c>
      <c r="G119" s="1362">
        <v>88.41</v>
      </c>
      <c r="H119" s="1369">
        <v>88.41</v>
      </c>
      <c r="I119" s="1364">
        <f t="shared" si="22"/>
        <v>44.46</v>
      </c>
      <c r="J119" s="77">
        <f t="shared" si="23"/>
        <v>3930.7</v>
      </c>
      <c r="K119" s="98"/>
      <c r="L119" s="386" t="s">
        <v>1475</v>
      </c>
      <c r="U119" s="98">
        <v>36.54</v>
      </c>
      <c r="V119" s="1798">
        <v>44.66</v>
      </c>
      <c r="W119" s="1798">
        <v>3948.39</v>
      </c>
    </row>
    <row r="120" spans="1:23" ht="29.25" customHeight="1">
      <c r="A120" s="1627" t="s">
        <v>116</v>
      </c>
      <c r="B120" s="1295" t="s">
        <v>1455</v>
      </c>
      <c r="C120" s="1319" t="s">
        <v>1478</v>
      </c>
      <c r="D120" s="1295" t="s">
        <v>46</v>
      </c>
      <c r="E120" s="1305">
        <f>K120</f>
        <v>190.35</v>
      </c>
      <c r="F120" s="1311">
        <f>VLOOKUP(B120,'CADERNO DE COMPOSIÇÃO'!$A$8:$J$15448,10,FALSE)</f>
        <v>189.26000000000002</v>
      </c>
      <c r="G120" s="1362">
        <v>108.24</v>
      </c>
      <c r="H120" s="1369">
        <v>108.24</v>
      </c>
      <c r="I120" s="1364">
        <f t="shared" si="22"/>
        <v>231.33</v>
      </c>
      <c r="J120" s="77">
        <f t="shared" si="23"/>
        <v>25039.15</v>
      </c>
      <c r="K120" s="328">
        <f>'COMP CIVIL'!F341</f>
        <v>190.35</v>
      </c>
      <c r="L120" s="308" t="s">
        <v>1404</v>
      </c>
      <c r="U120" s="98">
        <v>190.35</v>
      </c>
      <c r="V120" s="1798">
        <v>232.66</v>
      </c>
      <c r="W120" s="1798">
        <v>25183.11</v>
      </c>
    </row>
    <row r="121" spans="1:23" ht="65.25" customHeight="1">
      <c r="A121" s="1116" t="s">
        <v>1626</v>
      </c>
      <c r="B121" s="1565">
        <v>89173</v>
      </c>
      <c r="C121" s="1614" t="s">
        <v>118</v>
      </c>
      <c r="D121" s="1565" t="s">
        <v>46</v>
      </c>
      <c r="E121" s="1068">
        <v>36.79</v>
      </c>
      <c r="F121" s="1311">
        <f>VLOOKUP(B121,'CADERNO DE COMPOSIÇÃO'!$A$8:$J$15448,10,FALSE)</f>
        <v>36.56</v>
      </c>
      <c r="G121" s="1359">
        <v>446.89</v>
      </c>
      <c r="H121" s="507">
        <v>446.89</v>
      </c>
      <c r="I121" s="1360">
        <f t="shared" si="22"/>
        <v>44.68</v>
      </c>
      <c r="J121" s="1361">
        <f t="shared" si="23"/>
        <v>19967.04</v>
      </c>
      <c r="K121" s="324"/>
      <c r="L121" s="474" t="s">
        <v>1471</v>
      </c>
      <c r="U121" s="98">
        <v>36.79</v>
      </c>
      <c r="V121" s="1798">
        <v>44.96</v>
      </c>
      <c r="W121" s="1798">
        <v>20092.169999999998</v>
      </c>
    </row>
    <row r="122" spans="1:23" ht="47.25" customHeight="1">
      <c r="A122" s="1627" t="s">
        <v>1627</v>
      </c>
      <c r="B122" s="1295">
        <v>90406</v>
      </c>
      <c r="C122" s="1302" t="s">
        <v>419</v>
      </c>
      <c r="D122" s="1295" t="s">
        <v>46</v>
      </c>
      <c r="E122" s="1305">
        <v>46.77</v>
      </c>
      <c r="F122" s="1311">
        <f>VLOOKUP(B122,'CADERNO DE COMPOSIÇÃO'!$A$8:$J$15448,10,FALSE)</f>
        <v>46.64</v>
      </c>
      <c r="G122" s="1362">
        <v>477.72</v>
      </c>
      <c r="H122" s="1369">
        <v>477.72</v>
      </c>
      <c r="I122" s="1364">
        <f t="shared" si="22"/>
        <v>57</v>
      </c>
      <c r="J122" s="77">
        <f t="shared" si="23"/>
        <v>27230.04</v>
      </c>
      <c r="K122" s="98"/>
      <c r="L122" s="473" t="s">
        <v>1470</v>
      </c>
      <c r="U122" s="98">
        <v>46.77</v>
      </c>
      <c r="V122" s="1798">
        <v>57.16</v>
      </c>
      <c r="W122" s="1798">
        <v>27306.47</v>
      </c>
    </row>
    <row r="123" spans="1:23" ht="42.75" customHeight="1">
      <c r="A123" s="1627" t="s">
        <v>1628</v>
      </c>
      <c r="B123" s="1295" t="s">
        <v>1442</v>
      </c>
      <c r="C123" s="1302" t="s">
        <v>1456</v>
      </c>
      <c r="D123" s="1309" t="s">
        <v>46</v>
      </c>
      <c r="E123" s="1305">
        <f>K123</f>
        <v>76.69</v>
      </c>
      <c r="F123" s="1311">
        <f>VLOOKUP(B123,'CADERNO DE COMPOSIÇÃO'!$A$8:$J$15448,10,FALSE)</f>
        <v>76.38</v>
      </c>
      <c r="G123" s="1362">
        <v>30.66</v>
      </c>
      <c r="H123" s="1369">
        <v>30.66</v>
      </c>
      <c r="I123" s="1364">
        <f t="shared" si="22"/>
        <v>93.35</v>
      </c>
      <c r="J123" s="77">
        <f t="shared" si="23"/>
        <v>2862.11</v>
      </c>
      <c r="K123" s="328">
        <f>'COMP CIVIL'!F315</f>
        <v>76.69</v>
      </c>
      <c r="L123" s="471" t="s">
        <v>1463</v>
      </c>
      <c r="U123" s="98">
        <v>76.69</v>
      </c>
      <c r="V123" s="1798">
        <v>93.73</v>
      </c>
      <c r="W123" s="1798">
        <v>2873.76</v>
      </c>
    </row>
    <row r="124" spans="1:23" ht="42.75" customHeight="1">
      <c r="A124" s="1627" t="s">
        <v>1629</v>
      </c>
      <c r="B124" s="1295" t="s">
        <v>1445</v>
      </c>
      <c r="C124" s="1302" t="s">
        <v>1460</v>
      </c>
      <c r="D124" s="1309" t="s">
        <v>46</v>
      </c>
      <c r="E124" s="1305">
        <f>K124</f>
        <v>80.16</v>
      </c>
      <c r="F124" s="1311">
        <f>VLOOKUP(B124,'CADERNO DE COMPOSIÇÃO'!$A$8:$J$15448,10,FALSE)</f>
        <v>79.849999999999994</v>
      </c>
      <c r="G124" s="1362">
        <v>64.989999999999995</v>
      </c>
      <c r="H124" s="1369">
        <v>64.989999999999995</v>
      </c>
      <c r="I124" s="1364">
        <f t="shared" si="22"/>
        <v>97.6</v>
      </c>
      <c r="J124" s="77">
        <f t="shared" si="23"/>
        <v>6343.02</v>
      </c>
      <c r="K124" s="328">
        <f>'COMP CIVIL'!F328</f>
        <v>80.16</v>
      </c>
      <c r="L124" s="471" t="s">
        <v>1463</v>
      </c>
      <c r="U124" s="98">
        <v>80.16</v>
      </c>
      <c r="V124" s="1798">
        <v>97.97</v>
      </c>
      <c r="W124" s="1798">
        <v>6367.07</v>
      </c>
    </row>
    <row r="125" spans="1:23" ht="15.75" thickBot="1">
      <c r="A125" s="427"/>
      <c r="B125" s="1088"/>
      <c r="C125" s="1095"/>
      <c r="D125" s="1108"/>
      <c r="E125" s="1090"/>
      <c r="F125" s="1311"/>
      <c r="G125" s="1091"/>
      <c r="H125" s="1092"/>
      <c r="I125" s="1416" t="s">
        <v>15</v>
      </c>
      <c r="J125" s="1093">
        <f>TRUNC(SUM(J115:J124),2)</f>
        <v>101397.57</v>
      </c>
      <c r="K125" s="98"/>
      <c r="L125" s="53"/>
      <c r="U125" s="98"/>
      <c r="V125" s="1801" t="s">
        <v>15</v>
      </c>
      <c r="W125" s="1798">
        <v>101837.95</v>
      </c>
    </row>
    <row r="126" spans="1:23">
      <c r="A126" s="451">
        <v>8</v>
      </c>
      <c r="B126" s="453"/>
      <c r="C126" s="354" t="s">
        <v>71</v>
      </c>
      <c r="D126" s="355"/>
      <c r="E126" s="1071"/>
      <c r="F126" s="1071"/>
      <c r="G126" s="641" t="s">
        <v>42</v>
      </c>
      <c r="H126" s="642"/>
      <c r="I126" s="642" t="str">
        <f>IF(OR(E126&lt;=0)," ",TRUNC((E126*(1+$J$11)),2))</f>
        <v xml:space="preserve"> </v>
      </c>
      <c r="J126" s="358" t="str">
        <f>IF(OR(E126&lt;=0)," ",TRUNC((I126*G126),2))</f>
        <v xml:space="preserve"> </v>
      </c>
      <c r="K126" s="98"/>
      <c r="L126" s="53"/>
      <c r="U126" s="98"/>
      <c r="V126" s="1798" t="s">
        <v>42</v>
      </c>
      <c r="W126" s="1798" t="s">
        <v>42</v>
      </c>
    </row>
    <row r="127" spans="1:23" ht="15.75" customHeight="1">
      <c r="A127" s="1632" t="s">
        <v>41</v>
      </c>
      <c r="B127" s="1606"/>
      <c r="C127" s="1096" t="s">
        <v>1197</v>
      </c>
      <c r="D127" s="1606"/>
      <c r="E127" s="1608"/>
      <c r="F127" s="1608"/>
      <c r="G127" s="1609" t="s">
        <v>42</v>
      </c>
      <c r="H127" s="1605"/>
      <c r="I127" s="1605" t="str">
        <f>IF(OR(E127&lt;=0)," ",TRUNC((E127*(1+$J$11)),2))</f>
        <v xml:space="preserve"> </v>
      </c>
      <c r="J127" s="176" t="str">
        <f>IF(OR(E127&lt;=0)," ",TRUNC((I127*G127),2))</f>
        <v xml:space="preserve"> </v>
      </c>
      <c r="K127" s="98"/>
      <c r="L127" s="301"/>
      <c r="U127" s="98"/>
      <c r="V127" s="1798" t="s">
        <v>42</v>
      </c>
      <c r="W127" s="1798" t="s">
        <v>42</v>
      </c>
    </row>
    <row r="128" spans="1:23" ht="16.5" customHeight="1">
      <c r="A128" s="1623" t="s">
        <v>1199</v>
      </c>
      <c r="B128" s="1309" t="s">
        <v>155</v>
      </c>
      <c r="C128" s="1633" t="s">
        <v>1399</v>
      </c>
      <c r="D128" s="1309" t="s">
        <v>55</v>
      </c>
      <c r="E128" s="1305">
        <f>K128</f>
        <v>2230.44</v>
      </c>
      <c r="F128" s="1311">
        <f>VLOOKUP(B128,'CADERNO DE COMPOSIÇÃO'!$A$8:$J$15448,10,FALSE)</f>
        <v>2217.0500000000002</v>
      </c>
      <c r="G128" s="1362">
        <v>1</v>
      </c>
      <c r="H128" s="1369">
        <v>1</v>
      </c>
      <c r="I128" s="1364">
        <f t="shared" ref="I128:I130" si="24">TRUNC(F128*(1+$J$11),2)</f>
        <v>2709.9</v>
      </c>
      <c r="J128" s="77">
        <f t="shared" ref="J128:J130" si="25">TRUNC(I128*G128,2)</f>
        <v>2709.9</v>
      </c>
      <c r="K128" s="328">
        <f>'COMP CIVIL'!F128</f>
        <v>2230.44</v>
      </c>
      <c r="L128" s="302" t="s">
        <v>343</v>
      </c>
      <c r="U128" s="98">
        <v>2230.44</v>
      </c>
      <c r="V128" s="1798">
        <v>2726.26</v>
      </c>
      <c r="W128" s="1798">
        <v>2726.26</v>
      </c>
    </row>
    <row r="129" spans="1:23" ht="75.75" customHeight="1">
      <c r="A129" s="1623" t="s">
        <v>1200</v>
      </c>
      <c r="B129" s="1295">
        <v>90845</v>
      </c>
      <c r="C129" s="1302" t="s">
        <v>1400</v>
      </c>
      <c r="D129" s="1309" t="s">
        <v>55</v>
      </c>
      <c r="E129" s="1305">
        <v>1379.51</v>
      </c>
      <c r="F129" s="1311">
        <f>VLOOKUP(B129,'CADERNO DE COMPOSIÇÃO'!$A$8:$J$15448,10,FALSE)</f>
        <v>1371.16</v>
      </c>
      <c r="G129" s="1362">
        <v>3</v>
      </c>
      <c r="H129" s="1369">
        <v>3</v>
      </c>
      <c r="I129" s="1364">
        <f t="shared" si="24"/>
        <v>1675.96</v>
      </c>
      <c r="J129" s="77">
        <f t="shared" si="25"/>
        <v>5027.88</v>
      </c>
      <c r="K129" s="98"/>
      <c r="L129" s="302" t="s">
        <v>1418</v>
      </c>
      <c r="U129" s="98">
        <v>1379.51</v>
      </c>
      <c r="V129" s="1798">
        <v>1686.17</v>
      </c>
      <c r="W129" s="1798">
        <v>5058.51</v>
      </c>
    </row>
    <row r="130" spans="1:23" ht="31.5" customHeight="1">
      <c r="A130" s="1623" t="s">
        <v>1630</v>
      </c>
      <c r="B130" s="1295" t="s">
        <v>1412</v>
      </c>
      <c r="C130" s="1302" t="s">
        <v>2864</v>
      </c>
      <c r="D130" s="1309" t="s">
        <v>55</v>
      </c>
      <c r="E130" s="1305">
        <f>K130</f>
        <v>1760</v>
      </c>
      <c r="F130" s="1311">
        <f>VLOOKUP(B130,'CADERNO DE COMPOSIÇÃO'!$A$8:$J$15448,10,FALSE)</f>
        <v>1749.44</v>
      </c>
      <c r="G130" s="1362">
        <v>1</v>
      </c>
      <c r="H130" s="1369">
        <v>1</v>
      </c>
      <c r="I130" s="1364">
        <f t="shared" si="24"/>
        <v>2138.34</v>
      </c>
      <c r="J130" s="77">
        <f t="shared" si="25"/>
        <v>2138.34</v>
      </c>
      <c r="K130" s="328">
        <f>'COMP CIVIL'!F93</f>
        <v>1760</v>
      </c>
      <c r="L130" s="302" t="s">
        <v>670</v>
      </c>
      <c r="U130" s="98">
        <v>1760</v>
      </c>
      <c r="V130" s="1798">
        <v>2151.2399999999998</v>
      </c>
      <c r="W130" s="1798">
        <v>2151.2399999999998</v>
      </c>
    </row>
    <row r="131" spans="1:23" ht="14.25" customHeight="1">
      <c r="A131" s="1632" t="s">
        <v>136</v>
      </c>
      <c r="B131" s="1606"/>
      <c r="C131" s="1607" t="s">
        <v>1198</v>
      </c>
      <c r="D131" s="1606"/>
      <c r="E131" s="1608"/>
      <c r="F131" s="1608"/>
      <c r="G131" s="1609" t="s">
        <v>42</v>
      </c>
      <c r="H131" s="1605"/>
      <c r="I131" s="1605" t="str">
        <f>IF(OR(E131&lt;=0)," ",TRUNC((E131*(1+$J$11)),2))</f>
        <v xml:space="preserve"> </v>
      </c>
      <c r="J131" s="176" t="str">
        <f>IF(OR(E131&lt;=0)," ",TRUNC((I131*G131),2))</f>
        <v xml:space="preserve"> </v>
      </c>
      <c r="K131" s="98"/>
      <c r="L131" s="318"/>
      <c r="U131" s="98"/>
      <c r="V131" s="1798" t="s">
        <v>42</v>
      </c>
      <c r="W131" s="1798" t="s">
        <v>42</v>
      </c>
    </row>
    <row r="132" spans="1:23" ht="34.5" customHeight="1">
      <c r="A132" s="1623" t="s">
        <v>1620</v>
      </c>
      <c r="B132" s="1309">
        <v>101965</v>
      </c>
      <c r="C132" s="1302" t="s">
        <v>1669</v>
      </c>
      <c r="D132" s="1863" t="s">
        <v>54</v>
      </c>
      <c r="E132" s="1305">
        <v>123.51</v>
      </c>
      <c r="F132" s="1311">
        <f>VLOOKUP(B132,'CADERNO DE COMPOSIÇÃO'!$A$8:$J$15448,10,FALSE)</f>
        <v>122.86000000000001</v>
      </c>
      <c r="G132" s="1362">
        <v>31.5</v>
      </c>
      <c r="H132" s="1369">
        <v>31.5</v>
      </c>
      <c r="I132" s="1364">
        <f t="shared" ref="I132:I137" si="26">TRUNC(F132*(1+$J$11),2)</f>
        <v>150.16999999999999</v>
      </c>
      <c r="J132" s="77">
        <f t="shared" ref="J132:J137" si="27">TRUNC(I132*G132,2)</f>
        <v>4730.3500000000004</v>
      </c>
      <c r="K132" s="98"/>
      <c r="L132" s="449"/>
      <c r="U132" s="98">
        <v>123.51</v>
      </c>
      <c r="V132" s="1798">
        <v>150.96</v>
      </c>
      <c r="W132" s="1798">
        <v>4755.24</v>
      </c>
    </row>
    <row r="133" spans="1:23" ht="18.75" customHeight="1">
      <c r="A133" s="1623" t="s">
        <v>1201</v>
      </c>
      <c r="B133" s="1309">
        <v>98689</v>
      </c>
      <c r="C133" s="1302" t="s">
        <v>2865</v>
      </c>
      <c r="D133" s="1863" t="s">
        <v>54</v>
      </c>
      <c r="E133" s="1305">
        <v>138.53</v>
      </c>
      <c r="F133" s="1311">
        <f>VLOOKUP(B133,'CADERNO DE COMPOSIÇÃO'!$A$8:$J$15448,10,FALSE)</f>
        <v>137.80000000000001</v>
      </c>
      <c r="G133" s="1362">
        <v>3.8</v>
      </c>
      <c r="H133" s="1369">
        <v>3.8</v>
      </c>
      <c r="I133" s="1364">
        <f t="shared" si="26"/>
        <v>168.43</v>
      </c>
      <c r="J133" s="77">
        <f t="shared" si="27"/>
        <v>640.03</v>
      </c>
      <c r="K133" s="98"/>
      <c r="L133" s="449">
        <f>1.3*2.1</f>
        <v>2.7300000000000004</v>
      </c>
      <c r="U133" s="98">
        <v>138.53</v>
      </c>
      <c r="V133" s="1798">
        <v>169.32</v>
      </c>
      <c r="W133" s="1798">
        <v>643.41</v>
      </c>
    </row>
    <row r="134" spans="1:23" ht="33" customHeight="1">
      <c r="A134" s="1623" t="s">
        <v>1202</v>
      </c>
      <c r="B134" s="1309" t="s">
        <v>526</v>
      </c>
      <c r="C134" s="1313" t="s">
        <v>1413</v>
      </c>
      <c r="D134" s="1309" t="s">
        <v>55</v>
      </c>
      <c r="E134" s="1305">
        <f>K134</f>
        <v>3931.27</v>
      </c>
      <c r="F134" s="1311">
        <f>VLOOKUP(B134,'CADERNO DE COMPOSIÇÃO'!$A$8:$J$15448,10,FALSE)</f>
        <v>3908.56</v>
      </c>
      <c r="G134" s="1362">
        <v>2</v>
      </c>
      <c r="H134" s="1369">
        <v>2</v>
      </c>
      <c r="I134" s="1364">
        <f t="shared" si="26"/>
        <v>4777.43</v>
      </c>
      <c r="J134" s="77">
        <f t="shared" si="27"/>
        <v>9554.86</v>
      </c>
      <c r="K134" s="328">
        <f>'COMP CIVIL'!F76</f>
        <v>3931.27</v>
      </c>
      <c r="L134" s="308" t="s">
        <v>2050</v>
      </c>
      <c r="U134" s="98">
        <v>3931.27</v>
      </c>
      <c r="V134" s="1798">
        <v>4805.1899999999996</v>
      </c>
      <c r="W134" s="1798">
        <v>9610.3799999999992</v>
      </c>
    </row>
    <row r="135" spans="1:23" ht="35.25" customHeight="1">
      <c r="A135" s="1623" t="s">
        <v>1203</v>
      </c>
      <c r="B135" s="1309">
        <v>91341</v>
      </c>
      <c r="C135" s="431" t="s">
        <v>1395</v>
      </c>
      <c r="D135" s="1309" t="s">
        <v>46</v>
      </c>
      <c r="E135" s="1305">
        <v>636.34</v>
      </c>
      <c r="F135" s="1311">
        <f>VLOOKUP(B135,'CADERNO DE COMPOSIÇÃO'!$A$8:$J$15448,10,FALSE)</f>
        <v>632.51</v>
      </c>
      <c r="G135" s="1362">
        <v>10.49</v>
      </c>
      <c r="H135" s="1369">
        <v>10.49</v>
      </c>
      <c r="I135" s="1364">
        <f t="shared" si="26"/>
        <v>773.11</v>
      </c>
      <c r="J135" s="77">
        <f t="shared" si="27"/>
        <v>8109.92</v>
      </c>
      <c r="K135" s="98"/>
      <c r="L135" s="308" t="s">
        <v>1394</v>
      </c>
      <c r="U135" s="98">
        <v>636.34</v>
      </c>
      <c r="V135" s="1798">
        <v>777.79</v>
      </c>
      <c r="W135" s="1798">
        <v>8159.01</v>
      </c>
    </row>
    <row r="136" spans="1:23" ht="46.5" customHeight="1">
      <c r="A136" s="1384" t="s">
        <v>1204</v>
      </c>
      <c r="B136" s="1309">
        <v>94569</v>
      </c>
      <c r="C136" s="1302" t="s">
        <v>2866</v>
      </c>
      <c r="D136" s="1309" t="s">
        <v>46</v>
      </c>
      <c r="E136" s="1305">
        <v>705.35</v>
      </c>
      <c r="F136" s="1311">
        <f>VLOOKUP(B136,'CADERNO DE COMPOSIÇÃO'!$A$8:$J$15448,10,FALSE)</f>
        <v>701.22</v>
      </c>
      <c r="G136" s="1362">
        <v>24.84</v>
      </c>
      <c r="H136" s="1369">
        <v>24.84</v>
      </c>
      <c r="I136" s="1364">
        <f t="shared" si="26"/>
        <v>857.1</v>
      </c>
      <c r="J136" s="77">
        <f t="shared" si="27"/>
        <v>21290.36</v>
      </c>
      <c r="K136" s="98"/>
      <c r="L136" s="308" t="s">
        <v>1393</v>
      </c>
      <c r="U136" s="98">
        <v>705.35</v>
      </c>
      <c r="V136" s="1798">
        <v>862.14</v>
      </c>
      <c r="W136" s="1798">
        <v>21415.55</v>
      </c>
    </row>
    <row r="137" spans="1:23" ht="61.5" customHeight="1">
      <c r="A137" s="1384" t="s">
        <v>1205</v>
      </c>
      <c r="B137" s="1309">
        <v>94570</v>
      </c>
      <c r="C137" s="1302" t="s">
        <v>1668</v>
      </c>
      <c r="D137" s="1309" t="s">
        <v>46</v>
      </c>
      <c r="E137" s="1305">
        <v>366.71</v>
      </c>
      <c r="F137" s="1311">
        <f>VLOOKUP(B137,'CADERNO DE COMPOSIÇÃO'!$A$8:$J$15448,10,FALSE)</f>
        <v>364.53</v>
      </c>
      <c r="G137" s="1362">
        <v>4.84</v>
      </c>
      <c r="H137" s="1369">
        <v>4.84</v>
      </c>
      <c r="I137" s="1364">
        <f t="shared" si="26"/>
        <v>445.56</v>
      </c>
      <c r="J137" s="77">
        <f t="shared" si="27"/>
        <v>2156.5100000000002</v>
      </c>
      <c r="K137" s="98"/>
      <c r="L137" s="450" t="s">
        <v>348</v>
      </c>
      <c r="U137" s="98">
        <v>366.71</v>
      </c>
      <c r="V137" s="1798">
        <v>448.22</v>
      </c>
      <c r="W137" s="1798">
        <v>2169.38</v>
      </c>
    </row>
    <row r="138" spans="1:23" ht="12.75" customHeight="1">
      <c r="A138" s="1694" t="s">
        <v>137</v>
      </c>
      <c r="B138" s="1080"/>
      <c r="C138" s="1081" t="s">
        <v>1403</v>
      </c>
      <c r="D138" s="1080"/>
      <c r="E138" s="1082"/>
      <c r="F138" s="1082"/>
      <c r="G138" s="1083" t="s">
        <v>42</v>
      </c>
      <c r="H138" s="1084"/>
      <c r="I138" s="1084" t="str">
        <f>IF(OR(E138&lt;=0)," ",TRUNC((E138*(1+$J$11)),2))</f>
        <v xml:space="preserve"> </v>
      </c>
      <c r="J138" s="1085" t="str">
        <f>IF(OR(E138&lt;=0)," ",TRUNC((I138*G138),2))</f>
        <v xml:space="preserve"> </v>
      </c>
      <c r="K138" s="98"/>
      <c r="L138" s="53"/>
      <c r="U138" s="98"/>
      <c r="V138" s="1798" t="s">
        <v>42</v>
      </c>
      <c r="W138" s="1798" t="s">
        <v>42</v>
      </c>
    </row>
    <row r="139" spans="1:23" ht="28.5">
      <c r="A139" s="454" t="s">
        <v>1621</v>
      </c>
      <c r="B139" s="1295" t="s">
        <v>532</v>
      </c>
      <c r="C139" s="1568" t="s">
        <v>2867</v>
      </c>
      <c r="D139" s="1309" t="s">
        <v>55</v>
      </c>
      <c r="E139" s="1305">
        <f>K139</f>
        <v>3594</v>
      </c>
      <c r="F139" s="1311">
        <f>VLOOKUP(B139,'CADERNO DE COMPOSIÇÃO'!$A$8:$J$15448,10,FALSE)</f>
        <v>3572.43</v>
      </c>
      <c r="G139" s="1362">
        <v>1</v>
      </c>
      <c r="H139" s="1369">
        <v>1</v>
      </c>
      <c r="I139" s="1364">
        <f t="shared" ref="I139:I141" si="28">TRUNC(F139*(1+$J$11),2)</f>
        <v>4366.58</v>
      </c>
      <c r="J139" s="77">
        <f t="shared" ref="J139:J141" si="29">TRUNC(I139*G139,2)</f>
        <v>4366.58</v>
      </c>
      <c r="K139" s="328">
        <f>'COMP CIVIL'!F163</f>
        <v>3594</v>
      </c>
      <c r="L139" s="308" t="s">
        <v>675</v>
      </c>
      <c r="U139" s="98">
        <v>3594</v>
      </c>
      <c r="V139" s="1798">
        <v>4392.9399999999996</v>
      </c>
      <c r="W139" s="1798">
        <v>4392.9399999999996</v>
      </c>
    </row>
    <row r="140" spans="1:23" ht="28.5">
      <c r="A140" s="1086" t="s">
        <v>1622</v>
      </c>
      <c r="B140" s="1026" t="s">
        <v>104</v>
      </c>
      <c r="C140" s="1567" t="s">
        <v>2868</v>
      </c>
      <c r="D140" s="1191" t="s">
        <v>55</v>
      </c>
      <c r="E140" s="1067">
        <f>K140</f>
        <v>8814</v>
      </c>
      <c r="F140" s="1311">
        <f>VLOOKUP(B140,'CADERNO DE COMPOSIÇÃO'!$A$8:$J$15448,10,FALSE)</f>
        <v>8761.11</v>
      </c>
      <c r="G140" s="1073">
        <v>1</v>
      </c>
      <c r="H140" s="1074">
        <v>2</v>
      </c>
      <c r="I140" s="1028">
        <f t="shared" si="28"/>
        <v>10708.7</v>
      </c>
      <c r="J140" s="1031">
        <f t="shared" si="29"/>
        <v>10708.7</v>
      </c>
      <c r="K140" s="328">
        <f>'COMP CIVIL'!F180</f>
        <v>8814</v>
      </c>
      <c r="L140" s="308" t="s">
        <v>677</v>
      </c>
      <c r="U140" s="98">
        <v>8814</v>
      </c>
      <c r="V140" s="1798">
        <v>10773.35</v>
      </c>
      <c r="W140" s="1798">
        <v>10773.35</v>
      </c>
    </row>
    <row r="141" spans="1:23" ht="28.5">
      <c r="A141" s="1627" t="s">
        <v>1623</v>
      </c>
      <c r="B141" s="1295" t="s">
        <v>106</v>
      </c>
      <c r="C141" s="1568" t="s">
        <v>2869</v>
      </c>
      <c r="D141" s="1309" t="s">
        <v>55</v>
      </c>
      <c r="E141" s="1305">
        <f>K141</f>
        <v>3840</v>
      </c>
      <c r="F141" s="1311">
        <f>VLOOKUP(B141,'CADERNO DE COMPOSIÇÃO'!$A$8:$J$15448,10,FALSE)</f>
        <v>3816.96</v>
      </c>
      <c r="G141" s="1362">
        <v>1</v>
      </c>
      <c r="H141" s="1369">
        <v>1</v>
      </c>
      <c r="I141" s="1364">
        <f t="shared" si="28"/>
        <v>4665.47</v>
      </c>
      <c r="J141" s="77">
        <f t="shared" si="29"/>
        <v>4665.47</v>
      </c>
      <c r="K141" s="328">
        <f>'COMP CIVIL'!F212</f>
        <v>3840</v>
      </c>
      <c r="L141" s="308" t="s">
        <v>340</v>
      </c>
      <c r="U141" s="98">
        <v>3840</v>
      </c>
      <c r="V141" s="1798">
        <v>4693.63</v>
      </c>
      <c r="W141" s="1798">
        <v>4693.63</v>
      </c>
    </row>
    <row r="142" spans="1:23" ht="15.75" thickBot="1">
      <c r="A142" s="1624"/>
      <c r="B142" s="1392"/>
      <c r="C142" s="1392"/>
      <c r="D142" s="1392"/>
      <c r="E142" s="1320"/>
      <c r="F142" s="1320"/>
      <c r="G142" s="1415"/>
      <c r="H142" s="1367"/>
      <c r="I142" s="1416" t="s">
        <v>15</v>
      </c>
      <c r="J142" s="79">
        <f>TRUNC(SUM(J128:J141),2)</f>
        <v>76098.899999999994</v>
      </c>
      <c r="K142" s="98"/>
      <c r="L142" s="53"/>
      <c r="U142" s="98"/>
      <c r="V142" s="1801" t="s">
        <v>15</v>
      </c>
      <c r="W142" s="1798">
        <v>76548.899999999994</v>
      </c>
    </row>
    <row r="143" spans="1:23">
      <c r="A143" s="352">
        <v>9</v>
      </c>
      <c r="B143" s="353"/>
      <c r="C143" s="354" t="s">
        <v>92</v>
      </c>
      <c r="D143" s="355"/>
      <c r="E143" s="1071"/>
      <c r="F143" s="1071"/>
      <c r="G143" s="641"/>
      <c r="H143" s="642"/>
      <c r="I143" s="642"/>
      <c r="J143" s="358"/>
      <c r="K143" s="269"/>
      <c r="L143" s="53"/>
      <c r="U143" s="98"/>
      <c r="V143" s="1798"/>
      <c r="W143" s="1798"/>
    </row>
    <row r="144" spans="1:23" ht="15.75" customHeight="1">
      <c r="A144" s="1634" t="s">
        <v>74</v>
      </c>
      <c r="B144" s="1606"/>
      <c r="C144" s="1607" t="s">
        <v>1208</v>
      </c>
      <c r="D144" s="1606"/>
      <c r="E144" s="1608"/>
      <c r="F144" s="1608"/>
      <c r="G144" s="1609" t="s">
        <v>42</v>
      </c>
      <c r="H144" s="1605"/>
      <c r="I144" s="1605" t="str">
        <f>IF(OR(E144&lt;=0)," ",TRUNC((E144*(1+$J$11)),2))</f>
        <v xml:space="preserve"> </v>
      </c>
      <c r="J144" s="176" t="str">
        <f>IF(OR(E144&lt;=0)," ",TRUNC((I144*G144),2))</f>
        <v xml:space="preserve"> </v>
      </c>
      <c r="K144" s="325"/>
      <c r="L144" s="305"/>
      <c r="U144" s="98"/>
      <c r="V144" s="1798" t="s">
        <v>42</v>
      </c>
      <c r="W144" s="1798" t="s">
        <v>42</v>
      </c>
    </row>
    <row r="145" spans="1:23" ht="30" customHeight="1">
      <c r="A145" s="1627" t="s">
        <v>1206</v>
      </c>
      <c r="B145" s="926">
        <v>96135</v>
      </c>
      <c r="C145" s="1635" t="s">
        <v>2870</v>
      </c>
      <c r="D145" s="1366" t="s">
        <v>46</v>
      </c>
      <c r="E145" s="1067">
        <v>28.7</v>
      </c>
      <c r="F145" s="1311">
        <f>VLOOKUP(B145,'CADERNO DE COMPOSIÇÃO'!$A$8:$J$15448,10,FALSE)</f>
        <v>28.630000000000003</v>
      </c>
      <c r="G145" s="1362">
        <v>447.85</v>
      </c>
      <c r="H145" s="1369">
        <v>447.85</v>
      </c>
      <c r="I145" s="1364">
        <f t="shared" ref="I145:I149" si="30">TRUNC(F145*(1+$J$11),2)</f>
        <v>34.99</v>
      </c>
      <c r="J145" s="77">
        <f t="shared" ref="J145:J149" si="31">TRUNC(I145*G145,2)</f>
        <v>15670.27</v>
      </c>
      <c r="K145" s="927"/>
      <c r="L145" s="305"/>
      <c r="U145" s="98">
        <v>28.7</v>
      </c>
      <c r="V145" s="1798">
        <v>35.08</v>
      </c>
      <c r="W145" s="1798">
        <v>15710.57</v>
      </c>
    </row>
    <row r="146" spans="1:23" ht="30" customHeight="1">
      <c r="A146" s="1627" t="s">
        <v>1207</v>
      </c>
      <c r="B146" s="926">
        <v>88485</v>
      </c>
      <c r="C146" s="1302" t="s">
        <v>550</v>
      </c>
      <c r="D146" s="1366" t="s">
        <v>46</v>
      </c>
      <c r="E146" s="1067">
        <v>2.33</v>
      </c>
      <c r="F146" s="1311">
        <f>VLOOKUP(B146,'CADERNO DE COMPOSIÇÃO'!$A$8:$J$15448,10,FALSE)</f>
        <v>2.23</v>
      </c>
      <c r="G146" s="1362">
        <v>447.85</v>
      </c>
      <c r="H146" s="1369">
        <v>447.85</v>
      </c>
      <c r="I146" s="1364">
        <f t="shared" si="30"/>
        <v>2.72</v>
      </c>
      <c r="J146" s="77">
        <f t="shared" si="31"/>
        <v>1218.1500000000001</v>
      </c>
      <c r="K146" s="927"/>
      <c r="L146" s="305"/>
      <c r="U146" s="98">
        <v>2.33</v>
      </c>
      <c r="V146" s="1798">
        <v>2.84</v>
      </c>
      <c r="W146" s="1798">
        <v>1271.8900000000001</v>
      </c>
    </row>
    <row r="147" spans="1:23" ht="30" customHeight="1">
      <c r="A147" s="1627" t="s">
        <v>1318</v>
      </c>
      <c r="B147" s="926">
        <v>88489</v>
      </c>
      <c r="C147" s="1302" t="s">
        <v>117</v>
      </c>
      <c r="D147" s="1366" t="s">
        <v>46</v>
      </c>
      <c r="E147" s="1067">
        <v>14.99</v>
      </c>
      <c r="F147" s="1311">
        <f>VLOOKUP(B147,'CADERNO DE COMPOSIÇÃO'!$A$8:$J$15448,10,FALSE)</f>
        <v>14.940000000000001</v>
      </c>
      <c r="G147" s="1362">
        <v>447.85</v>
      </c>
      <c r="H147" s="1369">
        <v>447.85</v>
      </c>
      <c r="I147" s="1364">
        <f t="shared" si="30"/>
        <v>18.260000000000002</v>
      </c>
      <c r="J147" s="77">
        <f t="shared" si="31"/>
        <v>8177.74</v>
      </c>
      <c r="K147" s="927"/>
      <c r="L147" s="305"/>
      <c r="U147" s="98">
        <v>14.99</v>
      </c>
      <c r="V147" s="1798">
        <v>18.32</v>
      </c>
      <c r="W147" s="1798">
        <v>8204.61</v>
      </c>
    </row>
    <row r="148" spans="1:23" ht="30" customHeight="1">
      <c r="A148" s="1627" t="s">
        <v>1319</v>
      </c>
      <c r="B148" s="926">
        <v>88484</v>
      </c>
      <c r="C148" s="1302" t="s">
        <v>2006</v>
      </c>
      <c r="D148" s="1366" t="s">
        <v>46</v>
      </c>
      <c r="E148" s="1067">
        <v>2.63</v>
      </c>
      <c r="F148" s="1311">
        <f>VLOOKUP(B148,'CADERNO DE COMPOSIÇÃO'!$A$8:$J$15448,10,FALSE)</f>
        <v>2.63</v>
      </c>
      <c r="G148" s="1362">
        <v>257.43</v>
      </c>
      <c r="H148" s="1369">
        <v>257.43</v>
      </c>
      <c r="I148" s="1364">
        <f t="shared" si="30"/>
        <v>3.21</v>
      </c>
      <c r="J148" s="77">
        <f t="shared" si="31"/>
        <v>826.35</v>
      </c>
      <c r="K148" s="927"/>
      <c r="L148" s="305"/>
      <c r="U148" s="98">
        <v>2.63</v>
      </c>
      <c r="V148" s="1798">
        <v>3.21</v>
      </c>
      <c r="W148" s="1798">
        <v>826.35</v>
      </c>
    </row>
    <row r="149" spans="1:23" ht="30" customHeight="1">
      <c r="A149" s="1627" t="s">
        <v>1320</v>
      </c>
      <c r="B149" s="926">
        <v>88488</v>
      </c>
      <c r="C149" s="1302" t="s">
        <v>2007</v>
      </c>
      <c r="D149" s="1366" t="s">
        <v>46</v>
      </c>
      <c r="E149" s="1067">
        <v>16.84</v>
      </c>
      <c r="F149" s="1311">
        <f>VLOOKUP(B149,'CADERNO DE COMPOSIÇÃO'!$A$8:$J$15448,10,FALSE)</f>
        <v>16.79</v>
      </c>
      <c r="G149" s="1362">
        <v>215.84</v>
      </c>
      <c r="H149" s="1369">
        <v>215.84</v>
      </c>
      <c r="I149" s="1364">
        <f t="shared" si="30"/>
        <v>20.52</v>
      </c>
      <c r="J149" s="77">
        <f t="shared" si="31"/>
        <v>4429.03</v>
      </c>
      <c r="K149" s="927"/>
      <c r="L149" s="305"/>
      <c r="U149" s="98">
        <v>16.84</v>
      </c>
      <c r="V149" s="1798">
        <v>20.58</v>
      </c>
      <c r="W149" s="1798">
        <v>4441.9799999999996</v>
      </c>
    </row>
    <row r="150" spans="1:23" ht="13.5" customHeight="1">
      <c r="A150" s="1634" t="s">
        <v>110</v>
      </c>
      <c r="B150" s="1606"/>
      <c r="C150" s="1607" t="s">
        <v>1209</v>
      </c>
      <c r="D150" s="1606"/>
      <c r="E150" s="1608"/>
      <c r="F150" s="1608"/>
      <c r="G150" s="1609" t="s">
        <v>42</v>
      </c>
      <c r="H150" s="1605"/>
      <c r="I150" s="1605" t="str">
        <f>IF(OR(E150&lt;=0)," ",TRUNC((E150*(1+$J$11)),2))</f>
        <v xml:space="preserve"> </v>
      </c>
      <c r="J150" s="176" t="str">
        <f>IF(OR(E150&lt;=0)," ",TRUNC((I150*G150),2))</f>
        <v xml:space="preserve"> </v>
      </c>
      <c r="K150" s="18"/>
      <c r="L150" s="304"/>
      <c r="U150" s="98"/>
      <c r="V150" s="1798" t="s">
        <v>42</v>
      </c>
      <c r="W150" s="1798" t="s">
        <v>42</v>
      </c>
    </row>
    <row r="151" spans="1:23" ht="33.75" customHeight="1">
      <c r="A151" s="1627" t="s">
        <v>1210</v>
      </c>
      <c r="B151" s="926">
        <v>88415</v>
      </c>
      <c r="C151" s="1302" t="s">
        <v>551</v>
      </c>
      <c r="D151" s="1366" t="s">
        <v>46</v>
      </c>
      <c r="E151" s="1067">
        <v>2.62</v>
      </c>
      <c r="F151" s="1311">
        <f>VLOOKUP(B151,'CADERNO DE COMPOSIÇÃO'!$A$8:$J$15448,10,FALSE)</f>
        <v>2.6199999999999997</v>
      </c>
      <c r="G151" s="1362">
        <v>436.63</v>
      </c>
      <c r="H151" s="1369">
        <v>436.63</v>
      </c>
      <c r="I151" s="1364">
        <f t="shared" ref="I151:I155" si="32">TRUNC(F151*(1+$J$11),2)</f>
        <v>3.2</v>
      </c>
      <c r="J151" s="77">
        <f t="shared" ref="J151:J155" si="33">TRUNC(I151*G151,2)</f>
        <v>1397.21</v>
      </c>
      <c r="K151" s="18"/>
      <c r="L151" s="304"/>
      <c r="U151" s="98">
        <v>2.62</v>
      </c>
      <c r="V151" s="1798">
        <v>3.2</v>
      </c>
      <c r="W151" s="1798">
        <v>1397.21</v>
      </c>
    </row>
    <row r="152" spans="1:23" ht="33.75" customHeight="1">
      <c r="A152" s="1627" t="s">
        <v>1211</v>
      </c>
      <c r="B152" s="926">
        <v>88431</v>
      </c>
      <c r="C152" s="1302" t="s">
        <v>552</v>
      </c>
      <c r="D152" s="1366" t="s">
        <v>46</v>
      </c>
      <c r="E152" s="1305">
        <v>21.65</v>
      </c>
      <c r="F152" s="1311">
        <f>VLOOKUP(B152,'CADERNO DE COMPOSIÇÃO'!$A$8:$J$15448,10,FALSE)</f>
        <v>21.57</v>
      </c>
      <c r="G152" s="1362">
        <v>436.63</v>
      </c>
      <c r="H152" s="1369">
        <v>436.63</v>
      </c>
      <c r="I152" s="1364">
        <f t="shared" si="32"/>
        <v>26.36</v>
      </c>
      <c r="J152" s="77">
        <f t="shared" si="33"/>
        <v>11509.56</v>
      </c>
      <c r="K152" s="18"/>
      <c r="L152" s="475" t="s">
        <v>2009</v>
      </c>
      <c r="U152" s="98">
        <v>21.65</v>
      </c>
      <c r="V152" s="1798">
        <v>26.46</v>
      </c>
      <c r="W152" s="1798">
        <v>11553.22</v>
      </c>
    </row>
    <row r="153" spans="1:23" ht="33.75" customHeight="1">
      <c r="A153" s="1627" t="s">
        <v>1317</v>
      </c>
      <c r="B153" s="926">
        <v>95626</v>
      </c>
      <c r="C153" s="1302" t="s">
        <v>554</v>
      </c>
      <c r="D153" s="1366" t="s">
        <v>46</v>
      </c>
      <c r="E153" s="1305">
        <v>15.86</v>
      </c>
      <c r="F153" s="1311">
        <f>VLOOKUP(B153,'CADERNO DE COMPOSIÇÃO'!$A$8:$J$15448,10,FALSE)</f>
        <v>15.83</v>
      </c>
      <c r="G153" s="1362">
        <v>436.63</v>
      </c>
      <c r="H153" s="1369">
        <v>436.63</v>
      </c>
      <c r="I153" s="1364">
        <f t="shared" si="32"/>
        <v>19.34</v>
      </c>
      <c r="J153" s="77">
        <f t="shared" si="33"/>
        <v>8444.42</v>
      </c>
      <c r="K153" s="18"/>
      <c r="L153" s="475" t="s">
        <v>2010</v>
      </c>
      <c r="U153" s="98">
        <v>15.86</v>
      </c>
      <c r="V153" s="1798">
        <v>19.38</v>
      </c>
      <c r="W153" s="1798">
        <v>8461.8799999999992</v>
      </c>
    </row>
    <row r="154" spans="1:23" ht="15.75" customHeight="1">
      <c r="A154" s="1627" t="s">
        <v>2011</v>
      </c>
      <c r="B154" s="926" t="s">
        <v>1966</v>
      </c>
      <c r="C154" s="1635" t="s">
        <v>2015</v>
      </c>
      <c r="D154" s="1366" t="s">
        <v>46</v>
      </c>
      <c r="E154" s="1067">
        <f>K154</f>
        <v>27.89</v>
      </c>
      <c r="F154" s="1311">
        <f>VLOOKUP(B154,'CADERNO DE COMPOSIÇÃO'!$A$8:$J$15448,10,FALSE)</f>
        <v>27.740000000000002</v>
      </c>
      <c r="G154" s="1362">
        <v>33.979999999999997</v>
      </c>
      <c r="H154" s="1369">
        <v>33.979999999999997</v>
      </c>
      <c r="I154" s="1364">
        <f t="shared" si="32"/>
        <v>33.9</v>
      </c>
      <c r="J154" s="77">
        <f t="shared" si="33"/>
        <v>1151.92</v>
      </c>
      <c r="K154" s="18">
        <f>'COMP CIVIL'!F476</f>
        <v>27.89</v>
      </c>
      <c r="L154" s="304" t="s">
        <v>2109</v>
      </c>
      <c r="U154" s="98">
        <v>27.89</v>
      </c>
      <c r="V154" s="1798">
        <v>34.08</v>
      </c>
      <c r="W154" s="1798">
        <v>1158.03</v>
      </c>
    </row>
    <row r="155" spans="1:23" ht="34.5" customHeight="1">
      <c r="A155" s="1627" t="s">
        <v>2012</v>
      </c>
      <c r="B155" s="926">
        <v>88488</v>
      </c>
      <c r="C155" s="1302" t="s">
        <v>2007</v>
      </c>
      <c r="D155" s="1366" t="s">
        <v>46</v>
      </c>
      <c r="E155" s="1305">
        <v>16.84</v>
      </c>
      <c r="F155" s="1311">
        <f>VLOOKUP(B155,'CADERNO DE COMPOSIÇÃO'!$A$8:$J$15448,10,FALSE)</f>
        <v>16.79</v>
      </c>
      <c r="G155" s="1362">
        <v>41.59</v>
      </c>
      <c r="H155" s="1369">
        <v>41.59</v>
      </c>
      <c r="I155" s="1364">
        <f t="shared" si="32"/>
        <v>20.52</v>
      </c>
      <c r="J155" s="77">
        <f t="shared" si="33"/>
        <v>853.42</v>
      </c>
      <c r="K155" s="18"/>
      <c r="L155" s="326" t="s">
        <v>2110</v>
      </c>
      <c r="U155" s="98">
        <v>16.84</v>
      </c>
      <c r="V155" s="1798">
        <v>20.58</v>
      </c>
      <c r="W155" s="1798">
        <v>855.92</v>
      </c>
    </row>
    <row r="156" spans="1:23" ht="15.75" thickBot="1">
      <c r="A156" s="78"/>
      <c r="B156" s="1413"/>
      <c r="C156" s="1636"/>
      <c r="D156" s="1392"/>
      <c r="E156" s="1320"/>
      <c r="F156" s="1311"/>
      <c r="G156" s="1415"/>
      <c r="H156" s="1367"/>
      <c r="I156" s="1416" t="s">
        <v>15</v>
      </c>
      <c r="J156" s="79">
        <f>TRUNC(SUM(J145:J155),2)</f>
        <v>53678.07</v>
      </c>
      <c r="L156" s="53"/>
      <c r="U156" s="98"/>
      <c r="V156" s="1801" t="s">
        <v>15</v>
      </c>
      <c r="W156" s="1798">
        <v>53881.66</v>
      </c>
    </row>
    <row r="157" spans="1:23">
      <c r="A157" s="352">
        <v>10</v>
      </c>
      <c r="B157" s="353"/>
      <c r="C157" s="354" t="s">
        <v>402</v>
      </c>
      <c r="D157" s="355"/>
      <c r="E157" s="1071"/>
      <c r="F157" s="1071"/>
      <c r="G157" s="641"/>
      <c r="H157" s="642"/>
      <c r="I157" s="642"/>
      <c r="J157" s="358"/>
      <c r="K157" s="269"/>
      <c r="L157" s="53"/>
      <c r="U157" s="98"/>
      <c r="V157" s="1798"/>
      <c r="W157" s="1798"/>
    </row>
    <row r="158" spans="1:23">
      <c r="A158" s="1634" t="s">
        <v>76</v>
      </c>
      <c r="B158" s="1606"/>
      <c r="C158" s="1607" t="s">
        <v>303</v>
      </c>
      <c r="D158" s="1606"/>
      <c r="E158" s="1608"/>
      <c r="F158" s="1608"/>
      <c r="G158" s="1609" t="s">
        <v>42</v>
      </c>
      <c r="H158" s="1605"/>
      <c r="I158" s="1605" t="str">
        <f>IF(OR(E158&lt;=0)," ",TRUNC((E158*(1+$J$11)),2))</f>
        <v xml:space="preserve"> </v>
      </c>
      <c r="J158" s="176"/>
      <c r="K158" s="432" t="s">
        <v>1323</v>
      </c>
      <c r="L158" s="53"/>
      <c r="U158" s="98"/>
      <c r="V158" s="1798" t="s">
        <v>42</v>
      </c>
      <c r="W158" s="1798" t="s">
        <v>42</v>
      </c>
    </row>
    <row r="159" spans="1:23" ht="46.5" customHeight="1">
      <c r="A159" s="1623" t="s">
        <v>1193</v>
      </c>
      <c r="B159" s="1475" t="s">
        <v>1348</v>
      </c>
      <c r="C159" s="1302" t="s">
        <v>553</v>
      </c>
      <c r="D159" s="1295" t="s">
        <v>100</v>
      </c>
      <c r="E159" s="1305">
        <f>K159</f>
        <v>15.23</v>
      </c>
      <c r="F159" s="1311">
        <f>VLOOKUP(B159,'CADERNO DE COMPOSIÇÃO'!$A$8:$J$15448,10,FALSE)</f>
        <v>15.129999999999999</v>
      </c>
      <c r="G159" s="1362">
        <v>2630.84</v>
      </c>
      <c r="H159" s="1369">
        <v>2630.84</v>
      </c>
      <c r="I159" s="1364">
        <f t="shared" ref="I159:I162" si="34">TRUNC(F159*(1+$J$11),2)</f>
        <v>18.489999999999998</v>
      </c>
      <c r="J159" s="77">
        <f t="shared" ref="J159:J162" si="35">TRUNC(I159*G159,2)</f>
        <v>48644.23</v>
      </c>
      <c r="K159" s="299">
        <f>'COMP ESTRUT'!F95</f>
        <v>15.23</v>
      </c>
      <c r="L159" s="195"/>
      <c r="U159" s="98">
        <v>15.23</v>
      </c>
      <c r="V159" s="1798">
        <v>18.61</v>
      </c>
      <c r="W159" s="1798">
        <v>48959.93</v>
      </c>
    </row>
    <row r="160" spans="1:23">
      <c r="A160" s="1623" t="s">
        <v>1383</v>
      </c>
      <c r="B160" s="1475" t="s">
        <v>1349</v>
      </c>
      <c r="C160" s="1302" t="s">
        <v>1345</v>
      </c>
      <c r="D160" s="1295" t="s">
        <v>100</v>
      </c>
      <c r="E160" s="1305">
        <f>K160</f>
        <v>3.2</v>
      </c>
      <c r="F160" s="1311">
        <f>VLOOKUP(B160,'CADERNO DE COMPOSIÇÃO'!$A$8:$J$15448,10,FALSE)</f>
        <v>3.19</v>
      </c>
      <c r="G160" s="1362">
        <v>2630.84</v>
      </c>
      <c r="H160" s="1369">
        <v>2630.84</v>
      </c>
      <c r="I160" s="1364">
        <f t="shared" si="34"/>
        <v>3.89</v>
      </c>
      <c r="J160" s="77">
        <f t="shared" si="35"/>
        <v>10233.959999999999</v>
      </c>
      <c r="K160" s="329">
        <f>'COMP ESTRUT'!F106</f>
        <v>3.2</v>
      </c>
      <c r="L160" s="53"/>
      <c r="U160" s="98">
        <v>3.2</v>
      </c>
      <c r="V160" s="1798">
        <v>3.91</v>
      </c>
      <c r="W160" s="1798">
        <v>10286.58</v>
      </c>
    </row>
    <row r="161" spans="1:23" ht="30.75" customHeight="1">
      <c r="A161" s="1623" t="s">
        <v>1384</v>
      </c>
      <c r="B161" s="1475" t="s">
        <v>1355</v>
      </c>
      <c r="C161" s="1302" t="s">
        <v>1351</v>
      </c>
      <c r="D161" s="1309" t="s">
        <v>55</v>
      </c>
      <c r="E161" s="1305">
        <f>K161</f>
        <v>8.14</v>
      </c>
      <c r="F161" s="1311">
        <f>VLOOKUP(B161,'CADERNO DE COMPOSIÇÃO'!$A$8:$J$15448,10,FALSE)</f>
        <v>8.129999999999999</v>
      </c>
      <c r="G161" s="1362">
        <v>200</v>
      </c>
      <c r="H161" s="1369">
        <v>200</v>
      </c>
      <c r="I161" s="1364">
        <f t="shared" si="34"/>
        <v>9.93</v>
      </c>
      <c r="J161" s="77">
        <f t="shared" si="35"/>
        <v>1986</v>
      </c>
      <c r="K161" s="329">
        <f>'COMP ESTRUT'!F117</f>
        <v>8.14</v>
      </c>
      <c r="L161" s="53"/>
      <c r="U161" s="98">
        <v>8.14</v>
      </c>
      <c r="V161" s="1798">
        <v>9.94</v>
      </c>
      <c r="W161" s="1798">
        <v>1988</v>
      </c>
    </row>
    <row r="162" spans="1:23" ht="46.5" customHeight="1">
      <c r="A162" s="1384" t="s">
        <v>1385</v>
      </c>
      <c r="B162" s="1475">
        <v>100747</v>
      </c>
      <c r="C162" s="1302" t="s">
        <v>1670</v>
      </c>
      <c r="D162" s="1366" t="s">
        <v>46</v>
      </c>
      <c r="E162" s="1305">
        <v>10.39</v>
      </c>
      <c r="F162" s="1311">
        <f>VLOOKUP(B162,'CADERNO DE COMPOSIÇÃO'!$A$8:$J$15448,10,FALSE)</f>
        <v>10.330000000000002</v>
      </c>
      <c r="G162" s="1362">
        <v>159.83000000000001</v>
      </c>
      <c r="H162" s="1369">
        <v>159.83000000000001</v>
      </c>
      <c r="I162" s="1364">
        <f t="shared" si="34"/>
        <v>12.62</v>
      </c>
      <c r="J162" s="77">
        <f t="shared" si="35"/>
        <v>2017.05</v>
      </c>
      <c r="K162" s="117"/>
      <c r="L162" s="53"/>
      <c r="U162" s="98">
        <v>10.39</v>
      </c>
      <c r="V162" s="1798">
        <v>12.69</v>
      </c>
      <c r="W162" s="1798">
        <v>2028.24</v>
      </c>
    </row>
    <row r="163" spans="1:23" ht="14.25" customHeight="1">
      <c r="A163" s="1384"/>
      <c r="B163" s="1295"/>
      <c r="C163" s="1295"/>
      <c r="D163" s="1295"/>
      <c r="E163" s="1305"/>
      <c r="F163" s="1305"/>
      <c r="G163" s="1364"/>
      <c r="H163" s="1364"/>
      <c r="I163" s="1581" t="s">
        <v>15</v>
      </c>
      <c r="J163" s="1640">
        <f>TRUNC(SUM(J159:J162),2)</f>
        <v>62881.24</v>
      </c>
      <c r="K163" s="117"/>
      <c r="L163" s="53"/>
      <c r="U163" s="98"/>
      <c r="V163" s="1801" t="s">
        <v>15</v>
      </c>
      <c r="W163" s="1798">
        <v>63262.75</v>
      </c>
    </row>
    <row r="164" spans="1:23">
      <c r="A164" s="1695" t="s">
        <v>77</v>
      </c>
      <c r="B164" s="1080"/>
      <c r="C164" s="1081" t="s">
        <v>1194</v>
      </c>
      <c r="D164" s="1080"/>
      <c r="E164" s="1082"/>
      <c r="F164" s="1082"/>
      <c r="G164" s="1083" t="s">
        <v>42</v>
      </c>
      <c r="H164" s="1084"/>
      <c r="I164" s="1084" t="str">
        <f>IF(OR(E164&lt;=0)," ",TRUNC((E164*(1+$J$11)),2))</f>
        <v xml:space="preserve"> </v>
      </c>
      <c r="J164" s="1085" t="str">
        <f>IF(OR(E164&lt;=0)," ",TRUNC((I164*G164),2))</f>
        <v xml:space="preserve"> </v>
      </c>
      <c r="K164" s="279" t="s">
        <v>1321</v>
      </c>
      <c r="L164" s="53"/>
      <c r="U164" s="98"/>
      <c r="V164" s="1798" t="s">
        <v>42</v>
      </c>
      <c r="W164" s="1798" t="s">
        <v>42</v>
      </c>
    </row>
    <row r="165" spans="1:23" ht="57">
      <c r="A165" s="1384" t="s">
        <v>1195</v>
      </c>
      <c r="B165" s="1295" t="s">
        <v>1967</v>
      </c>
      <c r="C165" s="1637" t="s">
        <v>157</v>
      </c>
      <c r="D165" s="1366" t="s">
        <v>46</v>
      </c>
      <c r="E165" s="1305">
        <f>K165</f>
        <v>169.78</v>
      </c>
      <c r="F165" s="1311">
        <f>VLOOKUP(B165,'CADERNO DE COMPOSIÇÃO'!$A$8:$J$15448,10,FALSE)</f>
        <v>168.74</v>
      </c>
      <c r="G165" s="1362">
        <v>246.01</v>
      </c>
      <c r="H165" s="1369">
        <v>246.01</v>
      </c>
      <c r="I165" s="1364">
        <f>TRUNC(F165*(1+$J$11),2)</f>
        <v>206.25</v>
      </c>
      <c r="J165" s="77">
        <f>TRUNC(I165*G165,2)</f>
        <v>50739.56</v>
      </c>
      <c r="K165" s="327">
        <f>'COMP CIVIL'!F490</f>
        <v>169.78</v>
      </c>
      <c r="L165" s="53"/>
      <c r="U165" s="98">
        <v>169.78</v>
      </c>
      <c r="V165" s="1798">
        <v>207.52</v>
      </c>
      <c r="W165" s="1798">
        <v>51051.99</v>
      </c>
    </row>
    <row r="166" spans="1:23" ht="15.75" thickBot="1">
      <c r="A166" s="1627"/>
      <c r="B166" s="1295"/>
      <c r="C166" s="1295"/>
      <c r="D166" s="1295"/>
      <c r="E166" s="1305"/>
      <c r="F166" s="1311"/>
      <c r="G166" s="1638"/>
      <c r="H166" s="1364"/>
      <c r="I166" s="1639" t="s">
        <v>15</v>
      </c>
      <c r="J166" s="1640">
        <f>TRUNC(SUM(J165:J165),2)</f>
        <v>50739.56</v>
      </c>
      <c r="L166" s="53"/>
      <c r="U166" s="98"/>
      <c r="V166" s="1801" t="s">
        <v>15</v>
      </c>
      <c r="W166" s="1798">
        <v>51051.99</v>
      </c>
    </row>
    <row r="167" spans="1:23">
      <c r="A167" s="352">
        <v>11</v>
      </c>
      <c r="B167" s="353"/>
      <c r="C167" s="354" t="s">
        <v>75</v>
      </c>
      <c r="D167" s="355"/>
      <c r="E167" s="1071"/>
      <c r="F167" s="1071"/>
      <c r="G167" s="641" t="s">
        <v>42</v>
      </c>
      <c r="H167" s="642"/>
      <c r="I167" s="642" t="str">
        <f>IF(OR(E167&lt;=0)," ",TRUNC((E167*(1+$J$11)),2))</f>
        <v xml:space="preserve"> </v>
      </c>
      <c r="J167" s="358" t="str">
        <f>IF(OR(E167&lt;=0)," ",TRUNC((I167*G167),2))</f>
        <v xml:space="preserve"> </v>
      </c>
      <c r="K167" s="269" t="s">
        <v>1324</v>
      </c>
      <c r="L167" s="53"/>
      <c r="U167" s="98"/>
      <c r="V167" s="1798" t="s">
        <v>42</v>
      </c>
      <c r="W167" s="1798" t="s">
        <v>42</v>
      </c>
    </row>
    <row r="168" spans="1:23" ht="15.75" customHeight="1" thickBot="1">
      <c r="A168" s="1097" t="s">
        <v>81</v>
      </c>
      <c r="B168" s="1641"/>
      <c r="C168" s="1642" t="s">
        <v>1212</v>
      </c>
      <c r="D168" s="1641"/>
      <c r="E168" s="1643"/>
      <c r="F168" s="1643"/>
      <c r="G168" s="1644" t="s">
        <v>42</v>
      </c>
      <c r="H168" s="1645"/>
      <c r="I168" s="1645" t="str">
        <f>IF(OR(E168&lt;=0)," ",TRUNC((E168*(1+$J$11)),2))</f>
        <v xml:space="preserve"> </v>
      </c>
      <c r="J168" s="1075" t="str">
        <f>IF(OR(E168&lt;=0)," ",TRUNC((I168*G168),2))</f>
        <v xml:space="preserve"> </v>
      </c>
      <c r="K168" s="511"/>
      <c r="L168" s="109"/>
      <c r="U168" s="98"/>
      <c r="V168" s="1798" t="s">
        <v>42</v>
      </c>
      <c r="W168" s="1798" t="s">
        <v>42</v>
      </c>
    </row>
    <row r="169" spans="1:23" ht="45.75" customHeight="1">
      <c r="A169" s="1076" t="s">
        <v>1213</v>
      </c>
      <c r="B169" s="1309">
        <v>101880</v>
      </c>
      <c r="C169" s="1319" t="s">
        <v>1532</v>
      </c>
      <c r="D169" s="1864" t="s">
        <v>55</v>
      </c>
      <c r="E169" s="1311">
        <v>835.25</v>
      </c>
      <c r="F169" s="1311">
        <f>VLOOKUP(B169,'CADERNO DE COMPOSIÇÃO'!$A$8:$J$15448,10,FALSE)</f>
        <v>830.41</v>
      </c>
      <c r="G169" s="1362">
        <v>1</v>
      </c>
      <c r="H169" s="1373">
        <v>1</v>
      </c>
      <c r="I169" s="1077">
        <f t="shared" ref="I169:I218" si="36">TRUNC(F169*(1+$J$11),2)</f>
        <v>1015.01</v>
      </c>
      <c r="J169" s="1078">
        <f t="shared" ref="J169:J218" si="37">TRUNC(I169*G169,2)</f>
        <v>1015.01</v>
      </c>
      <c r="K169" s="327"/>
      <c r="L169" s="53"/>
      <c r="U169" s="1797">
        <v>835.25</v>
      </c>
      <c r="V169" s="1798">
        <v>1020.92</v>
      </c>
      <c r="W169" s="1798">
        <v>1020.92</v>
      </c>
    </row>
    <row r="170" spans="1:23" ht="32.25" customHeight="1">
      <c r="A170" s="1627" t="s">
        <v>1214</v>
      </c>
      <c r="B170" s="1795" t="s">
        <v>1533</v>
      </c>
      <c r="C170" s="1319" t="s">
        <v>485</v>
      </c>
      <c r="D170" s="1864" t="s">
        <v>55</v>
      </c>
      <c r="E170" s="1311">
        <f>K170</f>
        <v>537.14</v>
      </c>
      <c r="F170" s="1311">
        <f>VLOOKUP(B170,'CADERNO DE COMPOSIÇÃO'!$A$8:$J$15448,10,FALSE)</f>
        <v>535.02</v>
      </c>
      <c r="G170" s="1362">
        <v>1</v>
      </c>
      <c r="H170" s="1373">
        <v>1</v>
      </c>
      <c r="I170" s="1364">
        <f t="shared" si="36"/>
        <v>653.95000000000005</v>
      </c>
      <c r="J170" s="77">
        <f t="shared" si="37"/>
        <v>653.95000000000005</v>
      </c>
      <c r="K170" s="328">
        <f>'COMP ELE'!F308</f>
        <v>537.14</v>
      </c>
      <c r="L170" s="286" t="s">
        <v>1519</v>
      </c>
      <c r="U170" s="1797">
        <v>537.14</v>
      </c>
      <c r="V170" s="1798">
        <v>656.54</v>
      </c>
      <c r="W170" s="1798">
        <v>656.54</v>
      </c>
    </row>
    <row r="171" spans="1:23" ht="36" customHeight="1">
      <c r="A171" s="1627" t="s">
        <v>1215</v>
      </c>
      <c r="B171" s="1309">
        <v>91935</v>
      </c>
      <c r="C171" s="1319" t="s">
        <v>121</v>
      </c>
      <c r="D171" s="1646" t="s">
        <v>54</v>
      </c>
      <c r="E171" s="1311">
        <v>23.04</v>
      </c>
      <c r="F171" s="1311">
        <f>VLOOKUP(B171,'CADERNO DE COMPOSIÇÃO'!$A$8:$J$15448,10,FALSE)</f>
        <v>22.93</v>
      </c>
      <c r="G171" s="1362">
        <v>19.5</v>
      </c>
      <c r="H171" s="1373">
        <v>19.5</v>
      </c>
      <c r="I171" s="1364">
        <f t="shared" si="36"/>
        <v>28.02</v>
      </c>
      <c r="J171" s="77">
        <f t="shared" si="37"/>
        <v>546.39</v>
      </c>
      <c r="K171" s="327"/>
      <c r="L171" s="483" t="s">
        <v>230</v>
      </c>
      <c r="U171" s="1797">
        <v>23.04</v>
      </c>
      <c r="V171" s="1798">
        <v>28.16</v>
      </c>
      <c r="W171" s="1798">
        <v>549.12</v>
      </c>
    </row>
    <row r="172" spans="1:23" ht="42" customHeight="1">
      <c r="A172" s="1086" t="s">
        <v>1216</v>
      </c>
      <c r="B172" s="1309">
        <v>92984</v>
      </c>
      <c r="C172" s="1319" t="s">
        <v>2145</v>
      </c>
      <c r="D172" s="1646" t="s">
        <v>54</v>
      </c>
      <c r="E172" s="1311">
        <v>26.22</v>
      </c>
      <c r="F172" s="1311">
        <f>VLOOKUP(B172,'CADERNO DE COMPOSIÇÃO'!$A$8:$J$15448,10,FALSE)</f>
        <v>26.080000000000002</v>
      </c>
      <c r="G172" s="1362">
        <v>78</v>
      </c>
      <c r="H172" s="1578">
        <v>78</v>
      </c>
      <c r="I172" s="1364">
        <f t="shared" si="36"/>
        <v>31.87</v>
      </c>
      <c r="J172" s="77">
        <f t="shared" si="37"/>
        <v>2485.86</v>
      </c>
      <c r="K172" s="327"/>
      <c r="L172" s="483" t="s">
        <v>230</v>
      </c>
      <c r="U172" s="1797">
        <v>26.22</v>
      </c>
      <c r="V172" s="1798">
        <v>32.04</v>
      </c>
      <c r="W172" s="1798">
        <v>2499.12</v>
      </c>
    </row>
    <row r="173" spans="1:23" ht="33.75" customHeight="1">
      <c r="A173" s="1627" t="s">
        <v>1217</v>
      </c>
      <c r="B173" s="1309">
        <v>91926</v>
      </c>
      <c r="C173" s="1319" t="s">
        <v>2146</v>
      </c>
      <c r="D173" s="1646" t="s">
        <v>54</v>
      </c>
      <c r="E173" s="1311">
        <v>3.97</v>
      </c>
      <c r="F173" s="1311">
        <f>VLOOKUP(B173,'CADERNO DE COMPOSIÇÃO'!$A$8:$J$15448,10,FALSE)</f>
        <v>3.9499999999999993</v>
      </c>
      <c r="G173" s="1362">
        <v>1144.0999999999999</v>
      </c>
      <c r="H173" s="1373">
        <v>1144.0999999999999</v>
      </c>
      <c r="I173" s="1364">
        <f t="shared" si="36"/>
        <v>4.82</v>
      </c>
      <c r="J173" s="77">
        <f t="shared" si="37"/>
        <v>5514.56</v>
      </c>
      <c r="K173" s="327"/>
      <c r="L173" s="483" t="s">
        <v>231</v>
      </c>
      <c r="U173" s="1797">
        <v>3.97</v>
      </c>
      <c r="V173" s="1798">
        <v>4.8499999999999996</v>
      </c>
      <c r="W173" s="1798">
        <v>5548.88</v>
      </c>
    </row>
    <row r="174" spans="1:23" ht="33" customHeight="1">
      <c r="A174" s="1627" t="s">
        <v>1218</v>
      </c>
      <c r="B174" s="1309">
        <v>91928</v>
      </c>
      <c r="C174" s="1319" t="s">
        <v>232</v>
      </c>
      <c r="D174" s="1646" t="s">
        <v>54</v>
      </c>
      <c r="E174" s="1311">
        <v>6.12</v>
      </c>
      <c r="F174" s="1311">
        <f>VLOOKUP(B174,'CADERNO DE COMPOSIÇÃO'!$A$8:$J$15448,10,FALSE)</f>
        <v>6.09</v>
      </c>
      <c r="G174" s="1362">
        <v>212.6</v>
      </c>
      <c r="H174" s="1373">
        <v>212.6</v>
      </c>
      <c r="I174" s="1364">
        <f t="shared" si="36"/>
        <v>7.44</v>
      </c>
      <c r="J174" s="77">
        <f t="shared" si="37"/>
        <v>1581.74</v>
      </c>
      <c r="K174" s="327"/>
      <c r="L174" s="483" t="s">
        <v>231</v>
      </c>
      <c r="U174" s="1797">
        <v>6.12</v>
      </c>
      <c r="V174" s="1798">
        <v>7.48</v>
      </c>
      <c r="W174" s="1798">
        <v>1590.24</v>
      </c>
    </row>
    <row r="175" spans="1:23" ht="36.75" customHeight="1">
      <c r="A175" s="1627" t="s">
        <v>1219</v>
      </c>
      <c r="B175" s="1309">
        <v>91924</v>
      </c>
      <c r="C175" s="1319" t="s">
        <v>1516</v>
      </c>
      <c r="D175" s="1646" t="s">
        <v>54</v>
      </c>
      <c r="E175" s="1311">
        <v>2.74</v>
      </c>
      <c r="F175" s="1311">
        <f>VLOOKUP(B175,'CADERNO DE COMPOSIÇÃO'!$A$8:$J$15448,10,FALSE)</f>
        <v>2.73</v>
      </c>
      <c r="G175" s="1362">
        <v>390.3</v>
      </c>
      <c r="H175" s="1373">
        <v>390.3</v>
      </c>
      <c r="I175" s="1364">
        <f t="shared" si="36"/>
        <v>3.33</v>
      </c>
      <c r="J175" s="77">
        <f t="shared" si="37"/>
        <v>1299.69</v>
      </c>
      <c r="K175" s="327"/>
      <c r="L175" s="483" t="s">
        <v>231</v>
      </c>
      <c r="U175" s="1797">
        <v>2.74</v>
      </c>
      <c r="V175" s="1798">
        <v>3.34</v>
      </c>
      <c r="W175" s="1798">
        <v>1303.5999999999999</v>
      </c>
    </row>
    <row r="176" spans="1:23" ht="24" customHeight="1">
      <c r="A176" s="1627" t="s">
        <v>1220</v>
      </c>
      <c r="B176" s="1570" t="s">
        <v>2097</v>
      </c>
      <c r="C176" s="1319" t="s">
        <v>2094</v>
      </c>
      <c r="D176" s="1401" t="s">
        <v>55</v>
      </c>
      <c r="E176" s="1311">
        <f>K176</f>
        <v>26.95</v>
      </c>
      <c r="F176" s="1311">
        <f>VLOOKUP(B176,'CADERNO DE COMPOSIÇÃO'!$A$8:$J$15448,10,FALSE)</f>
        <v>26.859999999999996</v>
      </c>
      <c r="G176" s="1362">
        <v>23</v>
      </c>
      <c r="H176" s="1373">
        <v>23</v>
      </c>
      <c r="I176" s="1364">
        <f t="shared" si="36"/>
        <v>32.83</v>
      </c>
      <c r="J176" s="77">
        <f t="shared" si="37"/>
        <v>755.09</v>
      </c>
      <c r="K176" s="327">
        <f>'COMP ELE'!F535</f>
        <v>26.95</v>
      </c>
      <c r="L176" s="369"/>
      <c r="U176" s="1797">
        <v>26.95</v>
      </c>
      <c r="V176" s="1798">
        <v>32.94</v>
      </c>
      <c r="W176" s="1798">
        <v>757.62</v>
      </c>
    </row>
    <row r="177" spans="1:23" ht="22.5" customHeight="1">
      <c r="A177" s="1627" t="s">
        <v>1221</v>
      </c>
      <c r="B177" s="1571" t="s">
        <v>2143</v>
      </c>
      <c r="C177" s="1319" t="s">
        <v>2102</v>
      </c>
      <c r="D177" s="1401" t="s">
        <v>55</v>
      </c>
      <c r="E177" s="1311">
        <f>K177</f>
        <v>33.44</v>
      </c>
      <c r="F177" s="1311">
        <f>VLOOKUP(B177,'CADERNO DE COMPOSIÇÃO'!$A$8:$J$15448,10,FALSE)</f>
        <v>33.32</v>
      </c>
      <c r="G177" s="1362">
        <v>1</v>
      </c>
      <c r="H177" s="1373">
        <v>1</v>
      </c>
      <c r="I177" s="1364">
        <f t="shared" si="36"/>
        <v>40.72</v>
      </c>
      <c r="J177" s="77">
        <f t="shared" si="37"/>
        <v>40.72</v>
      </c>
      <c r="K177" s="327">
        <f>'COMP ELE'!F583</f>
        <v>33.44</v>
      </c>
      <c r="L177" s="369"/>
      <c r="U177" s="1797">
        <v>33.44</v>
      </c>
      <c r="V177" s="1798">
        <v>40.869999999999997</v>
      </c>
      <c r="W177" s="1798">
        <v>40.869999999999997</v>
      </c>
    </row>
    <row r="178" spans="1:23" ht="19.5" customHeight="1">
      <c r="A178" s="1627" t="s">
        <v>1222</v>
      </c>
      <c r="B178" s="1571" t="s">
        <v>2101</v>
      </c>
      <c r="C178" s="1319" t="s">
        <v>2098</v>
      </c>
      <c r="D178" s="1401" t="s">
        <v>55</v>
      </c>
      <c r="E178" s="1311">
        <f>K178</f>
        <v>26.95</v>
      </c>
      <c r="F178" s="1311">
        <f>VLOOKUP(B178,'CADERNO DE COMPOSIÇÃO'!$A$8:$J$15448,10,FALSE)</f>
        <v>26.859999999999996</v>
      </c>
      <c r="G178" s="1362">
        <v>2</v>
      </c>
      <c r="H178" s="1373">
        <v>2</v>
      </c>
      <c r="I178" s="1364">
        <f t="shared" si="36"/>
        <v>32.83</v>
      </c>
      <c r="J178" s="77">
        <f t="shared" si="37"/>
        <v>65.66</v>
      </c>
      <c r="K178" s="327">
        <f>'COMP ELE'!F559</f>
        <v>26.95</v>
      </c>
      <c r="L178" s="369"/>
      <c r="U178" s="1797">
        <v>26.95</v>
      </c>
      <c r="V178" s="1798">
        <v>32.94</v>
      </c>
      <c r="W178" s="1798">
        <v>65.88</v>
      </c>
    </row>
    <row r="179" spans="1:23" ht="24" customHeight="1">
      <c r="A179" s="1627" t="s">
        <v>1223</v>
      </c>
      <c r="B179" s="1571" t="s">
        <v>2142</v>
      </c>
      <c r="C179" s="1319" t="s">
        <v>2100</v>
      </c>
      <c r="D179" s="1401" t="s">
        <v>55</v>
      </c>
      <c r="E179" s="1311">
        <f>K179</f>
        <v>29.56</v>
      </c>
      <c r="F179" s="1311">
        <f>VLOOKUP(B179,'CADERNO DE COMPOSIÇÃO'!$A$8:$J$15448,10,FALSE)</f>
        <v>29.459999999999997</v>
      </c>
      <c r="G179" s="1362">
        <v>1</v>
      </c>
      <c r="H179" s="1373">
        <v>1</v>
      </c>
      <c r="I179" s="1364">
        <f t="shared" si="36"/>
        <v>36</v>
      </c>
      <c r="J179" s="77">
        <f t="shared" si="37"/>
        <v>36</v>
      </c>
      <c r="K179" s="327">
        <f>'COMP ELE'!F571</f>
        <v>29.56</v>
      </c>
      <c r="L179" s="369"/>
      <c r="U179" s="1797">
        <v>29.56</v>
      </c>
      <c r="V179" s="1798">
        <v>36.130000000000003</v>
      </c>
      <c r="W179" s="1798">
        <v>36.130000000000003</v>
      </c>
    </row>
    <row r="180" spans="1:23" ht="21" customHeight="1">
      <c r="A180" s="1627" t="s">
        <v>1224</v>
      </c>
      <c r="B180" s="1571" t="s">
        <v>2099</v>
      </c>
      <c r="C180" s="1319" t="s">
        <v>2096</v>
      </c>
      <c r="D180" s="1401" t="s">
        <v>55</v>
      </c>
      <c r="E180" s="1311">
        <f>K180</f>
        <v>28.229999999999997</v>
      </c>
      <c r="F180" s="1311">
        <f>VLOOKUP(B180,'CADERNO DE COMPOSIÇÃO'!$A$8:$J$15448,10,FALSE)</f>
        <v>28.139999999999997</v>
      </c>
      <c r="G180" s="1362">
        <v>1</v>
      </c>
      <c r="H180" s="1373">
        <v>1</v>
      </c>
      <c r="I180" s="1364">
        <f t="shared" si="36"/>
        <v>34.39</v>
      </c>
      <c r="J180" s="77">
        <f t="shared" si="37"/>
        <v>34.39</v>
      </c>
      <c r="K180" s="327">
        <f>'COMP ELE'!F547</f>
        <v>28.229999999999997</v>
      </c>
      <c r="L180" s="369"/>
      <c r="U180" s="1797">
        <v>28.229999999999997</v>
      </c>
      <c r="V180" s="1798">
        <v>34.5</v>
      </c>
      <c r="W180" s="1798">
        <v>34.5</v>
      </c>
    </row>
    <row r="181" spans="1:23" ht="42.75" customHeight="1">
      <c r="A181" s="1627" t="s">
        <v>1225</v>
      </c>
      <c r="B181" s="1318">
        <v>91879</v>
      </c>
      <c r="C181" s="1319" t="s">
        <v>2147</v>
      </c>
      <c r="D181" s="1401" t="s">
        <v>55</v>
      </c>
      <c r="E181" s="1311">
        <v>7.51</v>
      </c>
      <c r="F181" s="1311">
        <f>VLOOKUP(B181,'CADERNO DE COMPOSIÇÃO'!$A$8:$J$15448,10,FALSE)</f>
        <v>7.5</v>
      </c>
      <c r="G181" s="1362">
        <v>4</v>
      </c>
      <c r="H181" s="1373">
        <v>4</v>
      </c>
      <c r="I181" s="1364">
        <f t="shared" si="36"/>
        <v>9.16</v>
      </c>
      <c r="J181" s="77">
        <f t="shared" si="37"/>
        <v>36.64</v>
      </c>
      <c r="K181" s="328"/>
      <c r="L181" s="303"/>
      <c r="U181" s="1797">
        <v>7.51</v>
      </c>
      <c r="V181" s="1798">
        <v>9.17</v>
      </c>
      <c r="W181" s="1798">
        <v>36.68</v>
      </c>
    </row>
    <row r="182" spans="1:23" ht="18" customHeight="1">
      <c r="A182" s="1627" t="s">
        <v>1226</v>
      </c>
      <c r="B182" s="1795" t="s">
        <v>1535</v>
      </c>
      <c r="C182" s="1319" t="s">
        <v>491</v>
      </c>
      <c r="D182" s="1401" t="s">
        <v>55</v>
      </c>
      <c r="E182" s="1311">
        <f>K182</f>
        <v>349.07</v>
      </c>
      <c r="F182" s="1311">
        <f>VLOOKUP(B182,'CADERNO DE COMPOSIÇÃO'!$A$8:$J$15448,10,FALSE)</f>
        <v>347.14000000000004</v>
      </c>
      <c r="G182" s="1362">
        <v>1</v>
      </c>
      <c r="H182" s="1578">
        <v>1</v>
      </c>
      <c r="I182" s="1364">
        <f t="shared" si="36"/>
        <v>424.3</v>
      </c>
      <c r="J182" s="77">
        <f t="shared" si="37"/>
        <v>424.3</v>
      </c>
      <c r="K182" s="328">
        <f>'COMP ELE'!F319</f>
        <v>349.07</v>
      </c>
      <c r="L182" s="53"/>
      <c r="U182" s="1797">
        <v>349.07</v>
      </c>
      <c r="V182" s="1798">
        <v>426.66</v>
      </c>
      <c r="W182" s="1798">
        <v>426.66</v>
      </c>
    </row>
    <row r="183" spans="1:23" ht="31.5" customHeight="1">
      <c r="A183" s="1627" t="s">
        <v>1227</v>
      </c>
      <c r="B183" s="1309">
        <v>91953</v>
      </c>
      <c r="C183" s="1319" t="s">
        <v>122</v>
      </c>
      <c r="D183" s="1401" t="s">
        <v>55</v>
      </c>
      <c r="E183" s="1311">
        <v>23.94</v>
      </c>
      <c r="F183" s="1311">
        <f>VLOOKUP(B183,'CADERNO DE COMPOSIÇÃO'!$A$8:$J$15448,10,FALSE)</f>
        <v>23.78</v>
      </c>
      <c r="G183" s="1362">
        <v>17</v>
      </c>
      <c r="H183" s="1578">
        <v>17</v>
      </c>
      <c r="I183" s="1364">
        <f t="shared" si="36"/>
        <v>29.06</v>
      </c>
      <c r="J183" s="77">
        <f t="shared" si="37"/>
        <v>494.02</v>
      </c>
      <c r="K183" s="1208"/>
      <c r="L183" s="386" t="s">
        <v>1538</v>
      </c>
      <c r="U183" s="1797">
        <v>23.94</v>
      </c>
      <c r="V183" s="1798">
        <v>29.26</v>
      </c>
      <c r="W183" s="1798">
        <v>497.42</v>
      </c>
    </row>
    <row r="184" spans="1:23" ht="33" customHeight="1">
      <c r="A184" s="1627" t="s">
        <v>1228</v>
      </c>
      <c r="B184" s="1309">
        <v>91959</v>
      </c>
      <c r="C184" s="1319" t="s">
        <v>165</v>
      </c>
      <c r="D184" s="1401" t="s">
        <v>55</v>
      </c>
      <c r="E184" s="1311">
        <v>37.909999999999997</v>
      </c>
      <c r="F184" s="1311">
        <f>VLOOKUP(B184,'CADERNO DE COMPOSIÇÃO'!$A$8:$J$15448,10,FALSE)</f>
        <v>37.67</v>
      </c>
      <c r="G184" s="1362">
        <v>1</v>
      </c>
      <c r="H184" s="1578">
        <v>1</v>
      </c>
      <c r="I184" s="1364">
        <f t="shared" si="36"/>
        <v>46.04</v>
      </c>
      <c r="J184" s="77">
        <f t="shared" si="37"/>
        <v>46.04</v>
      </c>
      <c r="K184" s="1208"/>
      <c r="L184" s="53"/>
      <c r="U184" s="1797">
        <v>37.909999999999997</v>
      </c>
      <c r="V184" s="1798">
        <v>46.33</v>
      </c>
      <c r="W184" s="1798">
        <v>46.33</v>
      </c>
    </row>
    <row r="185" spans="1:23" ht="19.5" customHeight="1">
      <c r="A185" s="1627" t="s">
        <v>1229</v>
      </c>
      <c r="B185" s="1571" t="s">
        <v>1536</v>
      </c>
      <c r="C185" s="1319" t="s">
        <v>488</v>
      </c>
      <c r="D185" s="1401" t="s">
        <v>55</v>
      </c>
      <c r="E185" s="1311">
        <f>K185</f>
        <v>10.620000000000001</v>
      </c>
      <c r="F185" s="1311">
        <f>VLOOKUP(B185,'CADERNO DE COMPOSIÇÃO'!$A$8:$J$15448,10,FALSE)</f>
        <v>10.57</v>
      </c>
      <c r="G185" s="1362">
        <v>8</v>
      </c>
      <c r="H185" s="1578">
        <v>8</v>
      </c>
      <c r="I185" s="1364">
        <f t="shared" si="36"/>
        <v>12.91</v>
      </c>
      <c r="J185" s="77">
        <f t="shared" si="37"/>
        <v>103.28</v>
      </c>
      <c r="K185" s="328">
        <f>'COMP ELE'!F336</f>
        <v>10.620000000000001</v>
      </c>
      <c r="L185" s="53"/>
      <c r="U185" s="1797">
        <v>10.620000000000001</v>
      </c>
      <c r="V185" s="1798">
        <v>12.98</v>
      </c>
      <c r="W185" s="1798">
        <v>103.84</v>
      </c>
    </row>
    <row r="186" spans="1:23" ht="33" customHeight="1">
      <c r="A186" s="1627" t="s">
        <v>1230</v>
      </c>
      <c r="B186" s="1309">
        <v>91967</v>
      </c>
      <c r="C186" s="1319" t="s">
        <v>1539</v>
      </c>
      <c r="D186" s="1401" t="s">
        <v>55</v>
      </c>
      <c r="E186" s="1311">
        <v>51.86</v>
      </c>
      <c r="F186" s="1311">
        <f>VLOOKUP(B186,'CADERNO DE COMPOSIÇÃO'!$A$8:$J$15448,10,FALSE)</f>
        <v>51.54</v>
      </c>
      <c r="G186" s="1362">
        <v>1</v>
      </c>
      <c r="H186" s="1373">
        <v>1</v>
      </c>
      <c r="I186" s="1364">
        <f t="shared" si="36"/>
        <v>62.99</v>
      </c>
      <c r="J186" s="77">
        <f t="shared" si="37"/>
        <v>62.99</v>
      </c>
      <c r="K186" s="1604"/>
      <c r="L186" s="53"/>
      <c r="U186" s="1797">
        <v>51.86</v>
      </c>
      <c r="V186" s="1798">
        <v>63.38</v>
      </c>
      <c r="W186" s="1798">
        <v>63.38</v>
      </c>
    </row>
    <row r="187" spans="1:23" ht="33" customHeight="1">
      <c r="A187" s="1627" t="s">
        <v>1231</v>
      </c>
      <c r="B187" s="1309">
        <v>92022</v>
      </c>
      <c r="C187" s="1319" t="s">
        <v>1541</v>
      </c>
      <c r="D187" s="1401" t="s">
        <v>55</v>
      </c>
      <c r="E187" s="1311">
        <v>35.39</v>
      </c>
      <c r="F187" s="1311">
        <f>VLOOKUP(B187,'CADERNO DE COMPOSIÇÃO'!$A$8:$J$15448,10,FALSE)</f>
        <v>35.299999999999997</v>
      </c>
      <c r="G187" s="1362">
        <v>5</v>
      </c>
      <c r="H187" s="1373">
        <v>5</v>
      </c>
      <c r="I187" s="1364">
        <f t="shared" si="36"/>
        <v>43.14</v>
      </c>
      <c r="J187" s="77">
        <f t="shared" si="37"/>
        <v>215.7</v>
      </c>
      <c r="K187" s="1604"/>
      <c r="L187" s="492" t="s">
        <v>1543</v>
      </c>
      <c r="U187" s="1797">
        <v>35.39</v>
      </c>
      <c r="V187" s="1798">
        <v>43.25</v>
      </c>
      <c r="W187" s="1798">
        <v>216.25</v>
      </c>
    </row>
    <row r="188" spans="1:23" ht="33" customHeight="1">
      <c r="A188" s="1086" t="s">
        <v>1232</v>
      </c>
      <c r="B188" s="1309">
        <v>92028</v>
      </c>
      <c r="C188" s="1319" t="s">
        <v>1544</v>
      </c>
      <c r="D188" s="1401" t="s">
        <v>55</v>
      </c>
      <c r="E188" s="1311">
        <v>41.15</v>
      </c>
      <c r="F188" s="1311">
        <f>VLOOKUP(B188,'CADERNO DE COMPOSIÇÃO'!$A$8:$J$15448,10,FALSE)</f>
        <v>41.050000000000004</v>
      </c>
      <c r="G188" s="1362">
        <v>1</v>
      </c>
      <c r="H188" s="1373">
        <v>1</v>
      </c>
      <c r="I188" s="1364">
        <f t="shared" si="36"/>
        <v>50.17</v>
      </c>
      <c r="J188" s="77">
        <f t="shared" si="37"/>
        <v>50.17</v>
      </c>
      <c r="K188" s="1604"/>
      <c r="L188" s="492" t="s">
        <v>1540</v>
      </c>
      <c r="U188" s="1797">
        <v>41.15</v>
      </c>
      <c r="V188" s="1798">
        <v>50.29</v>
      </c>
      <c r="W188" s="1798">
        <v>50.29</v>
      </c>
    </row>
    <row r="189" spans="1:23" ht="33" customHeight="1">
      <c r="A189" s="1627" t="s">
        <v>1233</v>
      </c>
      <c r="B189" s="1309">
        <v>91994</v>
      </c>
      <c r="C189" s="1319" t="s">
        <v>1545</v>
      </c>
      <c r="D189" s="1401" t="s">
        <v>55</v>
      </c>
      <c r="E189" s="1311">
        <v>21.47</v>
      </c>
      <c r="F189" s="1311">
        <f>VLOOKUP(B189,'CADERNO DE COMPOSIÇÃO'!$A$8:$J$15448,10,FALSE)</f>
        <v>21.419999999999998</v>
      </c>
      <c r="G189" s="1362">
        <v>2</v>
      </c>
      <c r="H189" s="1373">
        <v>2</v>
      </c>
      <c r="I189" s="1364">
        <f t="shared" si="36"/>
        <v>26.18</v>
      </c>
      <c r="J189" s="77">
        <f t="shared" si="37"/>
        <v>52.36</v>
      </c>
      <c r="K189" s="1604"/>
      <c r="L189" s="53"/>
      <c r="U189" s="1797">
        <v>21.47</v>
      </c>
      <c r="V189" s="1798">
        <v>26.24</v>
      </c>
      <c r="W189" s="1798">
        <v>52.48</v>
      </c>
    </row>
    <row r="190" spans="1:23" ht="28.5">
      <c r="A190" s="1627" t="s">
        <v>1234</v>
      </c>
      <c r="B190" s="1309">
        <v>92000</v>
      </c>
      <c r="C190" s="1319" t="s">
        <v>234</v>
      </c>
      <c r="D190" s="1864" t="s">
        <v>55</v>
      </c>
      <c r="E190" s="1311">
        <v>25.28</v>
      </c>
      <c r="F190" s="1311">
        <f>VLOOKUP(B190,'CADERNO DE COMPOSIÇÃO'!$A$8:$J$15448,10,FALSE)</f>
        <v>25.119999999999997</v>
      </c>
      <c r="G190" s="1362">
        <v>32</v>
      </c>
      <c r="H190" s="1373">
        <v>32</v>
      </c>
      <c r="I190" s="1364">
        <f t="shared" si="36"/>
        <v>30.7</v>
      </c>
      <c r="J190" s="77">
        <f t="shared" si="37"/>
        <v>982.4</v>
      </c>
      <c r="K190" s="1604"/>
      <c r="L190" s="370"/>
      <c r="U190" s="1797">
        <v>25.28</v>
      </c>
      <c r="V190" s="1798">
        <v>30.89</v>
      </c>
      <c r="W190" s="1798">
        <v>988.48</v>
      </c>
    </row>
    <row r="191" spans="1:23" ht="28.5">
      <c r="A191" s="1627" t="s">
        <v>1235</v>
      </c>
      <c r="B191" s="1309">
        <v>91997</v>
      </c>
      <c r="C191" s="1319" t="s">
        <v>1177</v>
      </c>
      <c r="D191" s="1865" t="s">
        <v>55</v>
      </c>
      <c r="E191" s="1311">
        <v>30.66</v>
      </c>
      <c r="F191" s="1311">
        <f>VLOOKUP(B191,'CADERNO DE COMPOSIÇÃO'!$A$8:$J$15448,10,FALSE)</f>
        <v>30.46</v>
      </c>
      <c r="G191" s="1073">
        <v>2</v>
      </c>
      <c r="H191" s="1373">
        <v>2</v>
      </c>
      <c r="I191" s="1028">
        <f t="shared" si="36"/>
        <v>37.229999999999997</v>
      </c>
      <c r="J191" s="1031">
        <f t="shared" si="37"/>
        <v>74.459999999999994</v>
      </c>
      <c r="K191" s="1604"/>
      <c r="L191" s="370"/>
      <c r="U191" s="1797">
        <v>30.66</v>
      </c>
      <c r="V191" s="1798">
        <v>37.47</v>
      </c>
      <c r="W191" s="1798">
        <v>74.94</v>
      </c>
    </row>
    <row r="192" spans="1:23" ht="33" customHeight="1">
      <c r="A192" s="1627" t="s">
        <v>1236</v>
      </c>
      <c r="B192" s="1309">
        <v>91992</v>
      </c>
      <c r="C192" s="1319" t="s">
        <v>1178</v>
      </c>
      <c r="D192" s="1401" t="s">
        <v>55</v>
      </c>
      <c r="E192" s="1311">
        <v>37.42</v>
      </c>
      <c r="F192" s="1311">
        <f>VLOOKUP(B192,'CADERNO DE COMPOSIÇÃO'!$A$8:$J$15448,10,FALSE)</f>
        <v>37.18</v>
      </c>
      <c r="G192" s="1362">
        <v>2</v>
      </c>
      <c r="H192" s="1373">
        <v>2</v>
      </c>
      <c r="I192" s="1364">
        <f t="shared" si="36"/>
        <v>45.44</v>
      </c>
      <c r="J192" s="77">
        <f t="shared" si="37"/>
        <v>90.88</v>
      </c>
      <c r="K192" s="1604"/>
      <c r="L192" s="370"/>
      <c r="U192" s="1797">
        <v>37.42</v>
      </c>
      <c r="V192" s="1798">
        <v>45.73</v>
      </c>
      <c r="W192" s="1798">
        <v>91.46</v>
      </c>
    </row>
    <row r="193" spans="1:23" ht="28.5">
      <c r="A193" s="1627" t="s">
        <v>1237</v>
      </c>
      <c r="B193" s="1309">
        <v>92009</v>
      </c>
      <c r="C193" s="1319" t="s">
        <v>235</v>
      </c>
      <c r="D193" s="1864" t="s">
        <v>55</v>
      </c>
      <c r="E193" s="1311">
        <v>44.5</v>
      </c>
      <c r="F193" s="1311">
        <f>VLOOKUP(B193,'CADERNO DE COMPOSIÇÃO'!$A$8:$J$15448,10,FALSE)</f>
        <v>44.22</v>
      </c>
      <c r="G193" s="1362">
        <v>19</v>
      </c>
      <c r="H193" s="1373">
        <v>19</v>
      </c>
      <c r="I193" s="1364">
        <f t="shared" si="36"/>
        <v>54.05</v>
      </c>
      <c r="J193" s="77">
        <f t="shared" si="37"/>
        <v>1026.95</v>
      </c>
      <c r="K193" s="1604"/>
      <c r="L193" s="370"/>
      <c r="U193" s="1797">
        <v>44.5</v>
      </c>
      <c r="V193" s="1798">
        <v>54.39</v>
      </c>
      <c r="W193" s="1798">
        <v>1033.4100000000001</v>
      </c>
    </row>
    <row r="194" spans="1:23" ht="28.5">
      <c r="A194" s="1627" t="s">
        <v>1238</v>
      </c>
      <c r="B194" s="1309">
        <v>93653</v>
      </c>
      <c r="C194" s="1319" t="s">
        <v>2148</v>
      </c>
      <c r="D194" s="1864" t="s">
        <v>55</v>
      </c>
      <c r="E194" s="1311">
        <v>12.61</v>
      </c>
      <c r="F194" s="1311">
        <f>VLOOKUP(B194,'CADERNO DE COMPOSIÇÃO'!$A$8:$J$15448,10,FALSE)</f>
        <v>12.530000000000001</v>
      </c>
      <c r="G194" s="1362">
        <v>15</v>
      </c>
      <c r="H194" s="1373">
        <v>15</v>
      </c>
      <c r="I194" s="1364">
        <f t="shared" si="36"/>
        <v>15.31</v>
      </c>
      <c r="J194" s="77">
        <f t="shared" si="37"/>
        <v>229.65</v>
      </c>
      <c r="K194" s="1604"/>
      <c r="L194" s="53"/>
      <c r="U194" s="1797">
        <v>12.61</v>
      </c>
      <c r="V194" s="1798">
        <v>15.41</v>
      </c>
      <c r="W194" s="1798">
        <v>231.15</v>
      </c>
    </row>
    <row r="195" spans="1:23" ht="28.5">
      <c r="A195" s="1627" t="s">
        <v>1631</v>
      </c>
      <c r="B195" s="1309">
        <v>93661</v>
      </c>
      <c r="C195" s="1319" t="s">
        <v>1550</v>
      </c>
      <c r="D195" s="1864" t="s">
        <v>55</v>
      </c>
      <c r="E195" s="1311">
        <v>63.83</v>
      </c>
      <c r="F195" s="1311">
        <f>VLOOKUP(B195,'CADERNO DE COMPOSIÇÃO'!$A$8:$J$15448,10,FALSE)</f>
        <v>63.46</v>
      </c>
      <c r="G195" s="1362">
        <v>5</v>
      </c>
      <c r="H195" s="1373">
        <v>5</v>
      </c>
      <c r="I195" s="1364">
        <f t="shared" si="36"/>
        <v>77.56</v>
      </c>
      <c r="J195" s="77">
        <f t="shared" si="37"/>
        <v>387.8</v>
      </c>
      <c r="K195" s="1604"/>
      <c r="L195" s="53"/>
      <c r="U195" s="1797">
        <v>63.83</v>
      </c>
      <c r="V195" s="1798">
        <v>78.010000000000005</v>
      </c>
      <c r="W195" s="1798">
        <v>390.05</v>
      </c>
    </row>
    <row r="196" spans="1:23" ht="28.5">
      <c r="A196" s="1627" t="s">
        <v>1239</v>
      </c>
      <c r="B196" s="1309">
        <v>93660</v>
      </c>
      <c r="C196" s="1319" t="s">
        <v>2149</v>
      </c>
      <c r="D196" s="1864" t="s">
        <v>55</v>
      </c>
      <c r="E196" s="1311">
        <v>62.67</v>
      </c>
      <c r="F196" s="1311">
        <f>VLOOKUP(B196,'CADERNO DE COMPOSIÇÃO'!$A$8:$J$15448,10,FALSE)</f>
        <v>62.3</v>
      </c>
      <c r="G196" s="1362">
        <v>4</v>
      </c>
      <c r="H196" s="1373">
        <v>4</v>
      </c>
      <c r="I196" s="1364">
        <f t="shared" si="36"/>
        <v>76.14</v>
      </c>
      <c r="J196" s="77">
        <f t="shared" si="37"/>
        <v>304.56</v>
      </c>
      <c r="K196" s="1604"/>
      <c r="L196" s="53"/>
      <c r="U196" s="1797">
        <v>62.67</v>
      </c>
      <c r="V196" s="1798">
        <v>76.599999999999994</v>
      </c>
      <c r="W196" s="1798">
        <v>306.39999999999998</v>
      </c>
    </row>
    <row r="197" spans="1:23" ht="33" customHeight="1">
      <c r="A197" s="1116" t="s">
        <v>1240</v>
      </c>
      <c r="B197" s="1309">
        <v>101895</v>
      </c>
      <c r="C197" s="1319" t="s">
        <v>1551</v>
      </c>
      <c r="D197" s="1864" t="s">
        <v>55</v>
      </c>
      <c r="E197" s="1311">
        <v>461.29</v>
      </c>
      <c r="F197" s="1311">
        <f>VLOOKUP(B197,'CADERNO DE COMPOSIÇÃO'!$A$8:$J$15448,10,FALSE)</f>
        <v>458.85999999999996</v>
      </c>
      <c r="G197" s="1362">
        <v>1</v>
      </c>
      <c r="H197" s="1373">
        <v>1</v>
      </c>
      <c r="I197" s="1364">
        <f t="shared" si="36"/>
        <v>560.86</v>
      </c>
      <c r="J197" s="77">
        <f t="shared" si="37"/>
        <v>560.86</v>
      </c>
      <c r="K197" s="1604"/>
      <c r="L197" s="53"/>
      <c r="U197" s="1797">
        <v>461.29</v>
      </c>
      <c r="V197" s="1798">
        <v>563.83000000000004</v>
      </c>
      <c r="W197" s="1798">
        <v>563.83000000000004</v>
      </c>
    </row>
    <row r="198" spans="1:23" ht="28.5">
      <c r="A198" s="1627" t="s">
        <v>1632</v>
      </c>
      <c r="B198" s="1571" t="s">
        <v>1549</v>
      </c>
      <c r="C198" s="1319" t="s">
        <v>1552</v>
      </c>
      <c r="D198" s="1864" t="s">
        <v>55</v>
      </c>
      <c r="E198" s="1311">
        <f>K198</f>
        <v>310.37</v>
      </c>
      <c r="F198" s="1311">
        <f>VLOOKUP(B198,'CADERNO DE COMPOSIÇÃO'!$A$8:$J$15448,10,FALSE)</f>
        <v>308.61</v>
      </c>
      <c r="G198" s="1362">
        <v>1</v>
      </c>
      <c r="H198" s="1578">
        <v>1</v>
      </c>
      <c r="I198" s="1364">
        <f t="shared" si="36"/>
        <v>377.21</v>
      </c>
      <c r="J198" s="77">
        <f t="shared" si="37"/>
        <v>377.21</v>
      </c>
      <c r="K198" s="328">
        <f>'COMP ELE'!F364</f>
        <v>310.37</v>
      </c>
      <c r="L198" s="53"/>
      <c r="U198" s="1797">
        <v>310.37</v>
      </c>
      <c r="V198" s="1798">
        <v>379.36</v>
      </c>
      <c r="W198" s="1798">
        <v>379.36</v>
      </c>
    </row>
    <row r="199" spans="1:23" ht="28.5">
      <c r="A199" s="1627" t="s">
        <v>1633</v>
      </c>
      <c r="B199" s="1571" t="s">
        <v>2137</v>
      </c>
      <c r="C199" s="1319" t="s">
        <v>2150</v>
      </c>
      <c r="D199" s="1864" t="s">
        <v>55</v>
      </c>
      <c r="E199" s="1311">
        <f>K199</f>
        <v>329.72</v>
      </c>
      <c r="F199" s="1311">
        <f>VLOOKUP(B199,'CADERNO DE COMPOSIÇÃO'!$A$8:$J$15448,10,FALSE)</f>
        <v>327.85</v>
      </c>
      <c r="G199" s="1362">
        <v>1</v>
      </c>
      <c r="H199" s="1578">
        <v>1</v>
      </c>
      <c r="I199" s="1364">
        <f t="shared" si="36"/>
        <v>400.73</v>
      </c>
      <c r="J199" s="77">
        <f t="shared" si="37"/>
        <v>400.73</v>
      </c>
      <c r="K199" s="327">
        <f>'COMP ELE'!F392</f>
        <v>329.72</v>
      </c>
      <c r="L199" s="53"/>
      <c r="U199" s="1797">
        <v>329.72</v>
      </c>
      <c r="V199" s="1798">
        <v>403.01</v>
      </c>
      <c r="W199" s="1798">
        <v>403.01</v>
      </c>
    </row>
    <row r="200" spans="1:23" ht="28.5">
      <c r="A200" s="1086" t="s">
        <v>1634</v>
      </c>
      <c r="B200" s="1374">
        <v>91941</v>
      </c>
      <c r="C200" s="1319" t="s">
        <v>399</v>
      </c>
      <c r="D200" s="1864" t="s">
        <v>55</v>
      </c>
      <c r="E200" s="1311">
        <v>9.8800000000000008</v>
      </c>
      <c r="F200" s="1311">
        <f>VLOOKUP(B200,'CADERNO DE COMPOSIÇÃO'!$A$8:$J$15448,10,FALSE)</f>
        <v>9.8600000000000012</v>
      </c>
      <c r="G200" s="1362">
        <v>54</v>
      </c>
      <c r="H200" s="1373">
        <v>54</v>
      </c>
      <c r="I200" s="1364">
        <f t="shared" si="36"/>
        <v>12.05</v>
      </c>
      <c r="J200" s="77">
        <f t="shared" si="37"/>
        <v>650.70000000000005</v>
      </c>
      <c r="K200" s="1209"/>
      <c r="L200" s="53"/>
      <c r="U200" s="1797">
        <v>9.8800000000000008</v>
      </c>
      <c r="V200" s="1798">
        <v>12.07</v>
      </c>
      <c r="W200" s="1798">
        <v>651.78</v>
      </c>
    </row>
    <row r="201" spans="1:23" ht="28.5">
      <c r="A201" s="1627" t="s">
        <v>1635</v>
      </c>
      <c r="B201" s="1191">
        <v>91940</v>
      </c>
      <c r="C201" s="1372" t="s">
        <v>123</v>
      </c>
      <c r="D201" s="1865" t="s">
        <v>55</v>
      </c>
      <c r="E201" s="1311">
        <v>14.62</v>
      </c>
      <c r="F201" s="1311">
        <f>VLOOKUP(B201,'CADERNO DE COMPOSIÇÃO'!$A$8:$J$15448,10,FALSE)</f>
        <v>14.6</v>
      </c>
      <c r="G201" s="1073">
        <v>16</v>
      </c>
      <c r="H201" s="1373">
        <v>16</v>
      </c>
      <c r="I201" s="1028">
        <f t="shared" si="36"/>
        <v>17.84</v>
      </c>
      <c r="J201" s="1031">
        <f t="shared" si="37"/>
        <v>285.44</v>
      </c>
      <c r="K201" s="1209"/>
      <c r="L201" s="53"/>
      <c r="U201" s="1797">
        <v>14.62</v>
      </c>
      <c r="V201" s="1798">
        <v>17.87</v>
      </c>
      <c r="W201" s="1798">
        <v>285.92</v>
      </c>
    </row>
    <row r="202" spans="1:23" ht="28.5">
      <c r="A202" s="1627" t="s">
        <v>1636</v>
      </c>
      <c r="B202" s="1309">
        <v>91939</v>
      </c>
      <c r="C202" s="1319" t="s">
        <v>166</v>
      </c>
      <c r="D202" s="1401" t="s">
        <v>55</v>
      </c>
      <c r="E202" s="1066">
        <v>27.28</v>
      </c>
      <c r="F202" s="1311">
        <f>VLOOKUP(B202,'CADERNO DE COMPOSIÇÃO'!$A$8:$J$15448,10,FALSE)</f>
        <v>27.26</v>
      </c>
      <c r="G202" s="1362">
        <v>9</v>
      </c>
      <c r="H202" s="1579">
        <v>9</v>
      </c>
      <c r="I202" s="1364">
        <f t="shared" si="36"/>
        <v>33.31</v>
      </c>
      <c r="J202" s="77">
        <f t="shared" si="37"/>
        <v>299.79000000000002</v>
      </c>
      <c r="K202" s="328"/>
      <c r="L202" s="303"/>
      <c r="U202" s="1797">
        <v>27.28</v>
      </c>
      <c r="V202" s="1798">
        <v>33.340000000000003</v>
      </c>
      <c r="W202" s="1798">
        <v>300.06</v>
      </c>
    </row>
    <row r="203" spans="1:23" ht="28.5">
      <c r="A203" s="1627" t="s">
        <v>1637</v>
      </c>
      <c r="B203" s="1795" t="s">
        <v>1546</v>
      </c>
      <c r="C203" s="1319" t="s">
        <v>1517</v>
      </c>
      <c r="D203" s="1864" t="s">
        <v>55</v>
      </c>
      <c r="E203" s="1311">
        <f>K203</f>
        <v>98.740000000000009</v>
      </c>
      <c r="F203" s="1311">
        <f>VLOOKUP(B203,'CADERNO DE COMPOSIÇÃO'!$A$8:$J$15448,10,FALSE)</f>
        <v>98.240000000000009</v>
      </c>
      <c r="G203" s="1362">
        <v>2</v>
      </c>
      <c r="H203" s="1373">
        <v>2</v>
      </c>
      <c r="I203" s="1364">
        <f t="shared" si="36"/>
        <v>120.07</v>
      </c>
      <c r="J203" s="77">
        <f t="shared" si="37"/>
        <v>240.14</v>
      </c>
      <c r="K203" s="329">
        <f>'COMP ELE'!F353</f>
        <v>98.740000000000009</v>
      </c>
      <c r="L203" s="303"/>
      <c r="U203" s="1797">
        <v>98.740000000000009</v>
      </c>
      <c r="V203" s="1798">
        <v>120.68</v>
      </c>
      <c r="W203" s="1798">
        <v>241.36</v>
      </c>
    </row>
    <row r="204" spans="1:23" ht="30" customHeight="1">
      <c r="A204" s="1627" t="s">
        <v>1638</v>
      </c>
      <c r="B204" s="1795" t="s">
        <v>505</v>
      </c>
      <c r="C204" s="1319" t="s">
        <v>1518</v>
      </c>
      <c r="D204" s="1864" t="s">
        <v>55</v>
      </c>
      <c r="E204" s="1311">
        <f>K204</f>
        <v>148.94</v>
      </c>
      <c r="F204" s="1311">
        <f>VLOOKUP(B204,'CADERNO DE COMPOSIÇÃO'!$A$8:$J$15448,10,FALSE)</f>
        <v>148.14000000000001</v>
      </c>
      <c r="G204" s="1362">
        <v>5</v>
      </c>
      <c r="H204" s="1373">
        <v>5</v>
      </c>
      <c r="I204" s="1364">
        <f t="shared" si="36"/>
        <v>181.07</v>
      </c>
      <c r="J204" s="77">
        <f t="shared" si="37"/>
        <v>905.35</v>
      </c>
      <c r="K204" s="329">
        <f>'COMP ELE'!F245</f>
        <v>148.94</v>
      </c>
      <c r="L204" s="53"/>
      <c r="U204" s="1797">
        <v>148.94</v>
      </c>
      <c r="V204" s="1798">
        <v>182.04</v>
      </c>
      <c r="W204" s="1798">
        <v>910.2</v>
      </c>
    </row>
    <row r="205" spans="1:23" ht="22.5" customHeight="1">
      <c r="A205" s="1627" t="s">
        <v>1639</v>
      </c>
      <c r="B205" s="1571" t="s">
        <v>1555</v>
      </c>
      <c r="C205" s="1319" t="s">
        <v>233</v>
      </c>
      <c r="D205" s="1864" t="s">
        <v>55</v>
      </c>
      <c r="E205" s="1311">
        <f>K205</f>
        <v>89.009999999999991</v>
      </c>
      <c r="F205" s="1311">
        <f>VLOOKUP(B205,'CADERNO DE COMPOSIÇÃO'!$A$8:$J$15448,10,FALSE)</f>
        <v>88.550000000000011</v>
      </c>
      <c r="G205" s="1362">
        <v>4</v>
      </c>
      <c r="H205" s="1373">
        <v>4</v>
      </c>
      <c r="I205" s="1364">
        <f t="shared" si="36"/>
        <v>108.23</v>
      </c>
      <c r="J205" s="77">
        <f t="shared" si="37"/>
        <v>432.92</v>
      </c>
      <c r="K205" s="493">
        <f>'COMP ELE'!F381</f>
        <v>89.009999999999991</v>
      </c>
      <c r="L205" s="491"/>
      <c r="U205" s="1797">
        <v>89.009999999999991</v>
      </c>
      <c r="V205" s="1798">
        <v>108.79</v>
      </c>
      <c r="W205" s="1798">
        <v>435.16</v>
      </c>
    </row>
    <row r="206" spans="1:23" ht="21.75" customHeight="1">
      <c r="A206" s="1627" t="s">
        <v>1640</v>
      </c>
      <c r="B206" s="1571" t="s">
        <v>493</v>
      </c>
      <c r="C206" s="1319" t="s">
        <v>1565</v>
      </c>
      <c r="D206" s="1864" t="s">
        <v>55</v>
      </c>
      <c r="E206" s="1311">
        <f>K206</f>
        <v>4.2</v>
      </c>
      <c r="F206" s="1311">
        <f>VLOOKUP(B206,'CADERNO DE COMPOSIÇÃO'!$A$8:$J$15448,10,FALSE)</f>
        <v>4.18</v>
      </c>
      <c r="G206" s="1362">
        <v>62</v>
      </c>
      <c r="H206" s="1373">
        <v>62</v>
      </c>
      <c r="I206" s="1364">
        <f t="shared" si="36"/>
        <v>5.0999999999999996</v>
      </c>
      <c r="J206" s="77">
        <f t="shared" si="37"/>
        <v>316.2</v>
      </c>
      <c r="K206" s="328">
        <f>'COMP ELE'!F194</f>
        <v>4.2</v>
      </c>
      <c r="L206" s="53"/>
      <c r="U206" s="1797">
        <v>4.2</v>
      </c>
      <c r="V206" s="1798">
        <v>5.13</v>
      </c>
      <c r="W206" s="1798">
        <v>318.06</v>
      </c>
    </row>
    <row r="207" spans="1:23" ht="25.5" customHeight="1">
      <c r="A207" s="1627" t="s">
        <v>1641</v>
      </c>
      <c r="B207" s="1571" t="s">
        <v>1564</v>
      </c>
      <c r="C207" s="1319" t="s">
        <v>1566</v>
      </c>
      <c r="D207" s="1864" t="s">
        <v>55</v>
      </c>
      <c r="E207" s="1311">
        <f>K207</f>
        <v>4</v>
      </c>
      <c r="F207" s="1311">
        <f>VLOOKUP(B207,'CADERNO DE COMPOSIÇÃO'!$A$8:$J$15448,10,FALSE)</f>
        <v>3.98</v>
      </c>
      <c r="G207" s="1362">
        <v>26</v>
      </c>
      <c r="H207" s="1578">
        <v>26</v>
      </c>
      <c r="I207" s="1364">
        <f t="shared" si="36"/>
        <v>4.8600000000000003</v>
      </c>
      <c r="J207" s="77">
        <f t="shared" si="37"/>
        <v>126.36</v>
      </c>
      <c r="K207" s="504">
        <f>'COMP ELE'!F409</f>
        <v>4</v>
      </c>
      <c r="L207" s="53"/>
      <c r="U207" s="1797">
        <v>4</v>
      </c>
      <c r="V207" s="1798">
        <v>4.88</v>
      </c>
      <c r="W207" s="1798">
        <v>126.88</v>
      </c>
    </row>
    <row r="208" spans="1:23" ht="36" customHeight="1">
      <c r="A208" s="1627" t="s">
        <v>1642</v>
      </c>
      <c r="B208" s="1374">
        <v>95727</v>
      </c>
      <c r="C208" s="1319" t="s">
        <v>2371</v>
      </c>
      <c r="D208" s="1375" t="s">
        <v>54</v>
      </c>
      <c r="E208" s="1311">
        <v>12.01</v>
      </c>
      <c r="F208" s="1311">
        <f>VLOOKUP(B208,'CADERNO DE COMPOSIÇÃO'!$A$8:$J$15448,10,FALSE)</f>
        <v>11.959999999999999</v>
      </c>
      <c r="G208" s="1362">
        <v>71.25</v>
      </c>
      <c r="H208" s="1373">
        <f>15.9+55.35</f>
        <v>71.25</v>
      </c>
      <c r="I208" s="1364">
        <f t="shared" si="36"/>
        <v>14.61</v>
      </c>
      <c r="J208" s="77">
        <f t="shared" si="37"/>
        <v>1040.96</v>
      </c>
      <c r="K208" s="1210"/>
      <c r="L208" s="1604"/>
      <c r="U208" s="1797">
        <v>12.01</v>
      </c>
      <c r="V208" s="1798">
        <v>14.67</v>
      </c>
      <c r="W208" s="1798">
        <v>1045.23</v>
      </c>
    </row>
    <row r="209" spans="1:23" ht="36" customHeight="1">
      <c r="A209" s="1627" t="s">
        <v>2373</v>
      </c>
      <c r="B209" s="1374">
        <v>91846</v>
      </c>
      <c r="C209" s="1319" t="s">
        <v>400</v>
      </c>
      <c r="D209" s="1375" t="s">
        <v>54</v>
      </c>
      <c r="E209" s="1311">
        <v>9.8000000000000007</v>
      </c>
      <c r="F209" s="1311">
        <f>VLOOKUP(B209,'CADERNO DE COMPOSIÇÃO'!$A$8:$J$15448,10,FALSE)</f>
        <v>9.77</v>
      </c>
      <c r="G209" s="1362">
        <v>10</v>
      </c>
      <c r="H209" s="1373">
        <v>10</v>
      </c>
      <c r="I209" s="1364">
        <f t="shared" si="36"/>
        <v>11.94</v>
      </c>
      <c r="J209" s="77">
        <f t="shared" si="37"/>
        <v>119.4</v>
      </c>
      <c r="K209" s="1210"/>
      <c r="L209" s="1604"/>
      <c r="U209" s="1797">
        <v>9.8000000000000007</v>
      </c>
      <c r="V209" s="1798">
        <v>11.97</v>
      </c>
      <c r="W209" s="1798">
        <v>119.7</v>
      </c>
    </row>
    <row r="210" spans="1:23" ht="36" customHeight="1">
      <c r="A210" s="1627" t="s">
        <v>1643</v>
      </c>
      <c r="B210" s="1374">
        <v>91844</v>
      </c>
      <c r="C210" s="1319" t="s">
        <v>401</v>
      </c>
      <c r="D210" s="1375" t="s">
        <v>54</v>
      </c>
      <c r="E210" s="1311">
        <v>6.87</v>
      </c>
      <c r="F210" s="1311">
        <f>VLOOKUP(B210,'CADERNO DE COMPOSIÇÃO'!$A$8:$J$15448,10,FALSE)</f>
        <v>6.85</v>
      </c>
      <c r="G210" s="1362">
        <v>264.10000000000002</v>
      </c>
      <c r="H210" s="1373">
        <v>264.10000000000002</v>
      </c>
      <c r="I210" s="1364">
        <f t="shared" si="36"/>
        <v>8.3699999999999992</v>
      </c>
      <c r="J210" s="77">
        <f t="shared" si="37"/>
        <v>2210.5100000000002</v>
      </c>
      <c r="K210" s="1210"/>
      <c r="L210" s="1604"/>
      <c r="U210" s="1797">
        <v>6.87</v>
      </c>
      <c r="V210" s="1798">
        <v>8.39</v>
      </c>
      <c r="W210" s="1798">
        <v>2215.79</v>
      </c>
    </row>
    <row r="211" spans="1:23" ht="45" customHeight="1">
      <c r="A211" s="1627" t="s">
        <v>1644</v>
      </c>
      <c r="B211" s="1374">
        <v>91854</v>
      </c>
      <c r="C211" s="1319" t="s">
        <v>1561</v>
      </c>
      <c r="D211" s="1375" t="s">
        <v>54</v>
      </c>
      <c r="E211" s="1311">
        <v>9.27</v>
      </c>
      <c r="F211" s="1311">
        <f>VLOOKUP(B211,'CADERNO DE COMPOSIÇÃO'!$A$8:$J$15448,10,FALSE)</f>
        <v>9.25</v>
      </c>
      <c r="G211" s="1362">
        <v>13.25</v>
      </c>
      <c r="H211" s="1373">
        <v>13.25</v>
      </c>
      <c r="I211" s="1364">
        <f t="shared" si="36"/>
        <v>11.3</v>
      </c>
      <c r="J211" s="77">
        <f t="shared" si="37"/>
        <v>149.72</v>
      </c>
      <c r="K211" s="1210"/>
      <c r="L211" s="1604"/>
      <c r="U211" s="1797">
        <v>9.27</v>
      </c>
      <c r="V211" s="1798">
        <v>11.33</v>
      </c>
      <c r="W211" s="1798">
        <v>150.12</v>
      </c>
    </row>
    <row r="212" spans="1:23" ht="45" customHeight="1">
      <c r="A212" s="1086" t="s">
        <v>1645</v>
      </c>
      <c r="B212" s="1374">
        <v>97667</v>
      </c>
      <c r="C212" s="1319" t="s">
        <v>2151</v>
      </c>
      <c r="D212" s="1375" t="s">
        <v>54</v>
      </c>
      <c r="E212" s="1311">
        <v>9.4600000000000009</v>
      </c>
      <c r="F212" s="1311">
        <f>VLOOKUP(B212,'CADERNO DE COMPOSIÇÃO'!$A$8:$J$15448,10,FALSE)</f>
        <v>9.42</v>
      </c>
      <c r="G212" s="1362">
        <v>19.5</v>
      </c>
      <c r="H212" s="1373">
        <v>19.5</v>
      </c>
      <c r="I212" s="1364">
        <f t="shared" si="36"/>
        <v>11.51</v>
      </c>
      <c r="J212" s="77">
        <f t="shared" si="37"/>
        <v>224.44</v>
      </c>
      <c r="K212" s="328"/>
      <c r="L212" s="1604"/>
      <c r="U212" s="1797">
        <v>9.4600000000000009</v>
      </c>
      <c r="V212" s="1798">
        <v>11.56</v>
      </c>
      <c r="W212" s="1798">
        <v>225.42</v>
      </c>
    </row>
    <row r="213" spans="1:23" ht="30.75" customHeight="1">
      <c r="A213" s="1627" t="s">
        <v>1646</v>
      </c>
      <c r="B213" s="1571" t="s">
        <v>1567</v>
      </c>
      <c r="C213" s="1319" t="s">
        <v>1560</v>
      </c>
      <c r="D213" s="1401" t="s">
        <v>55</v>
      </c>
      <c r="E213" s="1311">
        <f>K213</f>
        <v>346.85</v>
      </c>
      <c r="F213" s="1311">
        <f>VLOOKUP(B213,'CADERNO DE COMPOSIÇÃO'!$A$8:$J$15448,10,FALSE)</f>
        <v>345.04999999999995</v>
      </c>
      <c r="G213" s="1362">
        <v>23</v>
      </c>
      <c r="H213" s="1578">
        <v>23</v>
      </c>
      <c r="I213" s="1028">
        <f t="shared" si="36"/>
        <v>421.75</v>
      </c>
      <c r="J213" s="1031">
        <f t="shared" si="37"/>
        <v>9700.25</v>
      </c>
      <c r="K213" s="328">
        <f>'COMP ELE'!F428</f>
        <v>346.85</v>
      </c>
      <c r="L213" s="371"/>
      <c r="U213" s="1797">
        <v>346.85</v>
      </c>
      <c r="V213" s="1798">
        <v>423.95</v>
      </c>
      <c r="W213" s="1798">
        <v>9750.85</v>
      </c>
    </row>
    <row r="214" spans="1:23" ht="30.75" customHeight="1">
      <c r="A214" s="1627" t="s">
        <v>1647</v>
      </c>
      <c r="B214" s="1571" t="s">
        <v>1569</v>
      </c>
      <c r="C214" s="1319" t="s">
        <v>1578</v>
      </c>
      <c r="D214" s="1401" t="s">
        <v>55</v>
      </c>
      <c r="E214" s="1098">
        <f>K214</f>
        <v>61.94</v>
      </c>
      <c r="F214" s="1311">
        <f>VLOOKUP(B214,'CADERNO DE COMPOSIÇÃO'!$A$8:$J$15448,10,FALSE)</f>
        <v>61.67</v>
      </c>
      <c r="G214" s="1362">
        <v>5</v>
      </c>
      <c r="H214" s="1377">
        <v>5</v>
      </c>
      <c r="I214" s="1364">
        <f t="shared" si="36"/>
        <v>75.37</v>
      </c>
      <c r="J214" s="77">
        <f t="shared" si="37"/>
        <v>376.85</v>
      </c>
      <c r="K214" s="328">
        <f>'COMP ELE'!F446</f>
        <v>61.94</v>
      </c>
      <c r="L214" s="371"/>
      <c r="U214" s="1797">
        <v>61.94</v>
      </c>
      <c r="V214" s="1798">
        <v>75.7</v>
      </c>
      <c r="W214" s="1798">
        <v>378.5</v>
      </c>
    </row>
    <row r="215" spans="1:23" ht="30.75" customHeight="1">
      <c r="A215" s="1627" t="s">
        <v>1648</v>
      </c>
      <c r="B215" s="1571" t="s">
        <v>1571</v>
      </c>
      <c r="C215" s="1319" t="s">
        <v>1577</v>
      </c>
      <c r="D215" s="1401" t="s">
        <v>55</v>
      </c>
      <c r="E215" s="1098">
        <f>K215</f>
        <v>37.989999999999995</v>
      </c>
      <c r="F215" s="1311">
        <f>VLOOKUP(B215,'CADERNO DE COMPOSIÇÃO'!$A$8:$J$15448,10,FALSE)</f>
        <v>37.86</v>
      </c>
      <c r="G215" s="1362">
        <v>5</v>
      </c>
      <c r="H215" s="1377">
        <v>5</v>
      </c>
      <c r="I215" s="1364">
        <f t="shared" si="36"/>
        <v>46.27</v>
      </c>
      <c r="J215" s="77">
        <f t="shared" si="37"/>
        <v>231.35</v>
      </c>
      <c r="K215" s="328">
        <f>'COMP ELE'!F458</f>
        <v>37.989999999999995</v>
      </c>
      <c r="L215" s="371"/>
      <c r="U215" s="1797">
        <v>37.989999999999995</v>
      </c>
      <c r="V215" s="1798">
        <v>46.43</v>
      </c>
      <c r="W215" s="1798">
        <v>232.15</v>
      </c>
    </row>
    <row r="216" spans="1:23" ht="32.25" customHeight="1">
      <c r="A216" s="1627" t="s">
        <v>1649</v>
      </c>
      <c r="B216" s="1571" t="s">
        <v>1572</v>
      </c>
      <c r="C216" s="1319" t="s">
        <v>1584</v>
      </c>
      <c r="D216" s="1401" t="s">
        <v>55</v>
      </c>
      <c r="E216" s="1098">
        <f>K216</f>
        <v>78.03</v>
      </c>
      <c r="F216" s="1311">
        <f>VLOOKUP(B216,'CADERNO DE COMPOSIÇÃO'!$A$8:$J$15448,10,FALSE)</f>
        <v>77.67</v>
      </c>
      <c r="G216" s="1362">
        <v>4</v>
      </c>
      <c r="H216" s="1377">
        <v>4</v>
      </c>
      <c r="I216" s="1364">
        <f t="shared" si="36"/>
        <v>94.93</v>
      </c>
      <c r="J216" s="77">
        <f t="shared" si="37"/>
        <v>379.72</v>
      </c>
      <c r="K216" s="328">
        <f>'COMP ELE'!F471</f>
        <v>78.03</v>
      </c>
      <c r="L216" s="371"/>
      <c r="U216" s="1797">
        <v>78.03</v>
      </c>
      <c r="V216" s="1798">
        <v>95.37</v>
      </c>
      <c r="W216" s="1798">
        <v>381.48</v>
      </c>
    </row>
    <row r="217" spans="1:23" ht="21.75" customHeight="1">
      <c r="A217" s="1627" t="s">
        <v>1650</v>
      </c>
      <c r="B217" s="1571" t="s">
        <v>1576</v>
      </c>
      <c r="C217" s="1319" t="s">
        <v>1575</v>
      </c>
      <c r="D217" s="1401" t="s">
        <v>55</v>
      </c>
      <c r="E217" s="1098">
        <f>K217</f>
        <v>6.9600000000000009</v>
      </c>
      <c r="F217" s="1311">
        <f>VLOOKUP(B217,'CADERNO DE COMPOSIÇÃO'!$A$8:$J$15448,10,FALSE)</f>
        <v>6.92</v>
      </c>
      <c r="G217" s="1362">
        <v>5</v>
      </c>
      <c r="H217" s="1099">
        <v>5</v>
      </c>
      <c r="I217" s="1364">
        <f t="shared" si="36"/>
        <v>8.4499999999999993</v>
      </c>
      <c r="J217" s="77">
        <f t="shared" si="37"/>
        <v>42.25</v>
      </c>
      <c r="K217" s="328">
        <f>'COMP ELE'!F488</f>
        <v>6.9600000000000009</v>
      </c>
      <c r="L217" s="371"/>
      <c r="U217" s="1797">
        <v>6.9600000000000009</v>
      </c>
      <c r="V217" s="1798">
        <v>8.5</v>
      </c>
      <c r="W217" s="1798">
        <v>42.5</v>
      </c>
    </row>
    <row r="218" spans="1:23" ht="28.5">
      <c r="A218" s="1627" t="s">
        <v>1651</v>
      </c>
      <c r="B218" s="1100">
        <v>90447</v>
      </c>
      <c r="C218" s="1319" t="s">
        <v>1557</v>
      </c>
      <c r="D218" s="1375" t="s">
        <v>54</v>
      </c>
      <c r="E218" s="1098">
        <v>6.22</v>
      </c>
      <c r="F218" s="1311">
        <f>VLOOKUP(B218,'CADERNO DE COMPOSIÇÃO'!$A$8:$J$15448,10,FALSE)</f>
        <v>6.22</v>
      </c>
      <c r="G218" s="1362">
        <v>13.25</v>
      </c>
      <c r="H218" s="1099">
        <v>13.25</v>
      </c>
      <c r="I218" s="1364">
        <f t="shared" si="36"/>
        <v>7.6</v>
      </c>
      <c r="J218" s="77">
        <f t="shared" si="37"/>
        <v>100.7</v>
      </c>
      <c r="K218" s="1209"/>
      <c r="L218" s="53"/>
      <c r="U218" s="1797">
        <v>6.22</v>
      </c>
      <c r="V218" s="1798">
        <v>7.6</v>
      </c>
      <c r="W218" s="1798">
        <v>100.7</v>
      </c>
    </row>
    <row r="219" spans="1:23">
      <c r="A219" s="1627"/>
      <c r="B219" s="1374"/>
      <c r="C219" s="1319"/>
      <c r="D219" s="1375"/>
      <c r="E219" s="1311"/>
      <c r="F219" s="1311"/>
      <c r="G219" s="1362"/>
      <c r="H219" s="1583"/>
      <c r="I219" s="1581" t="s">
        <v>15</v>
      </c>
      <c r="J219" s="1640">
        <f>TRUNC(SUM(J169:J218),2)</f>
        <v>37783.11</v>
      </c>
      <c r="K219" s="1209"/>
      <c r="L219" s="53"/>
      <c r="U219" s="1797"/>
      <c r="V219" s="1801" t="s">
        <v>15</v>
      </c>
      <c r="W219" s="1798">
        <v>37970.699999999997</v>
      </c>
    </row>
    <row r="220" spans="1:23" ht="13.5" customHeight="1">
      <c r="A220" s="1584" t="s">
        <v>82</v>
      </c>
      <c r="B220" s="1585"/>
      <c r="C220" s="1586" t="s">
        <v>1085</v>
      </c>
      <c r="D220" s="1585"/>
      <c r="E220" s="1587"/>
      <c r="F220" s="1587"/>
      <c r="G220" s="1588" t="str">
        <f t="shared" ref="G220" si="38">IF(OR(E220&lt;=0)," ",TRUNC(H220,2))</f>
        <v xml:space="preserve"> </v>
      </c>
      <c r="H220" s="1582"/>
      <c r="I220" s="1582" t="str">
        <f>IF(OR(E220&lt;=0)," ",TRUNC((E220*(1+$J$11)),2))</f>
        <v xml:space="preserve"> </v>
      </c>
      <c r="J220" s="1589" t="str">
        <f>IF(OR(E220&lt;=0)," ",TRUNC((I220*G220),2))</f>
        <v xml:space="preserve"> </v>
      </c>
      <c r="K220" s="362"/>
      <c r="L220" s="53"/>
      <c r="U220" s="98"/>
      <c r="V220" s="1798" t="s">
        <v>42</v>
      </c>
      <c r="W220" s="1798" t="s">
        <v>42</v>
      </c>
    </row>
    <row r="221" spans="1:23" ht="19.5" customHeight="1">
      <c r="A221" s="1627" t="s">
        <v>1241</v>
      </c>
      <c r="B221" s="1795" t="s">
        <v>468</v>
      </c>
      <c r="C221" s="1372" t="s">
        <v>469</v>
      </c>
      <c r="D221" s="1309" t="s">
        <v>55</v>
      </c>
      <c r="E221" s="1305">
        <f>K221</f>
        <v>35.230000000000004</v>
      </c>
      <c r="F221" s="1311">
        <f>VLOOKUP(B221,'CADERNO DE COMPOSIÇÃO'!$A$8:$J$15448,10,FALSE)</f>
        <v>35.06</v>
      </c>
      <c r="G221" s="1362">
        <v>8</v>
      </c>
      <c r="H221" s="1369">
        <v>8</v>
      </c>
      <c r="I221" s="1364">
        <f t="shared" ref="I221:I248" si="39">TRUNC(F221*(1+$J$11),2)</f>
        <v>42.85</v>
      </c>
      <c r="J221" s="77">
        <f t="shared" ref="J221:J248" si="40">TRUNC(I221*G221,2)</f>
        <v>342.8</v>
      </c>
      <c r="K221" s="327">
        <f>'COMP ELE'!F17</f>
        <v>35.230000000000004</v>
      </c>
      <c r="L221" s="53"/>
      <c r="U221" s="98">
        <v>35.230000000000004</v>
      </c>
      <c r="V221" s="1798">
        <v>43.06</v>
      </c>
      <c r="W221" s="1798">
        <v>344.48</v>
      </c>
    </row>
    <row r="222" spans="1:23" ht="33.75" customHeight="1">
      <c r="A222" s="1627" t="s">
        <v>1242</v>
      </c>
      <c r="B222" s="1318">
        <v>98302</v>
      </c>
      <c r="C222" s="1319" t="s">
        <v>398</v>
      </c>
      <c r="D222" s="1309" t="s">
        <v>55</v>
      </c>
      <c r="E222" s="1305">
        <v>1013.51</v>
      </c>
      <c r="F222" s="1311">
        <f>VLOOKUP(B222,'CADERNO DE COMPOSIÇÃO'!$A$8:$J$15448,10,FALSE)</f>
        <v>999.22</v>
      </c>
      <c r="G222" s="1362">
        <v>3</v>
      </c>
      <c r="H222" s="1369">
        <v>3</v>
      </c>
      <c r="I222" s="1364">
        <f t="shared" si="39"/>
        <v>1221.3399999999999</v>
      </c>
      <c r="J222" s="77">
        <f t="shared" si="40"/>
        <v>3664.02</v>
      </c>
      <c r="K222" s="539"/>
      <c r="L222" s="369"/>
      <c r="M222" s="196"/>
      <c r="N222" s="196"/>
      <c r="O222" s="196"/>
      <c r="U222" s="98">
        <v>1013.51</v>
      </c>
      <c r="V222" s="1798">
        <v>1238.81</v>
      </c>
      <c r="W222" s="1798">
        <v>3716.43</v>
      </c>
    </row>
    <row r="223" spans="1:23" ht="21" customHeight="1">
      <c r="A223" s="1627" t="s">
        <v>1243</v>
      </c>
      <c r="B223" s="1795" t="s">
        <v>475</v>
      </c>
      <c r="C223" s="1319" t="s">
        <v>1481</v>
      </c>
      <c r="D223" s="1309" t="s">
        <v>55</v>
      </c>
      <c r="E223" s="1305">
        <f>K223</f>
        <v>57.93</v>
      </c>
      <c r="F223" s="1311">
        <f>VLOOKUP(B223,'CADERNO DE COMPOSIÇÃO'!$A$8:$J$15448,10,FALSE)</f>
        <v>57.61</v>
      </c>
      <c r="G223" s="1362">
        <v>1</v>
      </c>
      <c r="H223" s="1369">
        <v>1</v>
      </c>
      <c r="I223" s="1364">
        <f t="shared" si="39"/>
        <v>70.41</v>
      </c>
      <c r="J223" s="77">
        <f t="shared" si="40"/>
        <v>70.41</v>
      </c>
      <c r="K223" s="539">
        <f>'COMP ELE'!F60</f>
        <v>57.93</v>
      </c>
      <c r="L223" s="369"/>
      <c r="M223" s="196"/>
      <c r="N223" s="196"/>
      <c r="O223" s="196"/>
      <c r="U223" s="98">
        <v>57.93</v>
      </c>
      <c r="V223" s="1798">
        <v>70.8</v>
      </c>
      <c r="W223" s="1798">
        <v>70.8</v>
      </c>
    </row>
    <row r="224" spans="1:23" ht="21" customHeight="1">
      <c r="A224" s="1627" t="s">
        <v>1244</v>
      </c>
      <c r="B224" s="1794" t="s">
        <v>472</v>
      </c>
      <c r="C224" s="1319" t="s">
        <v>1482</v>
      </c>
      <c r="D224" s="1309" t="s">
        <v>55</v>
      </c>
      <c r="E224" s="1305">
        <f>K224</f>
        <v>163.60999999999999</v>
      </c>
      <c r="F224" s="1311">
        <f>VLOOKUP(B224,'CADERNO DE COMPOSIÇÃO'!$A$8:$J$15448,10,FALSE)</f>
        <v>162.65</v>
      </c>
      <c r="G224" s="1362">
        <v>1</v>
      </c>
      <c r="H224" s="1369">
        <v>1</v>
      </c>
      <c r="I224" s="1364">
        <f t="shared" si="39"/>
        <v>198.8</v>
      </c>
      <c r="J224" s="77">
        <f t="shared" si="40"/>
        <v>198.8</v>
      </c>
      <c r="K224" s="539">
        <f>'COMP ELE'!F44</f>
        <v>163.60999999999999</v>
      </c>
      <c r="L224" s="369"/>
      <c r="M224" s="196"/>
      <c r="N224" s="196"/>
      <c r="O224" s="196"/>
      <c r="U224" s="98">
        <v>163.60999999999999</v>
      </c>
      <c r="V224" s="1798">
        <v>199.98</v>
      </c>
      <c r="W224" s="1798">
        <v>199.98</v>
      </c>
    </row>
    <row r="225" spans="1:23" ht="17.25" customHeight="1">
      <c r="A225" s="1627" t="s">
        <v>1245</v>
      </c>
      <c r="B225" s="1573" t="s">
        <v>471</v>
      </c>
      <c r="C225" s="1572" t="s">
        <v>2372</v>
      </c>
      <c r="D225" s="1309" t="s">
        <v>55</v>
      </c>
      <c r="E225" s="1305">
        <f>K225</f>
        <v>49.209999999999994</v>
      </c>
      <c r="F225" s="1311">
        <f>VLOOKUP(B225,'CADERNO DE COMPOSIÇÃO'!$A$8:$J$15448,10,FALSE)</f>
        <v>48.97</v>
      </c>
      <c r="G225" s="1362">
        <v>3</v>
      </c>
      <c r="H225" s="507">
        <v>3</v>
      </c>
      <c r="I225" s="1364">
        <f t="shared" si="39"/>
        <v>59.85</v>
      </c>
      <c r="J225" s="77">
        <f t="shared" si="40"/>
        <v>179.55</v>
      </c>
      <c r="K225" s="539">
        <f>'COMP ELE'!F28</f>
        <v>49.209999999999994</v>
      </c>
      <c r="L225" s="1911"/>
      <c r="M225" s="1911"/>
      <c r="N225" s="196"/>
      <c r="O225" s="196"/>
      <c r="U225" s="98">
        <v>49.209999999999994</v>
      </c>
      <c r="V225" s="1798">
        <v>60.14</v>
      </c>
      <c r="W225" s="1798">
        <v>180.42</v>
      </c>
    </row>
    <row r="226" spans="1:23" ht="18" customHeight="1">
      <c r="A226" s="1627" t="s">
        <v>1246</v>
      </c>
      <c r="B226" s="1795" t="s">
        <v>477</v>
      </c>
      <c r="C226" s="1319" t="s">
        <v>2122</v>
      </c>
      <c r="D226" s="1309" t="s">
        <v>55</v>
      </c>
      <c r="E226" s="1305">
        <f>K226</f>
        <v>2150.85</v>
      </c>
      <c r="F226" s="1311">
        <f>VLOOKUP(B226,'CADERNO DE COMPOSIÇÃO'!$A$8:$J$15448,10,FALSE)</f>
        <v>2138.2199999999998</v>
      </c>
      <c r="G226" s="1362">
        <v>1</v>
      </c>
      <c r="H226" s="1369">
        <v>1</v>
      </c>
      <c r="I226" s="1364">
        <f t="shared" si="39"/>
        <v>2613.54</v>
      </c>
      <c r="J226" s="77">
        <f t="shared" si="40"/>
        <v>2613.54</v>
      </c>
      <c r="K226" s="327">
        <f>'COMP ELE'!F77</f>
        <v>2150.85</v>
      </c>
      <c r="L226" s="369"/>
      <c r="M226" s="196"/>
      <c r="N226" s="196"/>
      <c r="O226" s="196"/>
      <c r="U226" s="98">
        <v>2150.85</v>
      </c>
      <c r="V226" s="1798">
        <v>2628.98</v>
      </c>
      <c r="W226" s="1798">
        <v>2628.98</v>
      </c>
    </row>
    <row r="227" spans="1:23" ht="27.75" customHeight="1">
      <c r="A227" s="1627" t="s">
        <v>1247</v>
      </c>
      <c r="B227" s="1795" t="s">
        <v>487</v>
      </c>
      <c r="C227" s="1319" t="s">
        <v>2123</v>
      </c>
      <c r="D227" s="1309" t="s">
        <v>55</v>
      </c>
      <c r="E227" s="1305">
        <f>K227</f>
        <v>178.37</v>
      </c>
      <c r="F227" s="1311">
        <f>VLOOKUP(B227,'CADERNO DE COMPOSIÇÃO'!$A$8:$J$15448,10,FALSE)</f>
        <v>177.32</v>
      </c>
      <c r="G227" s="1362">
        <v>1</v>
      </c>
      <c r="H227" s="1369">
        <v>1</v>
      </c>
      <c r="I227" s="1364">
        <f t="shared" si="39"/>
        <v>216.73</v>
      </c>
      <c r="J227" s="77">
        <f t="shared" si="40"/>
        <v>216.73</v>
      </c>
      <c r="K227" s="327">
        <f>'COMP ELE'!F148</f>
        <v>178.37</v>
      </c>
      <c r="L227" s="369"/>
      <c r="M227" s="196"/>
      <c r="N227" s="196"/>
      <c r="O227" s="196"/>
      <c r="U227" s="98">
        <v>178.37</v>
      </c>
      <c r="V227" s="1798">
        <v>218.02</v>
      </c>
      <c r="W227" s="1798">
        <v>218.02</v>
      </c>
    </row>
    <row r="228" spans="1:23" ht="30.75" customHeight="1">
      <c r="A228" s="1627" t="s">
        <v>1248</v>
      </c>
      <c r="B228" s="1318">
        <v>91941</v>
      </c>
      <c r="C228" s="1319" t="s">
        <v>399</v>
      </c>
      <c r="D228" s="1309" t="s">
        <v>55</v>
      </c>
      <c r="E228" s="1305">
        <v>9.8800000000000008</v>
      </c>
      <c r="F228" s="1311">
        <f>VLOOKUP(B228,'CADERNO DE COMPOSIÇÃO'!$A$8:$J$15448,10,FALSE)</f>
        <v>9.8600000000000012</v>
      </c>
      <c r="G228" s="1362">
        <v>5</v>
      </c>
      <c r="H228" s="1369">
        <v>5</v>
      </c>
      <c r="I228" s="1364">
        <f t="shared" si="39"/>
        <v>12.05</v>
      </c>
      <c r="J228" s="77">
        <f t="shared" si="40"/>
        <v>60.25</v>
      </c>
      <c r="K228" s="328"/>
      <c r="L228" s="303"/>
      <c r="U228" s="98">
        <v>9.8800000000000008</v>
      </c>
      <c r="V228" s="1798">
        <v>12.07</v>
      </c>
      <c r="W228" s="1798">
        <v>60.35</v>
      </c>
    </row>
    <row r="229" spans="1:23" ht="30" customHeight="1">
      <c r="A229" s="1627" t="s">
        <v>1652</v>
      </c>
      <c r="B229" s="1309">
        <v>91939</v>
      </c>
      <c r="C229" s="1574" t="s">
        <v>166</v>
      </c>
      <c r="D229" s="1309" t="s">
        <v>55</v>
      </c>
      <c r="E229" s="1305">
        <v>27.28</v>
      </c>
      <c r="F229" s="1311">
        <f>VLOOKUP(B229,'CADERNO DE COMPOSIÇÃO'!$A$8:$J$15448,10,FALSE)</f>
        <v>27.26</v>
      </c>
      <c r="G229" s="1362">
        <v>1</v>
      </c>
      <c r="H229" s="1369">
        <v>1</v>
      </c>
      <c r="I229" s="1364">
        <f t="shared" si="39"/>
        <v>33.31</v>
      </c>
      <c r="J229" s="77">
        <f t="shared" si="40"/>
        <v>33.31</v>
      </c>
      <c r="K229" s="328"/>
      <c r="L229" s="53"/>
      <c r="U229" s="98">
        <v>27.28</v>
      </c>
      <c r="V229" s="1798">
        <v>33.340000000000003</v>
      </c>
      <c r="W229" s="1798">
        <v>33.340000000000003</v>
      </c>
    </row>
    <row r="230" spans="1:23" ht="33" customHeight="1">
      <c r="A230" s="1627" t="s">
        <v>1249</v>
      </c>
      <c r="B230" s="1794" t="s">
        <v>496</v>
      </c>
      <c r="C230" s="1319" t="s">
        <v>1491</v>
      </c>
      <c r="D230" s="1309" t="s">
        <v>55</v>
      </c>
      <c r="E230" s="1305">
        <f>K230</f>
        <v>264.77999999999997</v>
      </c>
      <c r="F230" s="1311">
        <f>VLOOKUP(B230,'CADERNO DE COMPOSIÇÃO'!$A$8:$J$15448,10,FALSE)</f>
        <v>263.52</v>
      </c>
      <c r="G230" s="1362">
        <v>1</v>
      </c>
      <c r="H230" s="1369">
        <v>1</v>
      </c>
      <c r="I230" s="1364">
        <f t="shared" si="39"/>
        <v>322.10000000000002</v>
      </c>
      <c r="J230" s="77">
        <f t="shared" si="40"/>
        <v>322.10000000000002</v>
      </c>
      <c r="K230" s="328">
        <f>'COMP ELE'!F223</f>
        <v>264.77999999999997</v>
      </c>
      <c r="L230" s="53"/>
      <c r="U230" s="98">
        <v>264.77999999999997</v>
      </c>
      <c r="V230" s="1798">
        <v>323.64</v>
      </c>
      <c r="W230" s="1798">
        <v>323.64</v>
      </c>
    </row>
    <row r="231" spans="1:23" ht="31.5" customHeight="1">
      <c r="A231" s="1627" t="s">
        <v>1250</v>
      </c>
      <c r="B231" s="1795" t="s">
        <v>503</v>
      </c>
      <c r="C231" s="1319" t="s">
        <v>1492</v>
      </c>
      <c r="D231" s="1867" t="s">
        <v>55</v>
      </c>
      <c r="E231" s="1305">
        <f>K231</f>
        <v>58.14</v>
      </c>
      <c r="F231" s="1311">
        <f>VLOOKUP(B231,'CADERNO DE COMPOSIÇÃO'!$A$8:$J$15448,10,FALSE)</f>
        <v>57.879999999999995</v>
      </c>
      <c r="G231" s="1362">
        <v>1</v>
      </c>
      <c r="H231" s="1369">
        <v>1</v>
      </c>
      <c r="I231" s="1364">
        <f t="shared" si="39"/>
        <v>70.739999999999995</v>
      </c>
      <c r="J231" s="77">
        <f t="shared" si="40"/>
        <v>70.739999999999995</v>
      </c>
      <c r="K231" s="328">
        <f>'COMP ELE'!F234</f>
        <v>58.14</v>
      </c>
      <c r="L231" s="481" t="s">
        <v>1501</v>
      </c>
      <c r="U231" s="98">
        <v>58.14</v>
      </c>
      <c r="V231" s="1798">
        <v>71.06</v>
      </c>
      <c r="W231" s="1798">
        <v>71.06</v>
      </c>
    </row>
    <row r="232" spans="1:23" ht="30.75" customHeight="1">
      <c r="A232" s="1627" t="s">
        <v>1251</v>
      </c>
      <c r="B232" s="1795" t="s">
        <v>505</v>
      </c>
      <c r="C232" s="1319" t="s">
        <v>1493</v>
      </c>
      <c r="D232" s="1867" t="s">
        <v>55</v>
      </c>
      <c r="E232" s="1305">
        <f>K232</f>
        <v>148.94</v>
      </c>
      <c r="F232" s="1311">
        <f>VLOOKUP(B232,'CADERNO DE COMPOSIÇÃO'!$A$8:$J$15448,10,FALSE)</f>
        <v>148.14000000000001</v>
      </c>
      <c r="G232" s="1362">
        <v>2</v>
      </c>
      <c r="H232" s="1369">
        <v>2</v>
      </c>
      <c r="I232" s="1364">
        <f t="shared" si="39"/>
        <v>181.07</v>
      </c>
      <c r="J232" s="77">
        <f t="shared" si="40"/>
        <v>362.14</v>
      </c>
      <c r="K232" s="328">
        <f>'COMP ELE'!F245</f>
        <v>148.94</v>
      </c>
      <c r="L232" s="480" t="s">
        <v>1511</v>
      </c>
      <c r="U232" s="98">
        <v>148.94</v>
      </c>
      <c r="V232" s="1798">
        <v>182.04</v>
      </c>
      <c r="W232" s="1798">
        <v>364.08</v>
      </c>
    </row>
    <row r="233" spans="1:23" ht="34.5" customHeight="1">
      <c r="A233" s="1627" t="s">
        <v>1252</v>
      </c>
      <c r="B233" s="1318">
        <v>98295</v>
      </c>
      <c r="C233" s="1319" t="s">
        <v>1500</v>
      </c>
      <c r="D233" s="1309" t="s">
        <v>54</v>
      </c>
      <c r="E233" s="1305">
        <v>5.0599999999999996</v>
      </c>
      <c r="F233" s="1311">
        <f>VLOOKUP(B233,'CADERNO DE COMPOSIÇÃO'!$A$8:$J$15448,10,FALSE)</f>
        <v>5.03</v>
      </c>
      <c r="G233" s="1362">
        <v>570.70000000000005</v>
      </c>
      <c r="H233" s="1369">
        <v>570.70000000000005</v>
      </c>
      <c r="I233" s="1364">
        <f t="shared" si="39"/>
        <v>6.14</v>
      </c>
      <c r="J233" s="77">
        <f t="shared" si="40"/>
        <v>3504.09</v>
      </c>
      <c r="K233" s="328"/>
      <c r="L233" s="53"/>
      <c r="U233" s="98">
        <v>5.0599999999999996</v>
      </c>
      <c r="V233" s="1798">
        <v>6.18</v>
      </c>
      <c r="W233" s="1798">
        <v>3526.92</v>
      </c>
    </row>
    <row r="234" spans="1:23" ht="22.5" customHeight="1">
      <c r="A234" s="1627" t="s">
        <v>1484</v>
      </c>
      <c r="B234" s="1794" t="s">
        <v>2095</v>
      </c>
      <c r="C234" s="1319" t="s">
        <v>1510</v>
      </c>
      <c r="D234" s="1309" t="s">
        <v>54</v>
      </c>
      <c r="E234" s="1305">
        <f>K234</f>
        <v>10.16</v>
      </c>
      <c r="F234" s="1311">
        <f>VLOOKUP(B234,'CADERNO DE COMPOSIÇÃO'!$A$8:$J$15448,10,FALSE)</f>
        <v>10.14</v>
      </c>
      <c r="G234" s="1362">
        <v>84</v>
      </c>
      <c r="H234" s="1369">
        <v>84</v>
      </c>
      <c r="I234" s="1364">
        <f t="shared" si="39"/>
        <v>12.39</v>
      </c>
      <c r="J234" s="77">
        <f t="shared" si="40"/>
        <v>1040.76</v>
      </c>
      <c r="K234" s="328">
        <f>'COMP ELE'!F517</f>
        <v>10.16</v>
      </c>
      <c r="L234" s="53"/>
      <c r="U234" s="98">
        <v>10.16</v>
      </c>
      <c r="V234" s="1798">
        <v>12.41</v>
      </c>
      <c r="W234" s="1798">
        <v>1042.44</v>
      </c>
    </row>
    <row r="235" spans="1:23" ht="21.75" customHeight="1">
      <c r="A235" s="1627" t="s">
        <v>1485</v>
      </c>
      <c r="B235" s="1794" t="s">
        <v>490</v>
      </c>
      <c r="C235" s="1319" t="s">
        <v>1508</v>
      </c>
      <c r="D235" s="1309" t="s">
        <v>55</v>
      </c>
      <c r="E235" s="1305">
        <f>K235</f>
        <v>237.93</v>
      </c>
      <c r="F235" s="1311">
        <f>VLOOKUP(B235,'CADERNO DE COMPOSIÇÃO'!$A$8:$J$15448,10,FALSE)</f>
        <v>236.55</v>
      </c>
      <c r="G235" s="1362">
        <v>3</v>
      </c>
      <c r="H235" s="1369">
        <v>3</v>
      </c>
      <c r="I235" s="1364">
        <f t="shared" si="39"/>
        <v>289.13</v>
      </c>
      <c r="J235" s="77">
        <f t="shared" si="40"/>
        <v>867.39</v>
      </c>
      <c r="K235" s="328">
        <f>'COMP ELE'!F177</f>
        <v>237.93</v>
      </c>
      <c r="L235" s="53"/>
      <c r="U235" s="98">
        <v>237.93</v>
      </c>
      <c r="V235" s="1798">
        <v>290.82</v>
      </c>
      <c r="W235" s="1798">
        <v>872.46</v>
      </c>
    </row>
    <row r="236" spans="1:23" ht="21.75" customHeight="1">
      <c r="A236" s="1627" t="s">
        <v>1486</v>
      </c>
      <c r="B236" s="1795" t="s">
        <v>1498</v>
      </c>
      <c r="C236" s="1319" t="s">
        <v>2362</v>
      </c>
      <c r="D236" s="1309" t="s">
        <v>55</v>
      </c>
      <c r="E236" s="1305">
        <f>K236</f>
        <v>10.71</v>
      </c>
      <c r="F236" s="1311">
        <f>VLOOKUP(B236,'CADERNO DE COMPOSIÇÃO'!$A$8:$J$15448,10,FALSE)</f>
        <v>10.700000000000001</v>
      </c>
      <c r="G236" s="1362">
        <v>59</v>
      </c>
      <c r="H236" s="1369">
        <v>59</v>
      </c>
      <c r="I236" s="1364">
        <f t="shared" si="39"/>
        <v>13.07</v>
      </c>
      <c r="J236" s="77">
        <f t="shared" si="40"/>
        <v>771.13</v>
      </c>
      <c r="K236" s="328">
        <f>'COMP ELE'!F256</f>
        <v>10.71</v>
      </c>
      <c r="L236" s="53"/>
      <c r="U236" s="98">
        <v>10.71</v>
      </c>
      <c r="V236" s="1798">
        <v>13.09</v>
      </c>
      <c r="W236" s="1798">
        <v>772.31</v>
      </c>
    </row>
    <row r="237" spans="1:23" ht="16.5" customHeight="1">
      <c r="A237" s="1627" t="s">
        <v>1487</v>
      </c>
      <c r="B237" s="1796" t="s">
        <v>2093</v>
      </c>
      <c r="C237" s="1319" t="s">
        <v>1512</v>
      </c>
      <c r="D237" s="1309" t="s">
        <v>55</v>
      </c>
      <c r="E237" s="1305">
        <f>K237</f>
        <v>6087.5</v>
      </c>
      <c r="F237" s="1311">
        <f>VLOOKUP(B237,'CADERNO DE COMPOSIÇÃO'!$A$8:$J$15448,10,FALSE)</f>
        <v>6067.42</v>
      </c>
      <c r="G237" s="1362">
        <v>1</v>
      </c>
      <c r="H237" s="1369">
        <v>1</v>
      </c>
      <c r="I237" s="1364">
        <f t="shared" si="39"/>
        <v>7416.2</v>
      </c>
      <c r="J237" s="77">
        <f t="shared" si="40"/>
        <v>7416.2</v>
      </c>
      <c r="K237" s="328">
        <f>'COMP ELE'!F500</f>
        <v>6087.5</v>
      </c>
      <c r="L237" s="53"/>
      <c r="U237" s="98">
        <v>6087.5</v>
      </c>
      <c r="V237" s="1798">
        <v>7440.75</v>
      </c>
      <c r="W237" s="1798">
        <v>7440.75</v>
      </c>
    </row>
    <row r="238" spans="1:23" ht="16.5" customHeight="1">
      <c r="A238" s="1627" t="s">
        <v>1488</v>
      </c>
      <c r="B238" s="1318">
        <v>98307</v>
      </c>
      <c r="C238" s="1575" t="s">
        <v>1506</v>
      </c>
      <c r="D238" s="1309" t="s">
        <v>55</v>
      </c>
      <c r="E238" s="1305">
        <v>42.26</v>
      </c>
      <c r="F238" s="1311">
        <f>VLOOKUP(B238,'CADERNO DE COMPOSIÇÃO'!$A$8:$J$15448,10,FALSE)</f>
        <v>42.059999999999995</v>
      </c>
      <c r="G238" s="1362">
        <v>22</v>
      </c>
      <c r="H238" s="1369">
        <v>22</v>
      </c>
      <c r="I238" s="1364">
        <f t="shared" si="39"/>
        <v>51.4</v>
      </c>
      <c r="J238" s="77">
        <f t="shared" si="40"/>
        <v>1130.8</v>
      </c>
      <c r="K238" s="539"/>
      <c r="L238" s="53"/>
      <c r="U238" s="98">
        <v>42.26</v>
      </c>
      <c r="V238" s="1798">
        <v>51.65</v>
      </c>
      <c r="W238" s="1798">
        <v>1136.3</v>
      </c>
    </row>
    <row r="239" spans="1:23" ht="35.25" customHeight="1">
      <c r="A239" s="1627" t="s">
        <v>1489</v>
      </c>
      <c r="B239" s="1318">
        <v>95781</v>
      </c>
      <c r="C239" s="1319" t="s">
        <v>1503</v>
      </c>
      <c r="D239" s="1309" t="s">
        <v>55</v>
      </c>
      <c r="E239" s="1305">
        <v>31.7</v>
      </c>
      <c r="F239" s="1311">
        <f>VLOOKUP(B239,'CADERNO DE COMPOSIÇÃO'!$A$8:$J$15448,10,FALSE)</f>
        <v>31.58</v>
      </c>
      <c r="G239" s="1362">
        <v>22</v>
      </c>
      <c r="H239" s="1369">
        <v>22</v>
      </c>
      <c r="I239" s="1364">
        <f t="shared" si="39"/>
        <v>38.6</v>
      </c>
      <c r="J239" s="77">
        <f t="shared" si="40"/>
        <v>849.2</v>
      </c>
      <c r="K239" s="539"/>
      <c r="L239" s="53"/>
      <c r="U239" s="98">
        <v>31.7</v>
      </c>
      <c r="V239" s="1798">
        <v>38.74</v>
      </c>
      <c r="W239" s="1798">
        <v>852.28</v>
      </c>
    </row>
    <row r="240" spans="1:23" ht="19.5" customHeight="1">
      <c r="A240" s="1627" t="s">
        <v>1490</v>
      </c>
      <c r="B240" s="1795" t="s">
        <v>480</v>
      </c>
      <c r="C240" s="1319" t="s">
        <v>478</v>
      </c>
      <c r="D240" s="1867" t="s">
        <v>55</v>
      </c>
      <c r="E240" s="1305">
        <f>K240</f>
        <v>51.379999999999995</v>
      </c>
      <c r="F240" s="1311">
        <f>VLOOKUP(B240,'CADERNO DE COMPOSIÇÃO'!$A$8:$J$15448,10,FALSE)</f>
        <v>51.2</v>
      </c>
      <c r="G240" s="1362">
        <v>2</v>
      </c>
      <c r="H240" s="1369">
        <v>2</v>
      </c>
      <c r="I240" s="1364">
        <f t="shared" si="39"/>
        <v>62.58</v>
      </c>
      <c r="J240" s="77">
        <f t="shared" si="40"/>
        <v>125.16</v>
      </c>
      <c r="K240" s="539">
        <f>'COMP ELE'!F94</f>
        <v>51.379999999999995</v>
      </c>
      <c r="L240" s="370"/>
      <c r="U240" s="98">
        <v>51.379999999999995</v>
      </c>
      <c r="V240" s="1798">
        <v>62.8</v>
      </c>
      <c r="W240" s="1798">
        <v>125.6</v>
      </c>
    </row>
    <row r="241" spans="1:23" ht="20.25" customHeight="1">
      <c r="A241" s="1627" t="s">
        <v>1653</v>
      </c>
      <c r="B241" s="1794" t="s">
        <v>482</v>
      </c>
      <c r="C241" s="1319" t="s">
        <v>481</v>
      </c>
      <c r="D241" s="1401" t="s">
        <v>55</v>
      </c>
      <c r="E241" s="1305">
        <f>K241</f>
        <v>54.92</v>
      </c>
      <c r="F241" s="1311">
        <f>VLOOKUP(B241,'CADERNO DE COMPOSIÇÃO'!$A$8:$J$15448,10,FALSE)</f>
        <v>54.72</v>
      </c>
      <c r="G241" s="1362">
        <v>3</v>
      </c>
      <c r="H241" s="1369">
        <v>3</v>
      </c>
      <c r="I241" s="1364">
        <f t="shared" si="39"/>
        <v>66.88</v>
      </c>
      <c r="J241" s="77">
        <f t="shared" si="40"/>
        <v>200.64</v>
      </c>
      <c r="K241" s="539">
        <f>'COMP ELE'!F111</f>
        <v>54.92</v>
      </c>
      <c r="L241" s="370"/>
      <c r="U241" s="98">
        <v>54.92</v>
      </c>
      <c r="V241" s="1798">
        <v>67.12</v>
      </c>
      <c r="W241" s="1798">
        <v>201.36</v>
      </c>
    </row>
    <row r="242" spans="1:23" ht="33" customHeight="1">
      <c r="A242" s="1627" t="s">
        <v>1654</v>
      </c>
      <c r="B242" s="1590">
        <v>91846</v>
      </c>
      <c r="C242" s="1572" t="s">
        <v>400</v>
      </c>
      <c r="D242" s="1867" t="s">
        <v>54</v>
      </c>
      <c r="E242" s="1305">
        <v>9.8000000000000007</v>
      </c>
      <c r="F242" s="1311">
        <f>VLOOKUP(B242,'CADERNO DE COMPOSIÇÃO'!$A$8:$J$15448,10,FALSE)</f>
        <v>9.77</v>
      </c>
      <c r="G242" s="1359">
        <v>40.4</v>
      </c>
      <c r="H242" s="1369">
        <v>40.4</v>
      </c>
      <c r="I242" s="1360">
        <f t="shared" si="39"/>
        <v>11.94</v>
      </c>
      <c r="J242" s="1361">
        <f t="shared" si="40"/>
        <v>482.37</v>
      </c>
      <c r="K242" s="1208"/>
      <c r="L242" s="482"/>
      <c r="U242" s="98">
        <v>9.8000000000000007</v>
      </c>
      <c r="V242" s="1798">
        <v>11.97</v>
      </c>
      <c r="W242" s="1798">
        <v>483.58</v>
      </c>
    </row>
    <row r="243" spans="1:23" ht="30" customHeight="1">
      <c r="A243" s="1627" t="s">
        <v>1655</v>
      </c>
      <c r="B243" s="1374">
        <v>91844</v>
      </c>
      <c r="C243" s="1319" t="s">
        <v>401</v>
      </c>
      <c r="D243" s="1868" t="s">
        <v>54</v>
      </c>
      <c r="E243" s="1305">
        <v>6.87</v>
      </c>
      <c r="F243" s="1311">
        <f>VLOOKUP(B243,'CADERNO DE COMPOSIÇÃO'!$A$8:$J$15448,10,FALSE)</f>
        <v>6.85</v>
      </c>
      <c r="G243" s="1362">
        <v>66.099999999999994</v>
      </c>
      <c r="H243" s="1369">
        <v>66.099999999999994</v>
      </c>
      <c r="I243" s="1364">
        <f t="shared" si="39"/>
        <v>8.3699999999999992</v>
      </c>
      <c r="J243" s="77">
        <f t="shared" si="40"/>
        <v>553.25</v>
      </c>
      <c r="K243" s="1208"/>
      <c r="L243" s="370"/>
      <c r="U243" s="98">
        <v>6.87</v>
      </c>
      <c r="V243" s="1798">
        <v>8.39</v>
      </c>
      <c r="W243" s="1798">
        <v>554.57000000000005</v>
      </c>
    </row>
    <row r="244" spans="1:23" ht="39.75" customHeight="1">
      <c r="A244" s="1627" t="s">
        <v>1656</v>
      </c>
      <c r="B244" s="1576">
        <v>91863</v>
      </c>
      <c r="C244" s="1574" t="s">
        <v>1504</v>
      </c>
      <c r="D244" s="1864" t="s">
        <v>54</v>
      </c>
      <c r="E244" s="1305">
        <v>12.09</v>
      </c>
      <c r="F244" s="1311">
        <f>VLOOKUP(B244,'CADERNO DE COMPOSIÇÃO'!$A$8:$J$15448,10,FALSE)</f>
        <v>12.03</v>
      </c>
      <c r="G244" s="1362">
        <v>22.3</v>
      </c>
      <c r="H244" s="1369">
        <v>22.3</v>
      </c>
      <c r="I244" s="1364">
        <f t="shared" si="39"/>
        <v>14.7</v>
      </c>
      <c r="J244" s="77">
        <f t="shared" si="40"/>
        <v>327.81</v>
      </c>
      <c r="K244" s="328">
        <f>'COMP ELE'!F194</f>
        <v>4.2</v>
      </c>
      <c r="L244" s="370"/>
      <c r="U244" s="98">
        <v>12.09</v>
      </c>
      <c r="V244" s="1798">
        <v>14.77</v>
      </c>
      <c r="W244" s="1798">
        <v>329.37</v>
      </c>
    </row>
    <row r="245" spans="1:23" ht="40.5" customHeight="1">
      <c r="A245" s="1627" t="s">
        <v>1657</v>
      </c>
      <c r="B245" s="1576">
        <v>91841</v>
      </c>
      <c r="C245" s="1319" t="s">
        <v>1505</v>
      </c>
      <c r="D245" s="1864" t="s">
        <v>54</v>
      </c>
      <c r="E245" s="1305">
        <v>13.29</v>
      </c>
      <c r="F245" s="1311">
        <f>VLOOKUP(B245,'CADERNO DE COMPOSIÇÃO'!$A$8:$J$15448,10,FALSE)</f>
        <v>13.23</v>
      </c>
      <c r="G245" s="1362">
        <v>15.5</v>
      </c>
      <c r="H245" s="1369">
        <v>15.5</v>
      </c>
      <c r="I245" s="1364">
        <f t="shared" si="39"/>
        <v>16.170000000000002</v>
      </c>
      <c r="J245" s="77">
        <f t="shared" si="40"/>
        <v>250.63</v>
      </c>
      <c r="K245" s="328">
        <f>'COMP ELE'!F204</f>
        <v>4.6400000000000006</v>
      </c>
      <c r="L245" s="370"/>
      <c r="U245" s="98">
        <v>13.29</v>
      </c>
      <c r="V245" s="1798">
        <v>16.239999999999998</v>
      </c>
      <c r="W245" s="1798">
        <v>251.72</v>
      </c>
    </row>
    <row r="246" spans="1:23" ht="19.5" customHeight="1">
      <c r="A246" s="1627" t="s">
        <v>1658</v>
      </c>
      <c r="B246" s="1571" t="s">
        <v>493</v>
      </c>
      <c r="C246" s="1319" t="s">
        <v>1565</v>
      </c>
      <c r="D246" s="1309" t="s">
        <v>55</v>
      </c>
      <c r="E246" s="1305">
        <f>K246</f>
        <v>4.2</v>
      </c>
      <c r="F246" s="1311">
        <f>VLOOKUP(B246,'CADERNO DE COMPOSIÇÃO'!$A$8:$J$15448,10,FALSE)</f>
        <v>4.18</v>
      </c>
      <c r="G246" s="1362">
        <v>31</v>
      </c>
      <c r="H246" s="1369">
        <v>31</v>
      </c>
      <c r="I246" s="1364">
        <f t="shared" si="39"/>
        <v>5.0999999999999996</v>
      </c>
      <c r="J246" s="77">
        <f t="shared" si="40"/>
        <v>158.1</v>
      </c>
      <c r="K246" s="328">
        <f>'COMP ELE'!F194</f>
        <v>4.2</v>
      </c>
      <c r="L246" s="370"/>
      <c r="U246" s="98">
        <v>4.2</v>
      </c>
      <c r="V246" s="1798">
        <v>5.13</v>
      </c>
      <c r="W246" s="1798">
        <v>159.03</v>
      </c>
    </row>
    <row r="247" spans="1:23" ht="28.5">
      <c r="A247" s="1627" t="s">
        <v>2327</v>
      </c>
      <c r="B247" s="1795" t="s">
        <v>495</v>
      </c>
      <c r="C247" s="1319" t="s">
        <v>2131</v>
      </c>
      <c r="D247" s="1309" t="s">
        <v>55</v>
      </c>
      <c r="E247" s="1601">
        <f>K247</f>
        <v>4.6400000000000006</v>
      </c>
      <c r="F247" s="1311">
        <f>VLOOKUP(B247,'CADERNO DE COMPOSIÇÃO'!$A$8:$J$15448,10,FALSE)</f>
        <v>4.6000000000000005</v>
      </c>
      <c r="G247" s="1362">
        <v>31</v>
      </c>
      <c r="H247" s="1369">
        <v>31</v>
      </c>
      <c r="I247" s="1364">
        <f t="shared" si="39"/>
        <v>5.62</v>
      </c>
      <c r="J247" s="77">
        <f t="shared" si="40"/>
        <v>174.22</v>
      </c>
      <c r="K247" s="327">
        <f>'COMP ELE'!F204</f>
        <v>4.6400000000000006</v>
      </c>
      <c r="L247" s="53"/>
      <c r="U247" s="98">
        <v>4.6400000000000006</v>
      </c>
      <c r="V247" s="1798">
        <v>5.67</v>
      </c>
      <c r="W247" s="1798">
        <v>175.77</v>
      </c>
    </row>
    <row r="248" spans="1:23">
      <c r="A248" s="1627" t="s">
        <v>2375</v>
      </c>
      <c r="B248" s="1795" t="s">
        <v>484</v>
      </c>
      <c r="C248" s="1319" t="s">
        <v>1483</v>
      </c>
      <c r="D248" s="1309" t="s">
        <v>55</v>
      </c>
      <c r="E248" s="1321">
        <f>K248</f>
        <v>1079.83</v>
      </c>
      <c r="F248" s="1311">
        <f>VLOOKUP(B248,'CADERNO DE COMPOSIÇÃO'!$A$8:$J$15448,10,FALSE)</f>
        <v>1073.49</v>
      </c>
      <c r="G248" s="1362">
        <v>1</v>
      </c>
      <c r="H248" s="1369">
        <v>1</v>
      </c>
      <c r="I248" s="1364">
        <f t="shared" si="39"/>
        <v>1312.12</v>
      </c>
      <c r="J248" s="77">
        <f t="shared" si="40"/>
        <v>1312.12</v>
      </c>
      <c r="K248" s="1209">
        <f>'COMP ELE'!F128</f>
        <v>1079.83</v>
      </c>
      <c r="L248" s="370" t="s">
        <v>1115</v>
      </c>
      <c r="U248" s="98">
        <v>1079.83</v>
      </c>
      <c r="V248" s="1798">
        <v>1319.87</v>
      </c>
      <c r="W248" s="1798">
        <v>1319.87</v>
      </c>
    </row>
    <row r="249" spans="1:23">
      <c r="A249" s="1467"/>
      <c r="B249" s="1603"/>
      <c r="C249" s="1372"/>
      <c r="D249" s="1591"/>
      <c r="E249" s="1592"/>
      <c r="F249" s="1592"/>
      <c r="G249" s="1593"/>
      <c r="H249" s="1600"/>
      <c r="I249" s="1404" t="s">
        <v>15</v>
      </c>
      <c r="J249" s="1029">
        <f>TRUNC(SUM(J221:J248),2)</f>
        <v>27298.26</v>
      </c>
      <c r="K249" s="1209"/>
      <c r="L249" s="53"/>
      <c r="U249" s="98"/>
      <c r="V249" s="1801" t="s">
        <v>15</v>
      </c>
      <c r="W249" s="1798">
        <v>27455.91</v>
      </c>
    </row>
    <row r="250" spans="1:23">
      <c r="A250" s="1647">
        <v>12</v>
      </c>
      <c r="B250" s="1594"/>
      <c r="C250" s="1595" t="s">
        <v>1253</v>
      </c>
      <c r="D250" s="1597"/>
      <c r="E250" s="1598"/>
      <c r="F250" s="1598"/>
      <c r="G250" s="1597" t="s">
        <v>42</v>
      </c>
      <c r="H250" s="1602"/>
      <c r="I250" s="1599" t="str">
        <f>IF(OR(E250&lt;=0)," ",TRUNC((E250*(1+$J$11)),2))</f>
        <v xml:space="preserve"> </v>
      </c>
      <c r="J250" s="1648" t="str">
        <f>IF(OR(E250&lt;=0)," ",TRUNC((I250*G250),2))</f>
        <v xml:space="preserve"> </v>
      </c>
      <c r="K250" s="362" t="s">
        <v>426</v>
      </c>
      <c r="L250" s="53"/>
      <c r="U250" s="98"/>
      <c r="V250" s="1798" t="s">
        <v>42</v>
      </c>
      <c r="W250" s="1798" t="s">
        <v>42</v>
      </c>
    </row>
    <row r="251" spans="1:23" ht="18" customHeight="1">
      <c r="A251" s="1627" t="s">
        <v>83</v>
      </c>
      <c r="B251" s="1475" t="s">
        <v>1497</v>
      </c>
      <c r="C251" s="1319" t="s">
        <v>1526</v>
      </c>
      <c r="D251" s="1869" t="s">
        <v>55</v>
      </c>
      <c r="E251" s="1305">
        <f>K251</f>
        <v>473.96</v>
      </c>
      <c r="F251" s="1311">
        <f>VLOOKUP(B251,'CADERNO DE COMPOSIÇÃO'!$A$8:$J$15448,10,FALSE)</f>
        <v>471.2</v>
      </c>
      <c r="G251" s="1362">
        <v>1</v>
      </c>
      <c r="H251" s="1369">
        <v>1</v>
      </c>
      <c r="I251" s="1364">
        <f t="shared" ref="I251:I257" si="41">TRUNC(F251*(1+$J$11),2)</f>
        <v>575.94000000000005</v>
      </c>
      <c r="J251" s="77">
        <f t="shared" ref="J251:J257" si="42">TRUNC(I251*G251,2)</f>
        <v>575.94000000000005</v>
      </c>
      <c r="K251" s="539">
        <f>'COMP ELE'!F273</f>
        <v>473.96</v>
      </c>
      <c r="L251" s="53"/>
      <c r="U251" s="98">
        <v>473.96</v>
      </c>
      <c r="V251" s="1798">
        <v>579.32000000000005</v>
      </c>
      <c r="W251" s="1798">
        <v>579.32000000000005</v>
      </c>
    </row>
    <row r="252" spans="1:23" ht="33" customHeight="1">
      <c r="A252" s="1086" t="s">
        <v>84</v>
      </c>
      <c r="B252" s="1295">
        <v>98111</v>
      </c>
      <c r="C252" s="1302" t="s">
        <v>1520</v>
      </c>
      <c r="D252" s="1309" t="s">
        <v>55</v>
      </c>
      <c r="E252" s="1305">
        <v>57.58</v>
      </c>
      <c r="F252" s="1311">
        <f>VLOOKUP(B252,'CADERNO DE COMPOSIÇÃO'!$A$8:$J$15448,10,FALSE)</f>
        <v>57.26</v>
      </c>
      <c r="G252" s="1362">
        <v>6</v>
      </c>
      <c r="H252" s="1369">
        <v>6</v>
      </c>
      <c r="I252" s="1364">
        <f t="shared" si="41"/>
        <v>69.98</v>
      </c>
      <c r="J252" s="77">
        <f t="shared" si="42"/>
        <v>419.88</v>
      </c>
      <c r="K252" s="1209"/>
      <c r="L252" s="53"/>
      <c r="U252" s="98">
        <v>57.58</v>
      </c>
      <c r="V252" s="1798">
        <v>70.38</v>
      </c>
      <c r="W252" s="1798">
        <v>422.28</v>
      </c>
    </row>
    <row r="253" spans="1:23" ht="33" customHeight="1">
      <c r="A253" s="1627" t="s">
        <v>85</v>
      </c>
      <c r="B253" s="1295">
        <v>96986</v>
      </c>
      <c r="C253" s="1302" t="s">
        <v>1521</v>
      </c>
      <c r="D253" s="1309" t="s">
        <v>55</v>
      </c>
      <c r="E253" s="1305">
        <v>113.97</v>
      </c>
      <c r="F253" s="1311">
        <f>VLOOKUP(B253,'CADERNO DE COMPOSIÇÃO'!$A$8:$J$15448,10,FALSE)</f>
        <v>113.38999999999999</v>
      </c>
      <c r="G253" s="1362">
        <v>32</v>
      </c>
      <c r="H253" s="1369">
        <v>32</v>
      </c>
      <c r="I253" s="1364">
        <f t="shared" si="41"/>
        <v>138.59</v>
      </c>
      <c r="J253" s="77">
        <f t="shared" si="42"/>
        <v>4434.88</v>
      </c>
      <c r="K253" s="1209"/>
      <c r="L253" s="386" t="s">
        <v>2114</v>
      </c>
      <c r="U253" s="98">
        <v>113.97</v>
      </c>
      <c r="V253" s="1798">
        <v>139.30000000000001</v>
      </c>
      <c r="W253" s="1798">
        <v>4457.6000000000004</v>
      </c>
    </row>
    <row r="254" spans="1:23" ht="34.5" customHeight="1">
      <c r="A254" s="1086" t="s">
        <v>2374</v>
      </c>
      <c r="B254" s="1295">
        <v>96972</v>
      </c>
      <c r="C254" s="1302" t="s">
        <v>1522</v>
      </c>
      <c r="D254" s="1295" t="s">
        <v>54</v>
      </c>
      <c r="E254" s="1305">
        <v>45.88</v>
      </c>
      <c r="F254" s="1311">
        <f>VLOOKUP(B254,'CADERNO DE COMPOSIÇÃO'!$A$8:$J$15448,10,FALSE)</f>
        <v>45.639999999999993</v>
      </c>
      <c r="G254" s="1362">
        <v>7.74</v>
      </c>
      <c r="H254" s="1369">
        <v>7.74</v>
      </c>
      <c r="I254" s="1364">
        <f t="shared" si="41"/>
        <v>55.78</v>
      </c>
      <c r="J254" s="77">
        <f t="shared" si="42"/>
        <v>431.73</v>
      </c>
      <c r="K254" s="1209"/>
      <c r="L254" s="53"/>
      <c r="U254" s="98">
        <v>45.88</v>
      </c>
      <c r="V254" s="1798">
        <v>56.07</v>
      </c>
      <c r="W254" s="1798">
        <v>433.98</v>
      </c>
    </row>
    <row r="255" spans="1:23" ht="33" customHeight="1">
      <c r="A255" s="1627" t="s">
        <v>86</v>
      </c>
      <c r="B255" s="1295">
        <v>96973</v>
      </c>
      <c r="C255" s="1302" t="s">
        <v>1523</v>
      </c>
      <c r="D255" s="1295" t="s">
        <v>54</v>
      </c>
      <c r="E255" s="1305">
        <v>61</v>
      </c>
      <c r="F255" s="1311">
        <f>VLOOKUP(B255,'CADERNO DE COMPOSIÇÃO'!$A$8:$J$15448,10,FALSE)</f>
        <v>60.69</v>
      </c>
      <c r="G255" s="1362">
        <v>135.54</v>
      </c>
      <c r="H255" s="1369">
        <v>135.54</v>
      </c>
      <c r="I255" s="1364">
        <f t="shared" si="41"/>
        <v>74.180000000000007</v>
      </c>
      <c r="J255" s="77">
        <f t="shared" si="42"/>
        <v>10054.35</v>
      </c>
      <c r="K255" s="1209"/>
      <c r="L255" s="53"/>
      <c r="U255" s="98">
        <v>61</v>
      </c>
      <c r="V255" s="1798">
        <v>74.56</v>
      </c>
      <c r="W255" s="1798">
        <v>10105.86</v>
      </c>
    </row>
    <row r="256" spans="1:23" ht="31.5" customHeight="1">
      <c r="A256" s="1086" t="s">
        <v>169</v>
      </c>
      <c r="B256" s="1295">
        <v>96974</v>
      </c>
      <c r="C256" s="1302" t="s">
        <v>1524</v>
      </c>
      <c r="D256" s="1295" t="s">
        <v>54</v>
      </c>
      <c r="E256" s="1305">
        <v>80.180000000000007</v>
      </c>
      <c r="F256" s="1311">
        <f>VLOOKUP(B256,'CADERNO DE COMPOSIÇÃO'!$A$8:$J$15448,10,FALSE)</f>
        <v>79.78</v>
      </c>
      <c r="G256" s="1362">
        <v>103.7</v>
      </c>
      <c r="H256" s="1369">
        <v>103.7</v>
      </c>
      <c r="I256" s="1364">
        <f t="shared" si="41"/>
        <v>97.51</v>
      </c>
      <c r="J256" s="77">
        <f t="shared" si="42"/>
        <v>10111.780000000001</v>
      </c>
      <c r="K256" s="1209"/>
      <c r="L256" s="53"/>
      <c r="U256" s="98">
        <v>80.180000000000007</v>
      </c>
      <c r="V256" s="1798">
        <v>98</v>
      </c>
      <c r="W256" s="1798">
        <v>10162.6</v>
      </c>
    </row>
    <row r="257" spans="1:23" ht="18.75" customHeight="1">
      <c r="A257" s="1627" t="s">
        <v>170</v>
      </c>
      <c r="B257" s="1475" t="s">
        <v>1686</v>
      </c>
      <c r="C257" s="1577" t="s">
        <v>1530</v>
      </c>
      <c r="D257" s="1869" t="s">
        <v>55</v>
      </c>
      <c r="E257" s="1321">
        <f>K257</f>
        <v>33.15</v>
      </c>
      <c r="F257" s="1311">
        <f>VLOOKUP(B257,'CADERNO DE COMPOSIÇÃO'!$A$8:$J$15448,10,FALSE)</f>
        <v>33.019999999999996</v>
      </c>
      <c r="G257" s="1649">
        <v>28</v>
      </c>
      <c r="H257" s="1580">
        <v>28</v>
      </c>
      <c r="I257" s="1650">
        <f t="shared" si="41"/>
        <v>40.36</v>
      </c>
      <c r="J257" s="77">
        <f t="shared" si="42"/>
        <v>1130.08</v>
      </c>
      <c r="K257" s="539">
        <f>'COMP ELE'!F290</f>
        <v>33.15</v>
      </c>
      <c r="L257" s="53"/>
      <c r="U257" s="98">
        <v>33.15</v>
      </c>
      <c r="V257" s="1798">
        <v>40.51</v>
      </c>
      <c r="W257" s="1798">
        <v>1134.28</v>
      </c>
    </row>
    <row r="258" spans="1:23" ht="15.75" thickBot="1">
      <c r="A258" s="1467"/>
      <c r="B258" s="1591"/>
      <c r="C258" s="1596"/>
      <c r="D258" s="1591"/>
      <c r="E258" s="1592"/>
      <c r="F258" s="1592"/>
      <c r="G258" s="1593"/>
      <c r="H258" s="1600"/>
      <c r="I258" s="1404" t="s">
        <v>15</v>
      </c>
      <c r="J258" s="1029">
        <f>TRUNC(SUM(J251:J257),2)</f>
        <v>27158.639999999999</v>
      </c>
      <c r="L258" s="53"/>
      <c r="U258" s="98"/>
      <c r="V258" s="1801" t="s">
        <v>15</v>
      </c>
      <c r="W258" s="1798">
        <v>27295.919999999998</v>
      </c>
    </row>
    <row r="259" spans="1:23">
      <c r="A259" s="1406">
        <v>13</v>
      </c>
      <c r="B259" s="1729"/>
      <c r="C259" s="1407" t="s">
        <v>80</v>
      </c>
      <c r="D259" s="1408"/>
      <c r="E259" s="1730"/>
      <c r="F259" s="1730"/>
      <c r="G259" s="1408" t="s">
        <v>42</v>
      </c>
      <c r="H259" s="1731"/>
      <c r="I259" s="1732" t="str">
        <f>IF(OR(E259&lt;=0)," ",TRUNC((E259*(1+$J$11)),2))</f>
        <v xml:space="preserve"> </v>
      </c>
      <c r="J259" s="1412" t="str">
        <f>IF(OR(E259&lt;=0)," ",TRUNC((I259*G259),2))</f>
        <v xml:space="preserve"> </v>
      </c>
      <c r="K259" s="562" t="s">
        <v>1325</v>
      </c>
      <c r="L259" s="53"/>
      <c r="U259" s="98"/>
      <c r="V259" s="1798" t="s">
        <v>42</v>
      </c>
      <c r="W259" s="1798" t="s">
        <v>42</v>
      </c>
    </row>
    <row r="260" spans="1:23" ht="35.25" customHeight="1">
      <c r="A260" s="1116" t="s">
        <v>87</v>
      </c>
      <c r="B260" s="1468">
        <v>89408</v>
      </c>
      <c r="C260" s="1572" t="s">
        <v>2528</v>
      </c>
      <c r="D260" s="1864" t="s">
        <v>55</v>
      </c>
      <c r="E260" s="1068">
        <v>8.39</v>
      </c>
      <c r="F260" s="1311">
        <f>VLOOKUP(B260,'CADERNO DE COMPOSIÇÃO'!$A$8:$J$15448,10,FALSE)</f>
        <v>8.379999999999999</v>
      </c>
      <c r="G260" s="1359">
        <v>20</v>
      </c>
      <c r="H260" s="1470">
        <v>20</v>
      </c>
      <c r="I260" s="1471">
        <f t="shared" ref="I260:I289" si="43">TRUNC(F260*(1+$J$11),2)</f>
        <v>10.24</v>
      </c>
      <c r="J260" s="1361">
        <f t="shared" ref="J260:J289" si="44">TRUNC(I260*G260,2)</f>
        <v>204.8</v>
      </c>
      <c r="K260" s="511" t="s">
        <v>426</v>
      </c>
      <c r="L260" s="53"/>
      <c r="U260" s="98">
        <v>8.39</v>
      </c>
      <c r="V260" s="1798">
        <v>10.25</v>
      </c>
      <c r="W260" s="1798">
        <v>205</v>
      </c>
    </row>
    <row r="261" spans="1:23" ht="30.75" customHeight="1">
      <c r="A261" s="1627" t="s">
        <v>88</v>
      </c>
      <c r="B261" s="1374" t="s">
        <v>428</v>
      </c>
      <c r="C261" s="1319" t="s">
        <v>241</v>
      </c>
      <c r="D261" s="1401" t="s">
        <v>55</v>
      </c>
      <c r="E261" s="1305">
        <f>K261</f>
        <v>15.18</v>
      </c>
      <c r="F261" s="1311">
        <f>VLOOKUP(B261,'CADERNO DE COMPOSIÇÃO'!$A$8:$J$15448,10,FALSE)</f>
        <v>15.110000000000001</v>
      </c>
      <c r="G261" s="1362">
        <v>5</v>
      </c>
      <c r="H261" s="1651">
        <v>5</v>
      </c>
      <c r="I261" s="1364">
        <f t="shared" si="43"/>
        <v>18.46</v>
      </c>
      <c r="J261" s="77">
        <f t="shared" si="44"/>
        <v>92.3</v>
      </c>
      <c r="K261" s="307">
        <f>' COMP HIDR 1'!F27</f>
        <v>15.18</v>
      </c>
      <c r="L261" s="53"/>
      <c r="U261" s="98">
        <v>15.18</v>
      </c>
      <c r="V261" s="1798">
        <v>18.55</v>
      </c>
      <c r="W261" s="1798">
        <v>92.75</v>
      </c>
    </row>
    <row r="262" spans="1:23" ht="29.25" customHeight="1">
      <c r="A262" s="1627" t="s">
        <v>89</v>
      </c>
      <c r="B262" s="1374" t="s">
        <v>437</v>
      </c>
      <c r="C262" s="1319" t="s">
        <v>1752</v>
      </c>
      <c r="D262" s="1401" t="s">
        <v>55</v>
      </c>
      <c r="E262" s="1305">
        <f>K262</f>
        <v>15.41</v>
      </c>
      <c r="F262" s="1311">
        <f>VLOOKUP(B262,'CADERNO DE COMPOSIÇÃO'!$A$8:$J$15448,10,FALSE)</f>
        <v>15.34</v>
      </c>
      <c r="G262" s="1362">
        <v>4</v>
      </c>
      <c r="H262" s="1472">
        <v>4</v>
      </c>
      <c r="I262" s="1364">
        <f t="shared" si="43"/>
        <v>18.75</v>
      </c>
      <c r="J262" s="77">
        <f t="shared" si="44"/>
        <v>75</v>
      </c>
      <c r="K262" s="561">
        <f>' COMP HIDR 1'!F41</f>
        <v>15.41</v>
      </c>
      <c r="L262" s="53"/>
      <c r="U262" s="98">
        <v>15.41</v>
      </c>
      <c r="V262" s="1798">
        <v>18.829999999999998</v>
      </c>
      <c r="W262" s="1798">
        <v>75.319999999999993</v>
      </c>
    </row>
    <row r="263" spans="1:23" ht="21.75" customHeight="1">
      <c r="A263" s="1086" t="s">
        <v>171</v>
      </c>
      <c r="B263" s="1374" t="s">
        <v>439</v>
      </c>
      <c r="C263" s="1319" t="s">
        <v>1736</v>
      </c>
      <c r="D263" s="1864" t="s">
        <v>55</v>
      </c>
      <c r="E263" s="1305">
        <f>K263</f>
        <v>127.78999999999999</v>
      </c>
      <c r="F263" s="1311">
        <f>VLOOKUP(B263,'CADERNO DE COMPOSIÇÃO'!$A$8:$J$15448,10,FALSE)</f>
        <v>127.05000000000001</v>
      </c>
      <c r="G263" s="1073">
        <v>9</v>
      </c>
      <c r="H263" s="1472">
        <v>9</v>
      </c>
      <c r="I263" s="1652">
        <f t="shared" si="43"/>
        <v>155.29</v>
      </c>
      <c r="J263" s="1031">
        <f t="shared" si="44"/>
        <v>1397.61</v>
      </c>
      <c r="K263" s="561">
        <f>' COMP HIDR 1'!F55</f>
        <v>127.78999999999999</v>
      </c>
      <c r="L263" s="53"/>
      <c r="U263" s="98">
        <v>127.78999999999999</v>
      </c>
      <c r="V263" s="1798">
        <v>156.19</v>
      </c>
      <c r="W263" s="1798">
        <v>1405.71</v>
      </c>
    </row>
    <row r="264" spans="1:23" ht="33" customHeight="1">
      <c r="A264" s="1627" t="s">
        <v>555</v>
      </c>
      <c r="B264" s="1374" t="s">
        <v>440</v>
      </c>
      <c r="C264" s="1319" t="s">
        <v>1748</v>
      </c>
      <c r="D264" s="1864" t="s">
        <v>55</v>
      </c>
      <c r="E264" s="1305">
        <f>K264</f>
        <v>51.28</v>
      </c>
      <c r="F264" s="1311">
        <f>VLOOKUP(B264,'CADERNO DE COMPOSIÇÃO'!$A$8:$J$15448,10,FALSE)</f>
        <v>51.11999999999999</v>
      </c>
      <c r="G264" s="1362">
        <v>1</v>
      </c>
      <c r="H264" s="1472">
        <v>1</v>
      </c>
      <c r="I264" s="1652">
        <f t="shared" si="43"/>
        <v>62.48</v>
      </c>
      <c r="J264" s="77">
        <f t="shared" si="44"/>
        <v>62.48</v>
      </c>
      <c r="K264" s="561">
        <f>' COMP HIDR 1'!F68</f>
        <v>51.28</v>
      </c>
      <c r="L264" s="53"/>
      <c r="U264" s="98">
        <v>51.28</v>
      </c>
      <c r="V264" s="1798">
        <v>62.67</v>
      </c>
      <c r="W264" s="1798">
        <v>62.67</v>
      </c>
    </row>
    <row r="265" spans="1:23" ht="34.5" customHeight="1">
      <c r="A265" s="1086" t="s">
        <v>556</v>
      </c>
      <c r="B265" s="1374">
        <v>89378</v>
      </c>
      <c r="C265" s="1302" t="s">
        <v>2871</v>
      </c>
      <c r="D265" s="1864" t="s">
        <v>55</v>
      </c>
      <c r="E265" s="1305">
        <v>6.99</v>
      </c>
      <c r="F265" s="1311">
        <f>VLOOKUP(B265,'CADERNO DE COMPOSIÇÃO'!$A$8:$J$15448,10,FALSE)</f>
        <v>6.98</v>
      </c>
      <c r="G265" s="1362">
        <v>5</v>
      </c>
      <c r="H265" s="1651">
        <v>5</v>
      </c>
      <c r="I265" s="1652">
        <f t="shared" si="43"/>
        <v>8.5299999999999994</v>
      </c>
      <c r="J265" s="77">
        <f t="shared" si="44"/>
        <v>42.65</v>
      </c>
      <c r="K265" s="472"/>
      <c r="L265" s="53"/>
      <c r="U265" s="98">
        <v>6.99</v>
      </c>
      <c r="V265" s="1798">
        <v>8.5399999999999991</v>
      </c>
      <c r="W265" s="1798">
        <v>42.7</v>
      </c>
    </row>
    <row r="266" spans="1:23" ht="34.5" customHeight="1">
      <c r="A266" s="1627" t="s">
        <v>557</v>
      </c>
      <c r="B266" s="1374">
        <v>89575</v>
      </c>
      <c r="C266" s="1302" t="s">
        <v>2872</v>
      </c>
      <c r="D266" s="1864" t="s">
        <v>55</v>
      </c>
      <c r="E266" s="1305">
        <v>13.1</v>
      </c>
      <c r="F266" s="1311">
        <f>VLOOKUP(B266,'CADERNO DE COMPOSIÇÃO'!$A$8:$J$15448,10,FALSE)</f>
        <v>13.049999999999999</v>
      </c>
      <c r="G266" s="1362">
        <v>2</v>
      </c>
      <c r="H266" s="1472">
        <v>2</v>
      </c>
      <c r="I266" s="1652">
        <f t="shared" si="43"/>
        <v>15.95</v>
      </c>
      <c r="J266" s="77">
        <f t="shared" si="44"/>
        <v>31.9</v>
      </c>
      <c r="K266" s="540"/>
      <c r="L266" s="53"/>
      <c r="U266" s="98">
        <v>13.1</v>
      </c>
      <c r="V266" s="1798">
        <v>16.010000000000002</v>
      </c>
      <c r="W266" s="1798">
        <v>32.020000000000003</v>
      </c>
    </row>
    <row r="267" spans="1:23" ht="32.25" customHeight="1">
      <c r="A267" s="1086" t="s">
        <v>558</v>
      </c>
      <c r="B267" s="1405">
        <v>89575</v>
      </c>
      <c r="C267" s="1319" t="s">
        <v>2873</v>
      </c>
      <c r="D267" s="1375" t="s">
        <v>54</v>
      </c>
      <c r="E267" s="1305">
        <v>21.63</v>
      </c>
      <c r="F267" s="1311">
        <f>VLOOKUP(B267,'CADERNO DE COMPOSIÇÃO'!$A$8:$J$15448,10,FALSE)</f>
        <v>13.049999999999999</v>
      </c>
      <c r="G267" s="1362">
        <v>55.66</v>
      </c>
      <c r="H267" s="1653">
        <v>55.66</v>
      </c>
      <c r="I267" s="1652">
        <f t="shared" si="43"/>
        <v>15.95</v>
      </c>
      <c r="J267" s="77">
        <f t="shared" si="44"/>
        <v>887.77</v>
      </c>
      <c r="K267" s="540"/>
      <c r="L267" s="53"/>
      <c r="U267" s="98">
        <v>21.63</v>
      </c>
      <c r="V267" s="1798">
        <v>26.43</v>
      </c>
      <c r="W267" s="1798">
        <v>1471.09</v>
      </c>
    </row>
    <row r="268" spans="1:23" ht="18" customHeight="1">
      <c r="A268" s="1086" t="s">
        <v>559</v>
      </c>
      <c r="B268" s="1465" t="s">
        <v>442</v>
      </c>
      <c r="C268" s="1372" t="s">
        <v>242</v>
      </c>
      <c r="D268" s="1376" t="s">
        <v>54</v>
      </c>
      <c r="E268" s="1067">
        <f>K268</f>
        <v>22.23</v>
      </c>
      <c r="F268" s="1311">
        <f>VLOOKUP(B268,'CADERNO DE COMPOSIÇÃO'!$A$8:$J$15448,10,FALSE)</f>
        <v>22.099999999999998</v>
      </c>
      <c r="G268" s="1073">
        <v>14.87</v>
      </c>
      <c r="H268" s="1466">
        <v>14.87</v>
      </c>
      <c r="I268" s="1028">
        <f t="shared" si="43"/>
        <v>27.01</v>
      </c>
      <c r="J268" s="1031">
        <f t="shared" si="44"/>
        <v>401.63</v>
      </c>
      <c r="K268" s="561">
        <f>' COMP HIDR 1'!F80</f>
        <v>22.23</v>
      </c>
      <c r="L268" s="53"/>
      <c r="U268" s="98">
        <v>22.23</v>
      </c>
      <c r="V268" s="1798">
        <v>27.17</v>
      </c>
      <c r="W268" s="1798">
        <v>404.01</v>
      </c>
    </row>
    <row r="269" spans="1:23" ht="33.75" customHeight="1">
      <c r="A269" s="1627" t="s">
        <v>560</v>
      </c>
      <c r="B269" s="1374">
        <v>99635</v>
      </c>
      <c r="C269" s="1319" t="s">
        <v>2874</v>
      </c>
      <c r="D269" s="1401" t="s">
        <v>55</v>
      </c>
      <c r="E269" s="1305">
        <v>198.66</v>
      </c>
      <c r="F269" s="1311">
        <f>VLOOKUP(B269,'CADERNO DE COMPOSIÇÃO'!$A$8:$J$15448,10,FALSE)</f>
        <v>197.71</v>
      </c>
      <c r="G269" s="1362">
        <v>2</v>
      </c>
      <c r="H269" s="1472">
        <v>2</v>
      </c>
      <c r="I269" s="1364">
        <f t="shared" si="43"/>
        <v>241.66</v>
      </c>
      <c r="J269" s="77">
        <f t="shared" si="44"/>
        <v>483.32</v>
      </c>
      <c r="K269" s="540"/>
      <c r="L269" s="53"/>
      <c r="U269" s="98">
        <v>198.66</v>
      </c>
      <c r="V269" s="1798">
        <v>242.82</v>
      </c>
      <c r="W269" s="1798">
        <v>485.64</v>
      </c>
    </row>
    <row r="270" spans="1:23" ht="45.75" customHeight="1">
      <c r="A270" s="1627" t="s">
        <v>561</v>
      </c>
      <c r="B270" s="1374">
        <v>89987</v>
      </c>
      <c r="C270" s="1319" t="s">
        <v>2875</v>
      </c>
      <c r="D270" s="1864" t="s">
        <v>55</v>
      </c>
      <c r="E270" s="1067">
        <v>83.79</v>
      </c>
      <c r="F270" s="1311">
        <f>VLOOKUP(B270,'CADERNO DE COMPOSIÇÃO'!$A$8:$J$15448,10,FALSE)</f>
        <v>83.330000000000013</v>
      </c>
      <c r="G270" s="1362">
        <v>3</v>
      </c>
      <c r="H270" s="1653">
        <v>3</v>
      </c>
      <c r="I270" s="1652">
        <f t="shared" si="43"/>
        <v>101.85</v>
      </c>
      <c r="J270" s="77">
        <f t="shared" si="44"/>
        <v>305.55</v>
      </c>
      <c r="K270" s="540"/>
      <c r="L270" s="53"/>
      <c r="U270" s="98">
        <v>83.79</v>
      </c>
      <c r="V270" s="1798">
        <v>102.41</v>
      </c>
      <c r="W270" s="1798">
        <v>307.23</v>
      </c>
    </row>
    <row r="271" spans="1:23" ht="35.25" customHeight="1">
      <c r="A271" s="1086" t="s">
        <v>562</v>
      </c>
      <c r="B271" s="1374">
        <v>90371</v>
      </c>
      <c r="C271" s="1319" t="s">
        <v>2876</v>
      </c>
      <c r="D271" s="1864" t="s">
        <v>55</v>
      </c>
      <c r="E271" s="1569">
        <v>28.95</v>
      </c>
      <c r="F271" s="1311">
        <f>VLOOKUP(B271,'CADERNO DE COMPOSIÇÃO'!$A$8:$J$15448,10,FALSE)</f>
        <v>28.79</v>
      </c>
      <c r="G271" s="1073">
        <v>1</v>
      </c>
      <c r="H271" s="1472">
        <v>1</v>
      </c>
      <c r="I271" s="1652">
        <f t="shared" si="43"/>
        <v>35.19</v>
      </c>
      <c r="J271" s="1031">
        <f t="shared" si="44"/>
        <v>35.19</v>
      </c>
      <c r="K271" s="540"/>
      <c r="L271" s="53"/>
      <c r="U271">
        <v>28.95</v>
      </c>
      <c r="V271" s="1798">
        <v>35.380000000000003</v>
      </c>
      <c r="W271" s="1798">
        <v>35.380000000000003</v>
      </c>
    </row>
    <row r="272" spans="1:23" ht="55.5" customHeight="1">
      <c r="A272" s="1627" t="s">
        <v>563</v>
      </c>
      <c r="B272" s="1374">
        <v>94794</v>
      </c>
      <c r="C272" s="1302" t="s">
        <v>2877</v>
      </c>
      <c r="D272" s="1864" t="s">
        <v>55</v>
      </c>
      <c r="E272" s="1305">
        <v>148.30000000000001</v>
      </c>
      <c r="F272" s="1311">
        <f>VLOOKUP(B272,'CADERNO DE COMPOSIÇÃO'!$A$8:$J$15448,10,FALSE)</f>
        <v>147.51</v>
      </c>
      <c r="G272" s="1362">
        <v>2</v>
      </c>
      <c r="H272" s="1472">
        <v>2</v>
      </c>
      <c r="I272" s="1652">
        <f t="shared" si="43"/>
        <v>180.3</v>
      </c>
      <c r="J272" s="77">
        <f t="shared" si="44"/>
        <v>360.6</v>
      </c>
      <c r="K272" s="540"/>
      <c r="L272" s="53"/>
      <c r="U272" s="98">
        <v>148.30000000000001</v>
      </c>
      <c r="V272" s="1798">
        <v>181.26</v>
      </c>
      <c r="W272" s="1798">
        <v>362.52</v>
      </c>
    </row>
    <row r="273" spans="1:23" ht="48" customHeight="1">
      <c r="A273" s="1086" t="s">
        <v>564</v>
      </c>
      <c r="B273" s="1374">
        <v>94497</v>
      </c>
      <c r="C273" s="1302" t="s">
        <v>2878</v>
      </c>
      <c r="D273" s="1864" t="s">
        <v>55</v>
      </c>
      <c r="E273" s="1067">
        <v>94.17</v>
      </c>
      <c r="F273" s="1311">
        <f>VLOOKUP(B273,'CADERNO DE COMPOSIÇÃO'!$A$8:$J$15448,10,FALSE)</f>
        <v>93.67</v>
      </c>
      <c r="G273" s="1362">
        <v>2</v>
      </c>
      <c r="H273" s="1472">
        <v>2</v>
      </c>
      <c r="I273" s="1652">
        <f t="shared" si="43"/>
        <v>114.49</v>
      </c>
      <c r="J273" s="77">
        <f t="shared" si="44"/>
        <v>228.98</v>
      </c>
      <c r="K273" s="540"/>
      <c r="L273" s="53"/>
      <c r="U273" s="98">
        <v>94.17</v>
      </c>
      <c r="V273" s="1798">
        <v>115.1</v>
      </c>
      <c r="W273" s="1798">
        <v>230.2</v>
      </c>
    </row>
    <row r="274" spans="1:23" ht="47.25" customHeight="1">
      <c r="A274" s="1627" t="s">
        <v>565</v>
      </c>
      <c r="B274" s="1374">
        <v>89385</v>
      </c>
      <c r="C274" s="1319" t="s">
        <v>2879</v>
      </c>
      <c r="D274" s="1864" t="s">
        <v>55</v>
      </c>
      <c r="E274" s="1067">
        <v>7.47</v>
      </c>
      <c r="F274" s="1311">
        <f>VLOOKUP(B274,'CADERNO DE COMPOSIÇÃO'!$A$8:$J$15448,10,FALSE)</f>
        <v>7.4500000000000011</v>
      </c>
      <c r="G274" s="1362">
        <v>2</v>
      </c>
      <c r="H274" s="1472">
        <v>2</v>
      </c>
      <c r="I274" s="1652">
        <f t="shared" si="43"/>
        <v>9.1</v>
      </c>
      <c r="J274" s="77">
        <f t="shared" si="44"/>
        <v>18.2</v>
      </c>
      <c r="K274" s="306"/>
      <c r="L274" s="53"/>
      <c r="U274" s="98">
        <v>7.47</v>
      </c>
      <c r="V274" s="1798">
        <v>9.1300000000000008</v>
      </c>
      <c r="W274" s="1798">
        <v>18.260000000000002</v>
      </c>
    </row>
    <row r="275" spans="1:23" ht="48" customHeight="1">
      <c r="A275" s="1086" t="s">
        <v>566</v>
      </c>
      <c r="B275" s="1374">
        <v>94703</v>
      </c>
      <c r="C275" s="1319" t="s">
        <v>2880</v>
      </c>
      <c r="D275" s="1864" t="s">
        <v>55</v>
      </c>
      <c r="E275" s="1067">
        <v>25.49</v>
      </c>
      <c r="F275" s="1311">
        <f>VLOOKUP(B275,'CADERNO DE COMPOSIÇÃO'!$A$8:$J$15448,10,FALSE)</f>
        <v>25.370000000000005</v>
      </c>
      <c r="G275" s="1362">
        <v>1</v>
      </c>
      <c r="H275" s="1472">
        <v>1</v>
      </c>
      <c r="I275" s="1652">
        <f t="shared" si="43"/>
        <v>31</v>
      </c>
      <c r="J275" s="77">
        <f t="shared" si="44"/>
        <v>31</v>
      </c>
      <c r="K275" s="306"/>
      <c r="L275" s="53"/>
      <c r="U275" s="98">
        <v>25.49</v>
      </c>
      <c r="V275" s="1798">
        <v>31.15</v>
      </c>
      <c r="W275" s="1798">
        <v>31.15</v>
      </c>
    </row>
    <row r="276" spans="1:23" ht="57.75" customHeight="1">
      <c r="A276" s="1627" t="s">
        <v>567</v>
      </c>
      <c r="B276" s="1374">
        <v>94706</v>
      </c>
      <c r="C276" s="1319" t="s">
        <v>243</v>
      </c>
      <c r="D276" s="1864" t="s">
        <v>55</v>
      </c>
      <c r="E276" s="1067">
        <v>54.26</v>
      </c>
      <c r="F276" s="1311">
        <f>VLOOKUP(B276,'CADERNO DE COMPOSIÇÃO'!$A$8:$J$15448,10,FALSE)</f>
        <v>53.980000000000004</v>
      </c>
      <c r="G276" s="1362">
        <v>3</v>
      </c>
      <c r="H276" s="1472">
        <v>3</v>
      </c>
      <c r="I276" s="1652">
        <f t="shared" si="43"/>
        <v>65.97</v>
      </c>
      <c r="J276" s="77">
        <f t="shared" si="44"/>
        <v>197.91</v>
      </c>
      <c r="K276" s="306"/>
      <c r="L276" s="53"/>
      <c r="U276" s="98">
        <v>54.26</v>
      </c>
      <c r="V276" s="1798">
        <v>66.319999999999993</v>
      </c>
      <c r="W276" s="1798">
        <v>198.96</v>
      </c>
    </row>
    <row r="277" spans="1:23" ht="43.5" customHeight="1">
      <c r="A277" s="1086" t="s">
        <v>568</v>
      </c>
      <c r="B277" s="1374">
        <v>89383</v>
      </c>
      <c r="C277" s="1319" t="s">
        <v>2881</v>
      </c>
      <c r="D277" s="1864" t="s">
        <v>55</v>
      </c>
      <c r="E277" s="1067">
        <v>6.6</v>
      </c>
      <c r="F277" s="1311">
        <f>VLOOKUP(B277,'CADERNO DE COMPOSIÇÃO'!$A$8:$J$15448,10,FALSE)</f>
        <v>4.2699999999999996</v>
      </c>
      <c r="G277" s="1362">
        <v>3</v>
      </c>
      <c r="H277" s="1472">
        <v>3</v>
      </c>
      <c r="I277" s="1652">
        <f t="shared" si="43"/>
        <v>5.21</v>
      </c>
      <c r="J277" s="77">
        <f t="shared" si="44"/>
        <v>15.63</v>
      </c>
      <c r="K277" s="306"/>
      <c r="L277" s="53"/>
      <c r="U277" s="98">
        <v>6.6</v>
      </c>
      <c r="V277" s="1798">
        <v>8.06</v>
      </c>
      <c r="W277" s="1798">
        <v>24.18</v>
      </c>
    </row>
    <row r="278" spans="1:23" ht="31.5" customHeight="1">
      <c r="A278" s="1627" t="s">
        <v>569</v>
      </c>
      <c r="B278" s="1374" t="s">
        <v>443</v>
      </c>
      <c r="C278" s="1654" t="s">
        <v>244</v>
      </c>
      <c r="D278" s="1864" t="s">
        <v>55</v>
      </c>
      <c r="E278" s="1067">
        <f>K278</f>
        <v>12.82</v>
      </c>
      <c r="F278" s="1311">
        <f>VLOOKUP(B278,'CADERNO DE COMPOSIÇÃO'!$A$8:$J$15448,10,FALSE)</f>
        <v>12.760000000000002</v>
      </c>
      <c r="G278" s="1362">
        <v>10</v>
      </c>
      <c r="H278" s="1472">
        <v>10</v>
      </c>
      <c r="I278" s="1652">
        <f t="shared" si="43"/>
        <v>15.59</v>
      </c>
      <c r="J278" s="77">
        <f t="shared" si="44"/>
        <v>155.9</v>
      </c>
      <c r="K278" s="561">
        <f>' COMP HIDR 1'!F94</f>
        <v>12.82</v>
      </c>
      <c r="L278" s="53"/>
      <c r="U278" s="98">
        <v>12.82</v>
      </c>
      <c r="V278" s="1798">
        <v>15.66</v>
      </c>
      <c r="W278" s="1798">
        <v>156.6</v>
      </c>
    </row>
    <row r="279" spans="1:23" ht="33.75" customHeight="1">
      <c r="A279" s="1627" t="s">
        <v>570</v>
      </c>
      <c r="B279" s="1374" t="s">
        <v>445</v>
      </c>
      <c r="C279" s="1654" t="s">
        <v>245</v>
      </c>
      <c r="D279" s="1401" t="s">
        <v>55</v>
      </c>
      <c r="E279" s="1305">
        <f>K279</f>
        <v>11.559999999999999</v>
      </c>
      <c r="F279" s="1311">
        <f>VLOOKUP(B279,'CADERNO DE COMPOSIÇÃO'!$A$8:$J$15448,10,FALSE)</f>
        <v>11.5</v>
      </c>
      <c r="G279" s="1362">
        <v>3</v>
      </c>
      <c r="H279" s="1472">
        <v>3</v>
      </c>
      <c r="I279" s="1364">
        <f t="shared" si="43"/>
        <v>14.05</v>
      </c>
      <c r="J279" s="77">
        <f t="shared" si="44"/>
        <v>42.15</v>
      </c>
      <c r="K279" s="561">
        <f>' COMP HIDR 1'!F107</f>
        <v>11.559999999999999</v>
      </c>
      <c r="L279" s="53"/>
      <c r="U279" s="98">
        <v>11.559999999999999</v>
      </c>
      <c r="V279" s="1798">
        <v>14.12</v>
      </c>
      <c r="W279" s="1798">
        <v>42.36</v>
      </c>
    </row>
    <row r="280" spans="1:23" ht="36.75" customHeight="1">
      <c r="A280" s="1627" t="s">
        <v>571</v>
      </c>
      <c r="B280" s="1374">
        <v>89395</v>
      </c>
      <c r="C280" s="1319" t="s">
        <v>2882</v>
      </c>
      <c r="D280" s="1401" t="s">
        <v>55</v>
      </c>
      <c r="E280" s="1305">
        <v>12.73</v>
      </c>
      <c r="F280" s="1311">
        <f>VLOOKUP(B280,'CADERNO DE COMPOSIÇÃO'!$A$8:$J$15448,10,FALSE)</f>
        <v>12.690000000000001</v>
      </c>
      <c r="G280" s="1362">
        <v>8</v>
      </c>
      <c r="H280" s="1472">
        <v>8</v>
      </c>
      <c r="I280" s="1364">
        <f t="shared" si="43"/>
        <v>15.51</v>
      </c>
      <c r="J280" s="77">
        <f t="shared" si="44"/>
        <v>124.08</v>
      </c>
      <c r="K280" s="306"/>
      <c r="L280" s="53"/>
      <c r="U280" s="98">
        <v>12.73</v>
      </c>
      <c r="V280" s="1798">
        <v>15.55</v>
      </c>
      <c r="W280" s="1798">
        <v>124.4</v>
      </c>
    </row>
    <row r="281" spans="1:23" ht="31.5" customHeight="1">
      <c r="A281" s="1086" t="s">
        <v>572</v>
      </c>
      <c r="B281" s="1374" t="s">
        <v>1760</v>
      </c>
      <c r="C281" s="1319" t="s">
        <v>247</v>
      </c>
      <c r="D281" s="1864" t="s">
        <v>55</v>
      </c>
      <c r="E281" s="1067">
        <f>K281</f>
        <v>35.15</v>
      </c>
      <c r="F281" s="1311">
        <f>VLOOKUP(B281,'CADERNO DE COMPOSIÇÃO'!$A$8:$J$15448,10,FALSE)</f>
        <v>34.99</v>
      </c>
      <c r="G281" s="1362">
        <v>2</v>
      </c>
      <c r="H281" s="1472">
        <v>2</v>
      </c>
      <c r="I281" s="1652">
        <f t="shared" si="43"/>
        <v>42.76</v>
      </c>
      <c r="J281" s="77">
        <f t="shared" si="44"/>
        <v>85.52</v>
      </c>
      <c r="K281" s="561">
        <f>' COMP HIDR 1'!F121</f>
        <v>35.15</v>
      </c>
      <c r="L281" s="53"/>
      <c r="U281" s="98">
        <v>35.15</v>
      </c>
      <c r="V281" s="1798">
        <v>42.96</v>
      </c>
      <c r="W281" s="1798">
        <v>85.92</v>
      </c>
    </row>
    <row r="282" spans="1:23" ht="25.5" customHeight="1">
      <c r="A282" s="1627" t="s">
        <v>573</v>
      </c>
      <c r="B282" s="1374" t="s">
        <v>448</v>
      </c>
      <c r="C282" s="1319" t="s">
        <v>246</v>
      </c>
      <c r="D282" s="1864" t="s">
        <v>55</v>
      </c>
      <c r="E282" s="1067">
        <f>K282</f>
        <v>34.4</v>
      </c>
      <c r="F282" s="1311">
        <f>VLOOKUP(B282,'CADERNO DE COMPOSIÇÃO'!$A$8:$J$15448,10,FALSE)</f>
        <v>34.24</v>
      </c>
      <c r="G282" s="1362">
        <v>5</v>
      </c>
      <c r="H282" s="1472">
        <v>5</v>
      </c>
      <c r="I282" s="1652">
        <f t="shared" si="43"/>
        <v>41.85</v>
      </c>
      <c r="J282" s="77">
        <f t="shared" si="44"/>
        <v>209.25</v>
      </c>
      <c r="K282" s="561">
        <f>' COMP HIDR 1'!F135</f>
        <v>34.4</v>
      </c>
      <c r="L282" s="559"/>
      <c r="U282" s="98">
        <v>34.4</v>
      </c>
      <c r="V282" s="1798">
        <v>42.04</v>
      </c>
      <c r="W282" s="1798">
        <v>210.2</v>
      </c>
    </row>
    <row r="283" spans="1:23" ht="45" customHeight="1">
      <c r="A283" s="1086" t="s">
        <v>1754</v>
      </c>
      <c r="B283" s="1374">
        <v>89366</v>
      </c>
      <c r="C283" s="1319" t="s">
        <v>2883</v>
      </c>
      <c r="D283" s="1864" t="s">
        <v>55</v>
      </c>
      <c r="E283" s="1067">
        <v>18.760000000000002</v>
      </c>
      <c r="F283" s="1311">
        <f>VLOOKUP(B283,'CADERNO DE COMPOSIÇÃO'!$A$8:$J$15448,10,FALSE)</f>
        <v>18.689999999999998</v>
      </c>
      <c r="G283" s="1362">
        <v>1</v>
      </c>
      <c r="H283" s="1472">
        <v>1</v>
      </c>
      <c r="I283" s="1652">
        <f t="shared" si="43"/>
        <v>22.84</v>
      </c>
      <c r="J283" s="77">
        <f t="shared" si="44"/>
        <v>22.84</v>
      </c>
      <c r="K283" s="540"/>
      <c r="L283" s="53"/>
      <c r="U283" s="98">
        <v>18.760000000000002</v>
      </c>
      <c r="V283" s="1798">
        <v>22.93</v>
      </c>
      <c r="W283" s="1798">
        <v>22.93</v>
      </c>
    </row>
    <row r="284" spans="1:23" ht="31.5" customHeight="1">
      <c r="A284" s="1627" t="s">
        <v>1755</v>
      </c>
      <c r="B284" s="1374">
        <v>86884</v>
      </c>
      <c r="C284" s="1319" t="s">
        <v>2884</v>
      </c>
      <c r="D284" s="1864" t="s">
        <v>55</v>
      </c>
      <c r="E284" s="1067">
        <v>12.31</v>
      </c>
      <c r="F284" s="1311">
        <f>VLOOKUP(B284,'CADERNO DE COMPOSIÇÃO'!$A$8:$J$15448,10,FALSE)</f>
        <v>12.26</v>
      </c>
      <c r="G284" s="1362">
        <v>6</v>
      </c>
      <c r="H284" s="1472">
        <v>6</v>
      </c>
      <c r="I284" s="1652">
        <f t="shared" si="43"/>
        <v>14.98</v>
      </c>
      <c r="J284" s="77">
        <f t="shared" si="44"/>
        <v>89.88</v>
      </c>
      <c r="K284" s="540"/>
      <c r="L284" s="53"/>
      <c r="U284" s="98">
        <v>12.31</v>
      </c>
      <c r="V284" s="1798">
        <v>15.04</v>
      </c>
      <c r="W284" s="1798">
        <v>90.24</v>
      </c>
    </row>
    <row r="285" spans="1:23" ht="22.5" customHeight="1">
      <c r="A285" s="1627" t="s">
        <v>1756</v>
      </c>
      <c r="B285" s="1374" t="s">
        <v>2383</v>
      </c>
      <c r="C285" s="1372" t="s">
        <v>2382</v>
      </c>
      <c r="D285" s="1864" t="s">
        <v>55</v>
      </c>
      <c r="E285" s="1067">
        <f>K285</f>
        <v>1503.6100000000001</v>
      </c>
      <c r="F285" s="1311">
        <f>VLOOKUP(B285,'CADERNO DE COMPOSIÇÃO'!$A$8:$J$15448,10,FALSE)</f>
        <v>1494.9099999999999</v>
      </c>
      <c r="G285" s="1073">
        <v>1</v>
      </c>
      <c r="H285" s="1466"/>
      <c r="I285" s="1652">
        <f t="shared" si="43"/>
        <v>1827.22</v>
      </c>
      <c r="J285" s="77">
        <f t="shared" si="44"/>
        <v>1827.22</v>
      </c>
      <c r="K285" s="561">
        <f>' COMP HIDR 1'!F297</f>
        <v>1503.6100000000001</v>
      </c>
      <c r="L285" s="53"/>
      <c r="U285" s="98">
        <v>1503.6100000000001</v>
      </c>
      <c r="V285" s="1798">
        <v>1837.86</v>
      </c>
      <c r="W285" s="1798">
        <v>1837.86</v>
      </c>
    </row>
    <row r="286" spans="1:23" ht="33" customHeight="1">
      <c r="A286" s="1086" t="s">
        <v>1757</v>
      </c>
      <c r="B286" s="1465" t="s">
        <v>451</v>
      </c>
      <c r="C286" s="1372" t="s">
        <v>1745</v>
      </c>
      <c r="D286" s="1865" t="s">
        <v>55</v>
      </c>
      <c r="E286" s="1067">
        <f>K286</f>
        <v>1281.1200000000001</v>
      </c>
      <c r="F286" s="1311">
        <f>VLOOKUP(B286,'CADERNO DE COMPOSIÇÃO'!$A$8:$J$15448,10,FALSE)</f>
        <v>1273.8300000000002</v>
      </c>
      <c r="G286" s="1073">
        <v>4</v>
      </c>
      <c r="H286" s="1466">
        <v>4</v>
      </c>
      <c r="I286" s="1030">
        <f t="shared" si="43"/>
        <v>1557</v>
      </c>
      <c r="J286" s="1031">
        <f t="shared" si="44"/>
        <v>6228</v>
      </c>
      <c r="K286" s="561">
        <f>' COMP HIDR 1'!F148</f>
        <v>1281.1200000000001</v>
      </c>
      <c r="L286" s="53"/>
      <c r="U286" s="98">
        <v>1281.1200000000001</v>
      </c>
      <c r="V286" s="1798">
        <v>1565.91</v>
      </c>
      <c r="W286" s="1798">
        <v>6263.64</v>
      </c>
    </row>
    <row r="287" spans="1:23" ht="24" customHeight="1">
      <c r="A287" s="1627" t="s">
        <v>1758</v>
      </c>
      <c r="B287" s="1374" t="s">
        <v>1761</v>
      </c>
      <c r="C287" s="1319" t="s">
        <v>1765</v>
      </c>
      <c r="D287" s="1401" t="s">
        <v>55</v>
      </c>
      <c r="E287" s="1305">
        <f>K287</f>
        <v>28.3</v>
      </c>
      <c r="F287" s="1311">
        <f>VLOOKUP(B287,'CADERNO DE COMPOSIÇÃO'!$A$8:$J$15448,10,FALSE)</f>
        <v>28.23</v>
      </c>
      <c r="G287" s="1362">
        <v>2</v>
      </c>
      <c r="H287" s="1472">
        <v>2</v>
      </c>
      <c r="I287" s="1364">
        <f t="shared" si="43"/>
        <v>34.5</v>
      </c>
      <c r="J287" s="77">
        <f t="shared" si="44"/>
        <v>69</v>
      </c>
      <c r="K287" s="561">
        <f>' COMP HIDR 1'!F159</f>
        <v>28.3</v>
      </c>
      <c r="L287" s="53"/>
      <c r="U287" s="98">
        <v>28.3</v>
      </c>
      <c r="V287" s="1798">
        <v>34.590000000000003</v>
      </c>
      <c r="W287" s="1798">
        <v>69.180000000000007</v>
      </c>
    </row>
    <row r="288" spans="1:23" ht="45.75" customHeight="1">
      <c r="A288" s="1627" t="s">
        <v>1759</v>
      </c>
      <c r="B288" s="1468">
        <v>86931</v>
      </c>
      <c r="C288" s="1469" t="s">
        <v>1770</v>
      </c>
      <c r="D288" s="1864" t="s">
        <v>55</v>
      </c>
      <c r="E288" s="1396">
        <v>498.99</v>
      </c>
      <c r="F288" s="1311">
        <f>VLOOKUP(B288,'CADERNO DE COMPOSIÇÃO'!$A$8:$J$15448,10,FALSE)</f>
        <v>495.99</v>
      </c>
      <c r="G288" s="1359">
        <v>4</v>
      </c>
      <c r="H288" s="1470">
        <v>4</v>
      </c>
      <c r="I288" s="1471">
        <f t="shared" si="43"/>
        <v>606.24</v>
      </c>
      <c r="J288" s="1361">
        <f t="shared" si="44"/>
        <v>2424.96</v>
      </c>
      <c r="K288" s="540"/>
      <c r="L288" s="53"/>
      <c r="U288" s="98">
        <v>498.99</v>
      </c>
      <c r="V288" s="1798">
        <v>609.91</v>
      </c>
      <c r="W288" s="1798">
        <v>2439.64</v>
      </c>
    </row>
    <row r="289" spans="1:23" ht="57">
      <c r="A289" s="1086" t="s">
        <v>2378</v>
      </c>
      <c r="B289" s="563">
        <v>95472</v>
      </c>
      <c r="C289" s="1302" t="s">
        <v>1769</v>
      </c>
      <c r="D289" s="1864" t="s">
        <v>55</v>
      </c>
      <c r="E289" s="1067">
        <v>768.39</v>
      </c>
      <c r="F289" s="1311">
        <f>VLOOKUP(B289,'CADERNO DE COMPOSIÇÃO'!$A$8:$J$15448,10,FALSE)</f>
        <v>763.7700000000001</v>
      </c>
      <c r="G289" s="1362">
        <v>2</v>
      </c>
      <c r="H289" s="1472">
        <v>2</v>
      </c>
      <c r="I289" s="1652">
        <f t="shared" si="43"/>
        <v>933.55</v>
      </c>
      <c r="J289" s="77">
        <f t="shared" si="44"/>
        <v>1867.1</v>
      </c>
      <c r="K289" s="306"/>
      <c r="L289" s="53"/>
      <c r="U289" s="98">
        <v>768.39</v>
      </c>
      <c r="V289" s="1798">
        <v>939.2</v>
      </c>
      <c r="W289" s="1798">
        <v>1878.4</v>
      </c>
    </row>
    <row r="290" spans="1:23" ht="15.75" thickBot="1">
      <c r="A290" s="78"/>
      <c r="B290" s="1392"/>
      <c r="C290" s="1655"/>
      <c r="D290" s="1392"/>
      <c r="E290" s="1656"/>
      <c r="F290" s="1656"/>
      <c r="G290" s="1657"/>
      <c r="H290" s="1658"/>
      <c r="I290" s="1416" t="s">
        <v>15</v>
      </c>
      <c r="J290" s="79">
        <f>TRUNC(SUM(J260:J289),2)</f>
        <v>18018.419999999998</v>
      </c>
      <c r="K290" s="306"/>
      <c r="L290" s="53"/>
      <c r="U290" s="98"/>
      <c r="V290" s="1801" t="s">
        <v>15</v>
      </c>
      <c r="W290" s="1798">
        <v>18706.16</v>
      </c>
    </row>
    <row r="291" spans="1:23">
      <c r="A291" s="352">
        <v>14</v>
      </c>
      <c r="B291" s="353"/>
      <c r="C291" s="354" t="s">
        <v>1738</v>
      </c>
      <c r="D291" s="355"/>
      <c r="E291" s="1072"/>
      <c r="F291" s="1072"/>
      <c r="G291" s="355" t="str">
        <f t="shared" ref="G291" si="45">IF(OR(E291&lt;=0)," ",TRUNC(H291,2))</f>
        <v xml:space="preserve"> </v>
      </c>
      <c r="H291" s="357"/>
      <c r="I291" s="357" t="str">
        <f>IF(OR(E291&lt;=0)," ",TRUNC((E291*(1+$J$11)),2))</f>
        <v xml:space="preserve"> </v>
      </c>
      <c r="J291" s="358" t="str">
        <f>IF(OR(E291&lt;=0)," ",TRUNC((I291*G291),2))</f>
        <v xml:space="preserve"> </v>
      </c>
      <c r="K291" s="269" t="s">
        <v>1321</v>
      </c>
      <c r="L291" s="53"/>
      <c r="U291" s="98"/>
      <c r="V291" s="1798" t="s">
        <v>42</v>
      </c>
      <c r="W291" s="1798" t="s">
        <v>42</v>
      </c>
    </row>
    <row r="292" spans="1:23">
      <c r="A292" s="1627" t="s">
        <v>90</v>
      </c>
      <c r="B292" s="1374" t="s">
        <v>1768</v>
      </c>
      <c r="C292" s="1568" t="s">
        <v>1762</v>
      </c>
      <c r="D292" s="1401" t="s">
        <v>55</v>
      </c>
      <c r="E292" s="1321">
        <f>K292</f>
        <v>143.69999999999999</v>
      </c>
      <c r="F292" s="1311">
        <f>VLOOKUP(B292,'CADERNO DE COMPOSIÇÃO'!$A$8:$J$15448,10,FALSE)</f>
        <v>142.97</v>
      </c>
      <c r="G292" s="1649">
        <v>2</v>
      </c>
      <c r="H292" s="1580">
        <v>2</v>
      </c>
      <c r="I292" s="1659">
        <v>175.64</v>
      </c>
      <c r="J292" s="77">
        <v>351.28</v>
      </c>
      <c r="K292" s="561">
        <f>' COMP HIDR 1'!F171</f>
        <v>143.69999999999999</v>
      </c>
      <c r="L292" s="53"/>
      <c r="U292" s="98">
        <v>143.69999999999999</v>
      </c>
      <c r="V292" s="1798">
        <v>175.64</v>
      </c>
      <c r="W292" s="1798">
        <v>351.28</v>
      </c>
    </row>
    <row r="293" spans="1:23" ht="61.5" customHeight="1">
      <c r="A293" s="1627" t="s">
        <v>91</v>
      </c>
      <c r="B293" s="1295">
        <v>86943</v>
      </c>
      <c r="C293" s="1793" t="s">
        <v>1771</v>
      </c>
      <c r="D293" s="1401" t="s">
        <v>55</v>
      </c>
      <c r="E293" s="1321">
        <v>262.18</v>
      </c>
      <c r="F293" s="1311">
        <f>VLOOKUP(B293,'CADERNO DE COMPOSIÇÃO'!$A$8:$J$15448,10,FALSE)</f>
        <v>260.58</v>
      </c>
      <c r="G293" s="1649">
        <v>4</v>
      </c>
      <c r="H293" s="1580">
        <v>4</v>
      </c>
      <c r="I293" s="1659">
        <v>320.45999999999998</v>
      </c>
      <c r="J293" s="77">
        <v>1281.8399999999999</v>
      </c>
      <c r="K293" s="306"/>
      <c r="L293" s="53"/>
      <c r="U293" s="98">
        <v>262.18</v>
      </c>
      <c r="V293" s="1798">
        <v>320.45999999999998</v>
      </c>
      <c r="W293" s="1798">
        <v>1281.8399999999999</v>
      </c>
    </row>
    <row r="294" spans="1:23" ht="28.5">
      <c r="A294" s="1627" t="s">
        <v>874</v>
      </c>
      <c r="B294" s="1295">
        <v>86903</v>
      </c>
      <c r="C294" s="1302" t="s">
        <v>1772</v>
      </c>
      <c r="D294" s="1401" t="s">
        <v>55</v>
      </c>
      <c r="E294" s="1321">
        <v>353.8</v>
      </c>
      <c r="F294" s="1311">
        <f>VLOOKUP(B294,'CADERNO DE COMPOSIÇÃO'!$A$8:$J$15448,10,FALSE)</f>
        <v>351.92</v>
      </c>
      <c r="G294" s="1649">
        <v>2</v>
      </c>
      <c r="H294" s="1580">
        <v>2</v>
      </c>
      <c r="I294" s="1659">
        <v>432.44</v>
      </c>
      <c r="J294" s="77">
        <v>864.88</v>
      </c>
      <c r="K294" s="306"/>
      <c r="L294" s="53"/>
      <c r="U294" s="98">
        <v>353.8</v>
      </c>
      <c r="V294" s="1798">
        <v>432.44</v>
      </c>
      <c r="W294" s="1798">
        <v>864.88</v>
      </c>
    </row>
    <row r="295" spans="1:23" ht="28.5">
      <c r="A295" s="1627" t="s">
        <v>880</v>
      </c>
      <c r="B295" s="1295">
        <v>86901</v>
      </c>
      <c r="C295" s="1793" t="s">
        <v>1949</v>
      </c>
      <c r="D295" s="1401" t="s">
        <v>55</v>
      </c>
      <c r="E295" s="1321">
        <v>154.6</v>
      </c>
      <c r="F295" s="1311">
        <f>VLOOKUP(B295,'CADERNO DE COMPOSIÇÃO'!$A$8:$J$15448,10,FALSE)</f>
        <v>153.83000000000001</v>
      </c>
      <c r="G295" s="1649">
        <v>4</v>
      </c>
      <c r="H295" s="1580">
        <v>4</v>
      </c>
      <c r="I295" s="1659">
        <v>188.96</v>
      </c>
      <c r="J295" s="77">
        <v>755.84</v>
      </c>
      <c r="K295" s="306"/>
      <c r="L295" s="53"/>
      <c r="U295" s="98">
        <v>154.6</v>
      </c>
      <c r="V295" s="1798">
        <v>188.96</v>
      </c>
      <c r="W295" s="1798">
        <v>755.84</v>
      </c>
    </row>
    <row r="296" spans="1:23" ht="28.5">
      <c r="A296" s="1627" t="s">
        <v>882</v>
      </c>
      <c r="B296" s="1295">
        <v>86900</v>
      </c>
      <c r="C296" s="1302" t="s">
        <v>1950</v>
      </c>
      <c r="D296" s="1401" t="s">
        <v>55</v>
      </c>
      <c r="E296" s="1321">
        <v>262.63</v>
      </c>
      <c r="F296" s="1311">
        <f>VLOOKUP(B296,'CADERNO DE COMPOSIÇÃO'!$A$8:$J$15448,10,FALSE)</f>
        <v>261.14000000000004</v>
      </c>
      <c r="G296" s="1649">
        <v>1</v>
      </c>
      <c r="H296" s="1580">
        <v>1</v>
      </c>
      <c r="I296" s="1659">
        <v>321.01</v>
      </c>
      <c r="J296" s="77">
        <v>321.01</v>
      </c>
      <c r="K296" s="306"/>
      <c r="L296" s="53"/>
      <c r="U296" s="98">
        <v>262.63</v>
      </c>
      <c r="V296" s="1798">
        <v>321.01</v>
      </c>
      <c r="W296" s="1798">
        <v>321.01</v>
      </c>
    </row>
    <row r="297" spans="1:23" ht="42.75">
      <c r="A297" s="1627" t="s">
        <v>884</v>
      </c>
      <c r="B297" s="1374">
        <v>86911</v>
      </c>
      <c r="C297" s="1319" t="s">
        <v>2885</v>
      </c>
      <c r="D297" s="1401" t="s">
        <v>55</v>
      </c>
      <c r="E297" s="1321">
        <v>89.56</v>
      </c>
      <c r="F297" s="1311">
        <f>VLOOKUP(B297,'CADERNO DE COMPOSIÇÃO'!$A$8:$J$15448,10,FALSE)</f>
        <v>89.039999999999992</v>
      </c>
      <c r="G297" s="1649">
        <v>1</v>
      </c>
      <c r="H297" s="1580">
        <v>1</v>
      </c>
      <c r="I297" s="1659">
        <v>109.46</v>
      </c>
      <c r="J297" s="77">
        <v>109.46</v>
      </c>
      <c r="K297" s="306"/>
      <c r="L297" s="53"/>
      <c r="U297" s="98">
        <v>89.56</v>
      </c>
      <c r="V297" s="1798">
        <v>109.46</v>
      </c>
      <c r="W297" s="1798">
        <v>109.46</v>
      </c>
    </row>
    <row r="298" spans="1:23" ht="28.5">
      <c r="A298" s="1627" t="s">
        <v>888</v>
      </c>
      <c r="B298" s="1374">
        <v>86915</v>
      </c>
      <c r="C298" s="1319" t="s">
        <v>2886</v>
      </c>
      <c r="D298" s="1401" t="s">
        <v>55</v>
      </c>
      <c r="E298" s="1321">
        <v>146.71</v>
      </c>
      <c r="F298" s="1311">
        <f>VLOOKUP(B298,'CADERNO DE COMPOSIÇÃO'!$A$8:$J$15448,10,FALSE)</f>
        <v>145.84000000000003</v>
      </c>
      <c r="G298" s="1649">
        <v>1</v>
      </c>
      <c r="H298" s="1580">
        <v>1</v>
      </c>
      <c r="I298" s="1659">
        <v>179.32</v>
      </c>
      <c r="J298" s="77">
        <v>179.32</v>
      </c>
      <c r="K298" s="306"/>
      <c r="L298" s="53"/>
      <c r="U298" s="98">
        <v>146.71</v>
      </c>
      <c r="V298" s="1798">
        <v>179.32</v>
      </c>
      <c r="W298" s="1798">
        <v>179.32</v>
      </c>
    </row>
    <row r="299" spans="1:23" ht="28.5">
      <c r="A299" s="1627" t="s">
        <v>890</v>
      </c>
      <c r="B299" s="1374">
        <v>86914</v>
      </c>
      <c r="C299" s="1319" t="s">
        <v>2887</v>
      </c>
      <c r="D299" s="1401" t="s">
        <v>55</v>
      </c>
      <c r="E299" s="1321">
        <v>100.51</v>
      </c>
      <c r="F299" s="1311">
        <f>VLOOKUP(B299,'CADERNO DE COMPOSIÇÃO'!$A$8:$J$15448,10,FALSE)</f>
        <v>99.93</v>
      </c>
      <c r="G299" s="1649">
        <v>1</v>
      </c>
      <c r="H299" s="1580">
        <v>1</v>
      </c>
      <c r="I299" s="1659">
        <v>122.85</v>
      </c>
      <c r="J299" s="77">
        <v>122.85</v>
      </c>
      <c r="K299" s="306"/>
      <c r="L299" s="53"/>
      <c r="U299" s="98">
        <v>100.51</v>
      </c>
      <c r="V299" s="1798">
        <v>122.85</v>
      </c>
      <c r="W299" s="1798">
        <v>122.85</v>
      </c>
    </row>
    <row r="300" spans="1:23" ht="29.25" customHeight="1">
      <c r="A300" s="1627" t="s">
        <v>921</v>
      </c>
      <c r="B300" s="1660" t="s">
        <v>527</v>
      </c>
      <c r="C300" s="1568" t="s">
        <v>1448</v>
      </c>
      <c r="D300" s="1401" t="s">
        <v>55</v>
      </c>
      <c r="E300" s="1321">
        <f>K300</f>
        <v>410.44</v>
      </c>
      <c r="F300" s="1311">
        <f>VLOOKUP(B300,'CADERNO DE COMPOSIÇÃO'!$A$8:$J$15448,10,FALSE)</f>
        <v>408.09999999999997</v>
      </c>
      <c r="G300" s="1649">
        <v>2</v>
      </c>
      <c r="H300" s="1580">
        <v>2</v>
      </c>
      <c r="I300" s="1659">
        <v>501.68</v>
      </c>
      <c r="J300" s="77">
        <v>1003.36</v>
      </c>
      <c r="K300" s="328">
        <f>'COMP CIVIL'!F111</f>
        <v>410.44</v>
      </c>
      <c r="L300" s="53"/>
      <c r="U300" s="98">
        <v>410.44</v>
      </c>
      <c r="V300" s="1798">
        <v>501.68</v>
      </c>
      <c r="W300" s="1798">
        <v>1003.36</v>
      </c>
    </row>
    <row r="301" spans="1:23" ht="28.5">
      <c r="A301" s="1627" t="s">
        <v>1254</v>
      </c>
      <c r="B301" s="1660" t="s">
        <v>108</v>
      </c>
      <c r="C301" s="1302" t="s">
        <v>405</v>
      </c>
      <c r="D301" s="1401" t="s">
        <v>55</v>
      </c>
      <c r="E301" s="1321">
        <f>K301</f>
        <v>309.54000000000002</v>
      </c>
      <c r="F301" s="1311">
        <f>VLOOKUP(B301,'CADERNO DE COMPOSIÇÃO'!$A$8:$J$15448,10,FALSE)</f>
        <v>307.8</v>
      </c>
      <c r="G301" s="1649">
        <v>2</v>
      </c>
      <c r="H301" s="1580">
        <v>2</v>
      </c>
      <c r="I301" s="1659">
        <v>378.35</v>
      </c>
      <c r="J301" s="77">
        <v>756.7</v>
      </c>
      <c r="K301" s="328">
        <f>'COMP CIVIL'!F254</f>
        <v>309.54000000000002</v>
      </c>
      <c r="L301" s="53"/>
      <c r="U301" s="98">
        <v>309.54000000000002</v>
      </c>
      <c r="V301" s="1798">
        <v>378.35</v>
      </c>
      <c r="W301" s="1798">
        <v>756.7</v>
      </c>
    </row>
    <row r="302" spans="1:23" ht="28.5">
      <c r="A302" s="1627" t="s">
        <v>1255</v>
      </c>
      <c r="B302" s="1660" t="s">
        <v>109</v>
      </c>
      <c r="C302" s="1302" t="s">
        <v>406</v>
      </c>
      <c r="D302" s="1401" t="s">
        <v>55</v>
      </c>
      <c r="E302" s="1321">
        <f>K302</f>
        <v>296.78000000000003</v>
      </c>
      <c r="F302" s="1311">
        <f>VLOOKUP(B302,'CADERNO DE COMPOSIÇÃO'!$A$8:$J$15448,10,FALSE)</f>
        <v>295.12</v>
      </c>
      <c r="G302" s="1649">
        <v>2</v>
      </c>
      <c r="H302" s="1580">
        <v>2</v>
      </c>
      <c r="I302" s="1650">
        <v>362.75</v>
      </c>
      <c r="J302" s="77">
        <v>725.5</v>
      </c>
      <c r="K302" s="328">
        <f>'COMP CIVIL'!F266</f>
        <v>296.78000000000003</v>
      </c>
      <c r="L302" s="53"/>
      <c r="U302" s="98">
        <v>296.78000000000003</v>
      </c>
      <c r="V302" s="1798">
        <v>362.75</v>
      </c>
      <c r="W302" s="1798">
        <v>725.5</v>
      </c>
    </row>
    <row r="303" spans="1:23" ht="28.5">
      <c r="A303" s="1627" t="s">
        <v>1256</v>
      </c>
      <c r="B303" s="1295">
        <v>95547</v>
      </c>
      <c r="C303" s="1302" t="s">
        <v>1436</v>
      </c>
      <c r="D303" s="1401" t="s">
        <v>55</v>
      </c>
      <c r="E303" s="1321">
        <v>74.5</v>
      </c>
      <c r="F303" s="1311">
        <f>VLOOKUP(B303,'CADERNO DE COMPOSIÇÃO'!$A$8:$J$15448,10,FALSE)</f>
        <v>74.110000000000014</v>
      </c>
      <c r="G303" s="1649">
        <v>4</v>
      </c>
      <c r="H303" s="1580">
        <v>4</v>
      </c>
      <c r="I303" s="1650">
        <v>91.06</v>
      </c>
      <c r="J303" s="77">
        <v>364.24</v>
      </c>
      <c r="K303" s="218"/>
      <c r="L303" s="53"/>
      <c r="U303" s="98">
        <v>74.5</v>
      </c>
      <c r="V303" s="1798">
        <v>91.06</v>
      </c>
      <c r="W303" s="1798">
        <v>364.24</v>
      </c>
    </row>
    <row r="304" spans="1:23" ht="43.5" customHeight="1">
      <c r="A304" s="1627" t="s">
        <v>1257</v>
      </c>
      <c r="B304" s="1475" t="s">
        <v>538</v>
      </c>
      <c r="C304" s="1568" t="s">
        <v>1437</v>
      </c>
      <c r="D304" s="1295" t="s">
        <v>46</v>
      </c>
      <c r="E304" s="1321">
        <f>K304</f>
        <v>1097.54</v>
      </c>
      <c r="F304" s="1311">
        <f>VLOOKUP(B304,'CADERNO DE COMPOSIÇÃO'!$A$8:$J$15448,10,FALSE)</f>
        <v>1091.5900000000001</v>
      </c>
      <c r="G304" s="1649">
        <v>1.62</v>
      </c>
      <c r="H304" s="1580">
        <v>1.62</v>
      </c>
      <c r="I304" s="1659">
        <v>1341.52</v>
      </c>
      <c r="J304" s="77">
        <v>2173.2600000000002</v>
      </c>
      <c r="K304" s="328">
        <f>'COMP CIVIL'!F280</f>
        <v>1097.54</v>
      </c>
      <c r="L304" s="53"/>
      <c r="U304" s="98">
        <v>1097.54</v>
      </c>
      <c r="V304" s="1798">
        <v>1341.52</v>
      </c>
      <c r="W304" s="1798">
        <v>2173.2600000000002</v>
      </c>
    </row>
    <row r="305" spans="1:23">
      <c r="A305" s="1627" t="s">
        <v>1258</v>
      </c>
      <c r="B305" s="1475" t="s">
        <v>546</v>
      </c>
      <c r="C305" s="1568" t="s">
        <v>1443</v>
      </c>
      <c r="D305" s="1864" t="s">
        <v>55</v>
      </c>
      <c r="E305" s="1321">
        <f>K305</f>
        <v>85.05</v>
      </c>
      <c r="F305" s="1311">
        <f>VLOOKUP(B305,'CADERNO DE COMPOSIÇÃO'!$A$8:$J$15448,10,FALSE)</f>
        <v>84.64</v>
      </c>
      <c r="G305" s="1649">
        <v>6</v>
      </c>
      <c r="H305" s="1580">
        <v>6</v>
      </c>
      <c r="I305" s="1659">
        <v>103.95</v>
      </c>
      <c r="J305" s="77">
        <v>623.70000000000005</v>
      </c>
      <c r="K305" s="328">
        <f>'COMP CIVIL'!F291</f>
        <v>85.05</v>
      </c>
      <c r="L305" s="53"/>
      <c r="U305" s="98">
        <v>85.05</v>
      </c>
      <c r="V305" s="1798">
        <v>103.95</v>
      </c>
      <c r="W305" s="1798">
        <v>623.70000000000005</v>
      </c>
    </row>
    <row r="306" spans="1:23">
      <c r="A306" s="1627" t="s">
        <v>1737</v>
      </c>
      <c r="B306" s="1475" t="s">
        <v>587</v>
      </c>
      <c r="C306" s="1568" t="s">
        <v>1446</v>
      </c>
      <c r="D306" s="1864" t="s">
        <v>55</v>
      </c>
      <c r="E306" s="1321">
        <f>K306</f>
        <v>85.05</v>
      </c>
      <c r="F306" s="1311">
        <f>VLOOKUP(B306,'CADERNO DE COMPOSIÇÃO'!$A$8:$J$15448,10,FALSE)</f>
        <v>84.64</v>
      </c>
      <c r="G306" s="1649">
        <v>4</v>
      </c>
      <c r="H306" s="1580">
        <v>4</v>
      </c>
      <c r="I306" s="1659">
        <v>103.95</v>
      </c>
      <c r="J306" s="77">
        <v>415.8</v>
      </c>
      <c r="K306" s="328">
        <f>'COMP CIVIL'!F302</f>
        <v>85.05</v>
      </c>
      <c r="L306" s="53"/>
      <c r="U306" s="98">
        <v>85.05</v>
      </c>
      <c r="V306" s="1798">
        <v>103.95</v>
      </c>
      <c r="W306" s="1798">
        <v>415.8</v>
      </c>
    </row>
    <row r="307" spans="1:23">
      <c r="A307" s="1467"/>
      <c r="B307" s="1591"/>
      <c r="C307" s="1591"/>
      <c r="D307" s="1591"/>
      <c r="E307" s="1592"/>
      <c r="F307" s="1592"/>
      <c r="G307" s="1593"/>
      <c r="H307" s="1727"/>
      <c r="I307" s="1404" t="s">
        <v>15</v>
      </c>
      <c r="J307" s="1728">
        <v>10049.040000000001</v>
      </c>
      <c r="K307" s="306"/>
      <c r="L307" s="53"/>
      <c r="U307" s="98"/>
      <c r="V307" s="1801" t="s">
        <v>15</v>
      </c>
      <c r="W307" s="1798">
        <v>10049.040000000001</v>
      </c>
    </row>
    <row r="308" spans="1:23">
      <c r="A308" s="1647">
        <v>15</v>
      </c>
      <c r="B308" s="1594"/>
      <c r="C308" s="1595" t="s">
        <v>248</v>
      </c>
      <c r="D308" s="1597"/>
      <c r="E308" s="1598"/>
      <c r="F308" s="1598"/>
      <c r="G308" s="1597"/>
      <c r="H308" s="1599"/>
      <c r="I308" s="1599"/>
      <c r="J308" s="1648"/>
      <c r="K308" s="269"/>
      <c r="L308" s="53"/>
      <c r="U308" s="98"/>
      <c r="V308" s="1798"/>
      <c r="W308" s="1798"/>
    </row>
    <row r="309" spans="1:23" ht="14.25" customHeight="1">
      <c r="A309" s="1661" t="s">
        <v>576</v>
      </c>
      <c r="B309" s="1662"/>
      <c r="C309" s="1663" t="s">
        <v>1675</v>
      </c>
      <c r="D309" s="1664"/>
      <c r="E309" s="1665"/>
      <c r="F309" s="1665"/>
      <c r="G309" s="1666"/>
      <c r="H309" s="1667"/>
      <c r="I309" s="1666"/>
      <c r="J309" s="1190"/>
      <c r="K309" s="269" t="s">
        <v>1325</v>
      </c>
      <c r="L309" s="53"/>
      <c r="U309" s="98"/>
      <c r="V309" s="1798"/>
      <c r="W309" s="1798"/>
    </row>
    <row r="310" spans="1:23" ht="45.75" customHeight="1">
      <c r="A310" s="1473" t="s">
        <v>1259</v>
      </c>
      <c r="B310" s="1111">
        <v>89707</v>
      </c>
      <c r="C310" s="1474" t="s">
        <v>2888</v>
      </c>
      <c r="D310" s="1865" t="s">
        <v>55</v>
      </c>
      <c r="E310" s="1067">
        <v>50.64</v>
      </c>
      <c r="F310" s="1311">
        <f>VLOOKUP(B310,'CADERNO DE COMPOSIÇÃO'!$A$8:$J$15448,10,FALSE)</f>
        <v>50.43</v>
      </c>
      <c r="G310" s="1073">
        <v>1</v>
      </c>
      <c r="H310" s="1101">
        <v>1</v>
      </c>
      <c r="I310" s="1028">
        <v>61.89</v>
      </c>
      <c r="J310" s="1031">
        <v>61.89</v>
      </c>
      <c r="K310" s="511" t="s">
        <v>426</v>
      </c>
      <c r="L310" s="53"/>
      <c r="U310" s="98">
        <v>50.64</v>
      </c>
      <c r="V310" s="1798">
        <v>61.89</v>
      </c>
      <c r="W310" s="1798">
        <v>61.89</v>
      </c>
    </row>
    <row r="311" spans="1:23" ht="33" customHeight="1">
      <c r="A311" s="1627" t="s">
        <v>1260</v>
      </c>
      <c r="B311" s="1374" t="s">
        <v>455</v>
      </c>
      <c r="C311" s="1618" t="s">
        <v>249</v>
      </c>
      <c r="D311" s="1401" t="s">
        <v>55</v>
      </c>
      <c r="E311" s="1305">
        <f>K311</f>
        <v>67</v>
      </c>
      <c r="F311" s="1311">
        <f>VLOOKUP(B311,'CADERNO DE COMPOSIÇÃO'!$A$8:$J$15448,10,FALSE)</f>
        <v>66.669999999999987</v>
      </c>
      <c r="G311" s="1362">
        <v>5</v>
      </c>
      <c r="H311" s="1368">
        <v>5</v>
      </c>
      <c r="I311" s="1364">
        <v>81.89</v>
      </c>
      <c r="J311" s="77">
        <v>409.45</v>
      </c>
      <c r="K311" s="617">
        <f>' COMP HIDR 1'!F187</f>
        <v>67</v>
      </c>
      <c r="L311" s="53"/>
      <c r="U311" s="98">
        <v>67</v>
      </c>
      <c r="V311" s="1798">
        <v>81.89</v>
      </c>
      <c r="W311" s="1798">
        <v>409.45</v>
      </c>
    </row>
    <row r="312" spans="1:23" ht="47.25" customHeight="1">
      <c r="A312" s="1615" t="s">
        <v>1261</v>
      </c>
      <c r="B312" s="1616">
        <v>89732</v>
      </c>
      <c r="C312" s="1614" t="s">
        <v>2889</v>
      </c>
      <c r="D312" s="1864" t="s">
        <v>55</v>
      </c>
      <c r="E312" s="1068">
        <v>16.170000000000002</v>
      </c>
      <c r="F312" s="1311">
        <f>VLOOKUP(B312,'CADERNO DE COMPOSIÇÃO'!$A$8:$J$15448,10,FALSE)</f>
        <v>16.09</v>
      </c>
      <c r="G312" s="1359">
        <v>4</v>
      </c>
      <c r="H312" s="1617">
        <v>4</v>
      </c>
      <c r="I312" s="1360">
        <v>19.760000000000002</v>
      </c>
      <c r="J312" s="1361">
        <v>79.040000000000006</v>
      </c>
      <c r="K312" s="510"/>
      <c r="L312" s="120"/>
      <c r="U312" s="98">
        <v>16.170000000000002</v>
      </c>
      <c r="V312" s="1798">
        <v>19.760000000000002</v>
      </c>
      <c r="W312" s="1798">
        <v>79.040000000000006</v>
      </c>
    </row>
    <row r="313" spans="1:23" ht="45.75" customHeight="1">
      <c r="A313" s="1668" t="s">
        <v>1262</v>
      </c>
      <c r="B313" s="1366">
        <v>89746</v>
      </c>
      <c r="C313" s="1618" t="s">
        <v>2890</v>
      </c>
      <c r="D313" s="1864" t="s">
        <v>55</v>
      </c>
      <c r="E313" s="1305">
        <v>31.02</v>
      </c>
      <c r="F313" s="1311">
        <f>VLOOKUP(B313,'CADERNO DE COMPOSIÇÃO'!$A$8:$J$15448,10,FALSE)</f>
        <v>30.86</v>
      </c>
      <c r="G313" s="1362">
        <v>7</v>
      </c>
      <c r="H313" s="1368">
        <v>7</v>
      </c>
      <c r="I313" s="1364">
        <v>37.909999999999997</v>
      </c>
      <c r="J313" s="77">
        <v>265.37</v>
      </c>
      <c r="K313" s="510"/>
      <c r="L313" s="120"/>
      <c r="U313" s="98">
        <v>31.02</v>
      </c>
      <c r="V313" s="1798">
        <v>37.909999999999997</v>
      </c>
      <c r="W313" s="1798">
        <v>265.37</v>
      </c>
    </row>
    <row r="314" spans="1:23" ht="46.5" customHeight="1">
      <c r="A314" s="1668" t="s">
        <v>1263</v>
      </c>
      <c r="B314" s="1366">
        <v>89737</v>
      </c>
      <c r="C314" s="1302" t="s">
        <v>2713</v>
      </c>
      <c r="D314" s="1864" t="s">
        <v>55</v>
      </c>
      <c r="E314" s="1305">
        <v>24.9</v>
      </c>
      <c r="F314" s="1311">
        <f>VLOOKUP(B314,'CADERNO DE COMPOSIÇÃO'!$A$8:$J$15448,10,FALSE)</f>
        <v>24.79</v>
      </c>
      <c r="G314" s="1362">
        <v>2</v>
      </c>
      <c r="H314" s="1368">
        <v>2</v>
      </c>
      <c r="I314" s="1364">
        <v>30.43</v>
      </c>
      <c r="J314" s="77">
        <v>60.86</v>
      </c>
      <c r="K314" s="510"/>
      <c r="L314" s="163"/>
      <c r="U314" s="98">
        <v>24.9</v>
      </c>
      <c r="V314" s="1798">
        <v>30.43</v>
      </c>
      <c r="W314" s="1798">
        <v>60.86</v>
      </c>
    </row>
    <row r="315" spans="1:23" ht="47.25" customHeight="1">
      <c r="A315" s="1668" t="s">
        <v>1264</v>
      </c>
      <c r="B315" s="1366">
        <v>89724</v>
      </c>
      <c r="C315" s="1302" t="s">
        <v>2453</v>
      </c>
      <c r="D315" s="1864" t="s">
        <v>55</v>
      </c>
      <c r="E315" s="1305">
        <v>12.96</v>
      </c>
      <c r="F315" s="1311">
        <f>VLOOKUP(B315,'CADERNO DE COMPOSIÇÃO'!$A$8:$J$15448,10,FALSE)</f>
        <v>12.899999999999999</v>
      </c>
      <c r="G315" s="1362">
        <v>7</v>
      </c>
      <c r="H315" s="1368">
        <v>7</v>
      </c>
      <c r="I315" s="1364">
        <v>15.84</v>
      </c>
      <c r="J315" s="77">
        <v>110.88</v>
      </c>
      <c r="K315" s="510"/>
      <c r="L315" s="120"/>
      <c r="U315" s="98">
        <v>12.96</v>
      </c>
      <c r="V315" s="1798">
        <v>15.84</v>
      </c>
      <c r="W315" s="1798">
        <v>110.88</v>
      </c>
    </row>
    <row r="316" spans="1:23" ht="48" customHeight="1">
      <c r="A316" s="1668" t="s">
        <v>1265</v>
      </c>
      <c r="B316" s="1366">
        <v>89731</v>
      </c>
      <c r="C316" s="1618" t="s">
        <v>2454</v>
      </c>
      <c r="D316" s="1864" t="s">
        <v>55</v>
      </c>
      <c r="E316" s="1305">
        <v>15.29</v>
      </c>
      <c r="F316" s="1311">
        <f>VLOOKUP(B316,'CADERNO DE COMPOSIÇÃO'!$A$8:$J$15448,10,FALSE)</f>
        <v>15.209999999999999</v>
      </c>
      <c r="G316" s="1362">
        <v>7</v>
      </c>
      <c r="H316" s="1368">
        <v>7</v>
      </c>
      <c r="I316" s="1364">
        <v>18.68</v>
      </c>
      <c r="J316" s="77">
        <v>130.76</v>
      </c>
      <c r="K316" s="510"/>
      <c r="L316" s="120"/>
      <c r="U316" s="98">
        <v>15.29</v>
      </c>
      <c r="V316" s="1798">
        <v>18.68</v>
      </c>
      <c r="W316" s="1798">
        <v>130.76</v>
      </c>
    </row>
    <row r="317" spans="1:23" ht="46.5" customHeight="1">
      <c r="A317" s="1668" t="s">
        <v>1266</v>
      </c>
      <c r="B317" s="1366">
        <v>89744</v>
      </c>
      <c r="C317" s="1618" t="s">
        <v>2891</v>
      </c>
      <c r="D317" s="1864" t="s">
        <v>55</v>
      </c>
      <c r="E317" s="1305">
        <v>31.1</v>
      </c>
      <c r="F317" s="1311">
        <f>VLOOKUP(B317,'CADERNO DE COMPOSIÇÃO'!$A$8:$J$15448,10,FALSE)</f>
        <v>30.939999999999998</v>
      </c>
      <c r="G317" s="1362">
        <v>7</v>
      </c>
      <c r="H317" s="1368">
        <v>7</v>
      </c>
      <c r="I317" s="1364">
        <v>38.01</v>
      </c>
      <c r="J317" s="77">
        <v>266.07</v>
      </c>
      <c r="K317" s="510"/>
      <c r="L317" s="120"/>
      <c r="U317" s="98">
        <v>31.1</v>
      </c>
      <c r="V317" s="1798">
        <v>38.01</v>
      </c>
      <c r="W317" s="1798">
        <v>266.07</v>
      </c>
    </row>
    <row r="318" spans="1:23" ht="19.5" customHeight="1">
      <c r="A318" s="1668" t="s">
        <v>1267</v>
      </c>
      <c r="B318" s="1366" t="s">
        <v>1929</v>
      </c>
      <c r="C318" s="1618" t="s">
        <v>1930</v>
      </c>
      <c r="D318" s="1864" t="s">
        <v>55</v>
      </c>
      <c r="E318" s="1305">
        <f>K318</f>
        <v>41.78</v>
      </c>
      <c r="F318" s="1311">
        <f>VLOOKUP(B318,'CADERNO DE COMPOSIÇÃO'!$A$8:$J$15448,10,FALSE)</f>
        <v>41.58</v>
      </c>
      <c r="G318" s="1362">
        <v>7</v>
      </c>
      <c r="H318" s="1368">
        <v>7</v>
      </c>
      <c r="I318" s="1364">
        <v>51.06</v>
      </c>
      <c r="J318" s="77">
        <v>357.42</v>
      </c>
      <c r="K318" s="617">
        <f>' COMP HIDR 1'!F199</f>
        <v>41.78</v>
      </c>
      <c r="L318" s="120"/>
      <c r="U318" s="98">
        <v>41.78</v>
      </c>
      <c r="V318" s="1798">
        <v>51.06</v>
      </c>
      <c r="W318" s="1798">
        <v>357.42</v>
      </c>
    </row>
    <row r="319" spans="1:23" ht="49.5" customHeight="1">
      <c r="A319" s="1668" t="s">
        <v>1268</v>
      </c>
      <c r="B319" s="1366" t="s">
        <v>1933</v>
      </c>
      <c r="C319" s="1669" t="s">
        <v>1918</v>
      </c>
      <c r="D319" s="1864" t="s">
        <v>55</v>
      </c>
      <c r="E319" s="1305">
        <f>K319</f>
        <v>42.08</v>
      </c>
      <c r="F319" s="1311">
        <f>VLOOKUP(B319,'CADERNO DE COMPOSIÇÃO'!$A$8:$J$15448,10,FALSE)</f>
        <v>41.86</v>
      </c>
      <c r="G319" s="1362">
        <v>2</v>
      </c>
      <c r="H319" s="1368">
        <v>2</v>
      </c>
      <c r="I319" s="1364">
        <v>51.43</v>
      </c>
      <c r="J319" s="77">
        <v>102.86</v>
      </c>
      <c r="K319" s="617">
        <f>' COMP HIDR 1'!F213</f>
        <v>42.08</v>
      </c>
      <c r="L319" s="120"/>
      <c r="U319" s="98">
        <v>42.08</v>
      </c>
      <c r="V319" s="1798">
        <v>51.43</v>
      </c>
      <c r="W319" s="1798">
        <v>102.86</v>
      </c>
    </row>
    <row r="320" spans="1:23" ht="49.5" customHeight="1">
      <c r="A320" s="1668" t="s">
        <v>1269</v>
      </c>
      <c r="B320" s="1571">
        <v>89785</v>
      </c>
      <c r="C320" s="1302" t="s">
        <v>2892</v>
      </c>
      <c r="D320" s="1864" t="s">
        <v>55</v>
      </c>
      <c r="E320" s="1305">
        <v>29.14</v>
      </c>
      <c r="F320" s="1311">
        <f>VLOOKUP(B320,'CADERNO DE COMPOSIÇÃO'!$A$8:$J$15448,10,FALSE)</f>
        <v>28.99</v>
      </c>
      <c r="G320" s="1362">
        <v>2</v>
      </c>
      <c r="H320" s="1368">
        <v>2</v>
      </c>
      <c r="I320" s="1364">
        <v>35.61</v>
      </c>
      <c r="J320" s="77">
        <v>71.22</v>
      </c>
      <c r="K320" s="510"/>
      <c r="L320" s="120"/>
      <c r="U320" s="98">
        <v>29.14</v>
      </c>
      <c r="V320" s="1798">
        <v>35.61</v>
      </c>
      <c r="W320" s="1798">
        <v>71.22</v>
      </c>
    </row>
    <row r="321" spans="1:23" ht="42.75">
      <c r="A321" s="1627" t="s">
        <v>1270</v>
      </c>
      <c r="B321" s="1670">
        <v>89797</v>
      </c>
      <c r="C321" s="1669" t="s">
        <v>2893</v>
      </c>
      <c r="D321" s="1401" t="s">
        <v>55</v>
      </c>
      <c r="E321" s="1305">
        <v>58.26</v>
      </c>
      <c r="F321" s="1311">
        <f>VLOOKUP(B321,'CADERNO DE COMPOSIÇÃO'!$A$8:$J$15448,10,FALSE)</f>
        <v>57.94</v>
      </c>
      <c r="G321" s="1362">
        <v>4</v>
      </c>
      <c r="H321" s="1368">
        <v>4</v>
      </c>
      <c r="I321" s="1364">
        <v>71.209999999999994</v>
      </c>
      <c r="J321" s="77">
        <v>284.83999999999997</v>
      </c>
      <c r="K321" s="510"/>
      <c r="L321" s="120"/>
      <c r="U321" s="98">
        <v>58.26</v>
      </c>
      <c r="V321" s="1798">
        <v>71.209999999999994</v>
      </c>
      <c r="W321" s="1798">
        <v>284.83999999999997</v>
      </c>
    </row>
    <row r="322" spans="1:23" ht="42.75">
      <c r="A322" s="1627" t="s">
        <v>1271</v>
      </c>
      <c r="B322" s="1366">
        <v>89711</v>
      </c>
      <c r="C322" s="1618" t="s">
        <v>2450</v>
      </c>
      <c r="D322" s="1671" t="s">
        <v>54</v>
      </c>
      <c r="E322" s="1305">
        <v>21.07</v>
      </c>
      <c r="F322" s="1311">
        <f>VLOOKUP(B322,'CADERNO DE COMPOSIÇÃO'!$A$8:$J$15448,10,FALSE)</f>
        <v>21.01</v>
      </c>
      <c r="G322" s="1362">
        <v>9.7200000000000006</v>
      </c>
      <c r="H322" s="1368">
        <v>9.7200000000000006</v>
      </c>
      <c r="I322" s="1364">
        <v>25.75</v>
      </c>
      <c r="J322" s="77">
        <v>250.29</v>
      </c>
      <c r="K322" s="222"/>
      <c r="L322" s="120"/>
      <c r="U322" s="98">
        <v>21.07</v>
      </c>
      <c r="V322" s="1798">
        <v>25.75</v>
      </c>
      <c r="W322" s="1798">
        <v>250.29</v>
      </c>
    </row>
    <row r="323" spans="1:23" ht="42.75">
      <c r="A323" s="1668" t="s">
        <v>1272</v>
      </c>
      <c r="B323" s="1366">
        <v>89712</v>
      </c>
      <c r="C323" s="1618" t="s">
        <v>2451</v>
      </c>
      <c r="D323" s="1671" t="s">
        <v>54</v>
      </c>
      <c r="E323" s="1305">
        <v>27.77</v>
      </c>
      <c r="F323" s="1311">
        <f>VLOOKUP(B323,'CADERNO DE COMPOSIÇÃO'!$A$8:$J$15448,10,FALSE)</f>
        <v>27.68</v>
      </c>
      <c r="G323" s="1362">
        <v>29.38</v>
      </c>
      <c r="H323" s="1368">
        <v>29.38</v>
      </c>
      <c r="I323" s="1364">
        <v>33.94</v>
      </c>
      <c r="J323" s="77">
        <v>997.15</v>
      </c>
      <c r="K323" s="222"/>
      <c r="L323" s="120"/>
      <c r="U323" s="98">
        <v>27.77</v>
      </c>
      <c r="V323" s="1798">
        <v>33.94</v>
      </c>
      <c r="W323" s="1798">
        <v>997.15</v>
      </c>
    </row>
    <row r="324" spans="1:23" ht="49.5" customHeight="1">
      <c r="A324" s="1668" t="s">
        <v>1273</v>
      </c>
      <c r="B324" s="1366">
        <v>89714</v>
      </c>
      <c r="C324" s="1618" t="s">
        <v>2452</v>
      </c>
      <c r="D324" s="1671" t="s">
        <v>54</v>
      </c>
      <c r="E324" s="1067">
        <v>41.92</v>
      </c>
      <c r="F324" s="1311">
        <f>VLOOKUP(B324,'CADERNO DE COMPOSIÇÃO'!$A$8:$J$15448,10,FALSE)</f>
        <v>41.78</v>
      </c>
      <c r="G324" s="1362">
        <v>22.94</v>
      </c>
      <c r="H324" s="1368">
        <v>22.94</v>
      </c>
      <c r="I324" s="1364">
        <v>51.23</v>
      </c>
      <c r="J324" s="77">
        <v>1175.21</v>
      </c>
      <c r="K324" s="222"/>
      <c r="L324" s="120"/>
      <c r="U324" s="98">
        <v>41.92</v>
      </c>
      <c r="V324" s="1798">
        <v>51.23</v>
      </c>
      <c r="W324" s="1798">
        <v>1175.21</v>
      </c>
    </row>
    <row r="325" spans="1:23" ht="63" customHeight="1">
      <c r="A325" s="1668" t="s">
        <v>1274</v>
      </c>
      <c r="B325" s="1571">
        <v>91794</v>
      </c>
      <c r="C325" s="1302" t="s">
        <v>1936</v>
      </c>
      <c r="D325" s="1671" t="s">
        <v>54</v>
      </c>
      <c r="E325" s="1305">
        <v>50.05</v>
      </c>
      <c r="F325" s="1311">
        <f>VLOOKUP(B325,'CADERNO DE COMPOSIÇÃO'!$A$8:$J$15448,10,FALSE)</f>
        <v>49.73</v>
      </c>
      <c r="G325" s="1362">
        <v>1.84</v>
      </c>
      <c r="H325" s="1368">
        <v>1.84</v>
      </c>
      <c r="I325" s="1364">
        <v>61.17</v>
      </c>
      <c r="J325" s="77">
        <v>112.55</v>
      </c>
      <c r="K325" s="509"/>
      <c r="L325" s="120"/>
      <c r="U325" s="98">
        <v>50.05</v>
      </c>
      <c r="V325" s="1798">
        <v>61.17</v>
      </c>
      <c r="W325" s="1798">
        <v>112.55</v>
      </c>
    </row>
    <row r="326" spans="1:23" ht="42.75">
      <c r="A326" s="1473" t="s">
        <v>1275</v>
      </c>
      <c r="B326" s="1111">
        <v>89784</v>
      </c>
      <c r="C326" s="1474" t="s">
        <v>2456</v>
      </c>
      <c r="D326" s="1865" t="s">
        <v>55</v>
      </c>
      <c r="E326" s="1067">
        <v>26.64</v>
      </c>
      <c r="F326" s="1311">
        <f>VLOOKUP(B326,'CADERNO DE COMPOSIÇÃO'!$A$8:$J$15448,10,FALSE)</f>
        <v>26.5</v>
      </c>
      <c r="G326" s="1073">
        <v>5</v>
      </c>
      <c r="H326" s="1101">
        <v>5</v>
      </c>
      <c r="I326" s="1028">
        <v>32.56</v>
      </c>
      <c r="J326" s="1031">
        <v>162.80000000000001</v>
      </c>
      <c r="K326" s="222"/>
      <c r="L326" s="120"/>
      <c r="U326" s="98">
        <v>26.64</v>
      </c>
      <c r="V326" s="1798">
        <v>32.56</v>
      </c>
      <c r="W326" s="1798">
        <v>162.80000000000001</v>
      </c>
    </row>
    <row r="327" spans="1:23" ht="28.5">
      <c r="A327" s="1627" t="s">
        <v>1276</v>
      </c>
      <c r="B327" s="1366" t="s">
        <v>457</v>
      </c>
      <c r="C327" s="1319" t="s">
        <v>1920</v>
      </c>
      <c r="D327" s="1401" t="s">
        <v>55</v>
      </c>
      <c r="E327" s="1305">
        <f>K327</f>
        <v>63.52</v>
      </c>
      <c r="F327" s="1311">
        <f>VLOOKUP(B327,'CADERNO DE COMPOSIÇÃO'!$A$8:$J$15448,10,FALSE)</f>
        <v>63.29</v>
      </c>
      <c r="G327" s="1362">
        <v>2</v>
      </c>
      <c r="H327" s="1368">
        <v>2</v>
      </c>
      <c r="I327" s="1364">
        <v>77.64</v>
      </c>
      <c r="J327" s="77">
        <v>155.28</v>
      </c>
      <c r="K327" s="621">
        <f>' COMP HIDR 1'!F226</f>
        <v>63.52</v>
      </c>
      <c r="L327" s="120"/>
      <c r="U327" s="98">
        <v>63.52</v>
      </c>
      <c r="V327" s="1798">
        <v>77.64</v>
      </c>
      <c r="W327" s="1798">
        <v>155.28</v>
      </c>
    </row>
    <row r="328" spans="1:23">
      <c r="A328" s="1668" t="s">
        <v>1277</v>
      </c>
      <c r="B328" s="1366" t="s">
        <v>460</v>
      </c>
      <c r="C328" s="1618" t="s">
        <v>1945</v>
      </c>
      <c r="D328" s="1864" t="s">
        <v>55</v>
      </c>
      <c r="E328" s="1305">
        <f>K328</f>
        <v>14.46</v>
      </c>
      <c r="F328" s="1311">
        <f>VLOOKUP(B328,'CADERNO DE COMPOSIÇÃO'!$A$8:$J$15448,10,FALSE)</f>
        <v>14.4</v>
      </c>
      <c r="G328" s="1362">
        <v>8</v>
      </c>
      <c r="H328" s="1368">
        <v>8</v>
      </c>
      <c r="I328" s="1364">
        <v>17.670000000000002</v>
      </c>
      <c r="J328" s="77">
        <v>141.36000000000001</v>
      </c>
      <c r="K328" s="621">
        <f>' COMP HIDR 1'!F262</f>
        <v>14.46</v>
      </c>
      <c r="L328" s="120"/>
      <c r="U328" s="98">
        <v>14.46</v>
      </c>
      <c r="V328" s="1798">
        <v>17.670000000000002</v>
      </c>
      <c r="W328" s="1798">
        <v>141.36000000000001</v>
      </c>
    </row>
    <row r="329" spans="1:23">
      <c r="A329" s="1668" t="s">
        <v>1921</v>
      </c>
      <c r="B329" s="1366" t="s">
        <v>461</v>
      </c>
      <c r="C329" s="1319" t="s">
        <v>1946</v>
      </c>
      <c r="D329" s="1864" t="s">
        <v>55</v>
      </c>
      <c r="E329" s="1305">
        <f>K329</f>
        <v>20.939999999999998</v>
      </c>
      <c r="F329" s="1311">
        <f>VLOOKUP(B329,'CADERNO DE COMPOSIÇÃO'!$A$8:$J$15448,10,FALSE)</f>
        <v>20.839999999999996</v>
      </c>
      <c r="G329" s="1362">
        <v>1</v>
      </c>
      <c r="H329" s="1368">
        <v>1</v>
      </c>
      <c r="I329" s="1364">
        <v>25.59</v>
      </c>
      <c r="J329" s="77">
        <v>25.59</v>
      </c>
      <c r="K329" s="621">
        <f>' COMP HIDR 1'!F275</f>
        <v>20.939999999999998</v>
      </c>
      <c r="L329" s="120"/>
      <c r="U329" s="98">
        <v>20.939999999999998</v>
      </c>
      <c r="V329" s="1798">
        <v>25.59</v>
      </c>
      <c r="W329" s="1798">
        <v>25.59</v>
      </c>
    </row>
    <row r="330" spans="1:23" ht="18.75" customHeight="1">
      <c r="A330" s="1668" t="s">
        <v>1922</v>
      </c>
      <c r="B330" s="1366" t="s">
        <v>462</v>
      </c>
      <c r="C330" s="1618" t="s">
        <v>1948</v>
      </c>
      <c r="D330" s="1864" t="s">
        <v>55</v>
      </c>
      <c r="E330" s="1305">
        <f>K330</f>
        <v>446.32</v>
      </c>
      <c r="F330" s="1311">
        <f>VLOOKUP(B330,'CADERNO DE COMPOSIÇÃO'!$A$8:$J$15448,10,FALSE)</f>
        <v>443.78</v>
      </c>
      <c r="G330" s="1362">
        <v>3</v>
      </c>
      <c r="H330" s="1368">
        <v>3</v>
      </c>
      <c r="I330" s="1364">
        <v>545.53</v>
      </c>
      <c r="J330" s="77">
        <v>1636.59</v>
      </c>
      <c r="K330" s="222">
        <f>' COMP HIDR 1'!F286</f>
        <v>446.32</v>
      </c>
      <c r="L330" s="120"/>
      <c r="U330" s="98">
        <v>446.32</v>
      </c>
      <c r="V330" s="1798">
        <v>545.53</v>
      </c>
      <c r="W330" s="1798">
        <v>1636.59</v>
      </c>
    </row>
    <row r="331" spans="1:23" ht="28.5" customHeight="1">
      <c r="A331" s="1668" t="s">
        <v>1923</v>
      </c>
      <c r="B331" s="1366">
        <v>98110</v>
      </c>
      <c r="C331" s="1302" t="s">
        <v>1947</v>
      </c>
      <c r="D331" s="1864" t="s">
        <v>55</v>
      </c>
      <c r="E331" s="1305">
        <v>436.51</v>
      </c>
      <c r="F331" s="1311">
        <f>VLOOKUP(B331,'CADERNO DE COMPOSIÇÃO'!$A$8:$J$15448,10,FALSE)</f>
        <v>433.95</v>
      </c>
      <c r="G331" s="1362">
        <v>1</v>
      </c>
      <c r="H331" s="1368">
        <v>1</v>
      </c>
      <c r="I331" s="1364">
        <v>533.54</v>
      </c>
      <c r="J331" s="77">
        <v>533.54</v>
      </c>
      <c r="K331" s="222"/>
      <c r="L331" s="120"/>
      <c r="U331" s="98">
        <v>436.51</v>
      </c>
      <c r="V331" s="1798">
        <v>533.54</v>
      </c>
      <c r="W331" s="1798">
        <v>533.54</v>
      </c>
    </row>
    <row r="332" spans="1:23" ht="15.75" customHeight="1">
      <c r="A332" s="1668" t="s">
        <v>1924</v>
      </c>
      <c r="B332" s="1366" t="s">
        <v>458</v>
      </c>
      <c r="C332" s="1618" t="s">
        <v>2066</v>
      </c>
      <c r="D332" s="1864" t="s">
        <v>55</v>
      </c>
      <c r="E332" s="1067">
        <f>K332</f>
        <v>50.91</v>
      </c>
      <c r="F332" s="1311">
        <f>VLOOKUP(B332,'CADERNO DE COMPOSIÇÃO'!$A$8:$J$15448,10,FALSE)</f>
        <v>50.66</v>
      </c>
      <c r="G332" s="1073">
        <v>1</v>
      </c>
      <c r="H332" s="1101">
        <v>1</v>
      </c>
      <c r="I332" s="1364">
        <v>62.22</v>
      </c>
      <c r="J332" s="77">
        <v>62.22</v>
      </c>
      <c r="K332" s="222">
        <f>' COMP HIDR 1'!F238</f>
        <v>50.91</v>
      </c>
      <c r="L332" s="120"/>
      <c r="U332" s="98">
        <v>50.91</v>
      </c>
      <c r="V332" s="1798">
        <v>62.22</v>
      </c>
      <c r="W332" s="1798">
        <v>62.22</v>
      </c>
    </row>
    <row r="333" spans="1:23" ht="30" customHeight="1">
      <c r="A333" s="1668" t="s">
        <v>1925</v>
      </c>
      <c r="B333" s="1366">
        <v>86883</v>
      </c>
      <c r="C333" s="1302" t="s">
        <v>1943</v>
      </c>
      <c r="D333" s="1864" t="s">
        <v>55</v>
      </c>
      <c r="E333" s="1067">
        <v>15.2</v>
      </c>
      <c r="F333" s="1311">
        <f>VLOOKUP(B333,'CADERNO DE COMPOSIÇÃO'!$A$8:$J$15448,10,FALSE)</f>
        <v>15.12</v>
      </c>
      <c r="G333" s="1073">
        <v>7</v>
      </c>
      <c r="H333" s="1101">
        <v>7</v>
      </c>
      <c r="I333" s="1364">
        <v>18.57</v>
      </c>
      <c r="J333" s="77">
        <v>129.99</v>
      </c>
      <c r="K333" s="222"/>
      <c r="L333" s="120"/>
      <c r="U333" s="98">
        <v>15.2</v>
      </c>
      <c r="V333" s="1798">
        <v>18.57</v>
      </c>
      <c r="W333" s="1798">
        <v>129.99</v>
      </c>
    </row>
    <row r="334" spans="1:23" ht="15.75" customHeight="1">
      <c r="A334" s="1668" t="s">
        <v>1926</v>
      </c>
      <c r="B334" s="1366" t="s">
        <v>459</v>
      </c>
      <c r="C334" s="1618" t="s">
        <v>1944</v>
      </c>
      <c r="D334" s="1864" t="s">
        <v>55</v>
      </c>
      <c r="E334" s="1067">
        <f>K334</f>
        <v>11.04</v>
      </c>
      <c r="F334" s="1311">
        <f>VLOOKUP(B334,'CADERNO DE COMPOSIÇÃO'!$A$8:$J$15448,10,FALSE)</f>
        <v>11.01</v>
      </c>
      <c r="G334" s="1073">
        <v>2</v>
      </c>
      <c r="H334" s="1101">
        <v>2</v>
      </c>
      <c r="I334" s="1364">
        <v>13.49</v>
      </c>
      <c r="J334" s="77">
        <v>26.98</v>
      </c>
      <c r="K334" s="222">
        <f>' COMP HIDR 1'!F249</f>
        <v>11.04</v>
      </c>
      <c r="L334" s="120"/>
      <c r="U334" s="98">
        <v>11.04</v>
      </c>
      <c r="V334" s="1798">
        <v>13.49</v>
      </c>
      <c r="W334" s="1798">
        <v>26.98</v>
      </c>
    </row>
    <row r="335" spans="1:23" ht="30.75" customHeight="1">
      <c r="A335" s="1668" t="s">
        <v>1927</v>
      </c>
      <c r="B335" s="1672">
        <v>86879</v>
      </c>
      <c r="C335" s="1302" t="s">
        <v>1940</v>
      </c>
      <c r="D335" s="1864" t="s">
        <v>55</v>
      </c>
      <c r="E335" s="1067">
        <v>11.26</v>
      </c>
      <c r="F335" s="1311">
        <f>VLOOKUP(B335,'CADERNO DE COMPOSIÇÃO'!$A$8:$J$15448,10,FALSE)</f>
        <v>11.209999999999999</v>
      </c>
      <c r="G335" s="1073">
        <v>8</v>
      </c>
      <c r="H335" s="1101">
        <v>8</v>
      </c>
      <c r="I335" s="1364">
        <v>13.76</v>
      </c>
      <c r="J335" s="77">
        <v>110.08</v>
      </c>
      <c r="K335" s="222"/>
      <c r="L335" s="120"/>
      <c r="U335" s="98">
        <v>11.26</v>
      </c>
      <c r="V335" s="1798">
        <v>13.76</v>
      </c>
      <c r="W335" s="1798">
        <v>110.08</v>
      </c>
    </row>
    <row r="336" spans="1:23" ht="15.75" thickBot="1">
      <c r="A336" s="1624"/>
      <c r="B336" s="1392"/>
      <c r="C336" s="1655"/>
      <c r="D336" s="1392"/>
      <c r="E336" s="1320"/>
      <c r="F336" s="1311"/>
      <c r="G336" s="1415"/>
      <c r="H336" s="1673"/>
      <c r="I336" s="1674" t="s">
        <v>15</v>
      </c>
      <c r="J336" s="79">
        <v>7720.29</v>
      </c>
      <c r="K336" s="306"/>
      <c r="L336" s="120"/>
      <c r="U336" s="98"/>
      <c r="V336" s="1801" t="s">
        <v>15</v>
      </c>
      <c r="W336" s="1798">
        <v>7720.29</v>
      </c>
    </row>
    <row r="337" spans="1:23" ht="15.75">
      <c r="A337" s="330" t="s">
        <v>153</v>
      </c>
      <c r="B337" s="331"/>
      <c r="C337" s="332" t="s">
        <v>575</v>
      </c>
      <c r="D337" s="333"/>
      <c r="E337" s="644"/>
      <c r="F337" s="644"/>
      <c r="G337" s="645"/>
      <c r="H337" s="646"/>
      <c r="I337" s="645"/>
      <c r="J337" s="334"/>
      <c r="K337" s="306"/>
      <c r="L337" s="120"/>
      <c r="U337" s="98"/>
      <c r="V337" s="1798"/>
      <c r="W337" s="1798"/>
    </row>
    <row r="338" spans="1:23" ht="44.25" customHeight="1">
      <c r="A338" s="1675" t="s">
        <v>1278</v>
      </c>
      <c r="B338" s="335"/>
      <c r="C338" s="1676" t="s">
        <v>251</v>
      </c>
      <c r="D338" s="336"/>
      <c r="E338" s="647"/>
      <c r="F338" s="647"/>
      <c r="G338" s="648"/>
      <c r="H338" s="649"/>
      <c r="I338" s="648"/>
      <c r="J338" s="337"/>
      <c r="K338" s="269" t="s">
        <v>1325</v>
      </c>
      <c r="L338" s="120"/>
      <c r="U338" s="98"/>
      <c r="V338" s="1798"/>
      <c r="W338" s="1798"/>
    </row>
    <row r="339" spans="1:23" ht="28.5">
      <c r="A339" s="1677" t="s">
        <v>1279</v>
      </c>
      <c r="B339" s="1678">
        <v>96522</v>
      </c>
      <c r="C339" s="1303" t="s">
        <v>250</v>
      </c>
      <c r="D339" s="1307" t="s">
        <v>47</v>
      </c>
      <c r="E339" s="1301">
        <v>138.69999999999999</v>
      </c>
      <c r="F339" s="1311">
        <f>VLOOKUP(B339,'CADERNO DE COMPOSIÇÃO'!$A$8:$J$15448,10,FALSE)</f>
        <v>138.69999999999999</v>
      </c>
      <c r="G339" s="1362">
        <v>9.11</v>
      </c>
      <c r="H339" s="1653">
        <v>9.11</v>
      </c>
      <c r="I339" s="1364">
        <v>169.53</v>
      </c>
      <c r="J339" s="77">
        <v>1544.41</v>
      </c>
      <c r="K339" s="338"/>
      <c r="L339" s="120"/>
      <c r="U339" s="98">
        <v>138.69999999999999</v>
      </c>
      <c r="V339" s="1798">
        <v>169.53</v>
      </c>
      <c r="W339" s="1798">
        <v>1544.41</v>
      </c>
    </row>
    <row r="340" spans="1:23" ht="34.5" customHeight="1">
      <c r="A340" s="1677" t="s">
        <v>1280</v>
      </c>
      <c r="B340" s="1678">
        <v>100323</v>
      </c>
      <c r="C340" s="1302" t="s">
        <v>1984</v>
      </c>
      <c r="D340" s="1307" t="s">
        <v>47</v>
      </c>
      <c r="E340" s="1301">
        <v>173.51</v>
      </c>
      <c r="F340" s="1311">
        <f>VLOOKUP(B340,'CADERNO DE COMPOSIÇÃO'!$A$8:$J$15448,10,FALSE)</f>
        <v>172.65999999999997</v>
      </c>
      <c r="G340" s="1362">
        <v>0.76</v>
      </c>
      <c r="H340" s="1653">
        <v>0.76300000000000001</v>
      </c>
      <c r="I340" s="1364">
        <v>212.08</v>
      </c>
      <c r="J340" s="77">
        <v>161.18</v>
      </c>
      <c r="K340" s="338"/>
      <c r="L340" s="120"/>
      <c r="U340" s="98">
        <v>173.51</v>
      </c>
      <c r="V340" s="1798">
        <v>212.08</v>
      </c>
      <c r="W340" s="1798">
        <v>161.18</v>
      </c>
    </row>
    <row r="341" spans="1:23" ht="46.5" customHeight="1">
      <c r="A341" s="1677" t="s">
        <v>1281</v>
      </c>
      <c r="B341" s="1678">
        <v>101159</v>
      </c>
      <c r="C341" s="1302" t="s">
        <v>417</v>
      </c>
      <c r="D341" s="1304" t="s">
        <v>46</v>
      </c>
      <c r="E341" s="1301">
        <v>150.33000000000001</v>
      </c>
      <c r="F341" s="1311">
        <f>VLOOKUP(B341,'CADERNO DE COMPOSIÇÃO'!$A$8:$J$15448,10,FALSE)</f>
        <v>149.5</v>
      </c>
      <c r="G341" s="1362">
        <v>14.44</v>
      </c>
      <c r="H341" s="1653">
        <v>14.44</v>
      </c>
      <c r="I341" s="1364">
        <v>183.74</v>
      </c>
      <c r="J341" s="77">
        <v>2653.2</v>
      </c>
      <c r="K341" s="338"/>
      <c r="L341" s="372" t="s">
        <v>1981</v>
      </c>
      <c r="U341" s="98">
        <v>150.33000000000001</v>
      </c>
      <c r="V341" s="1798">
        <v>183.74</v>
      </c>
      <c r="W341" s="1798">
        <v>2653.2</v>
      </c>
    </row>
    <row r="342" spans="1:23" ht="30.75" customHeight="1">
      <c r="A342" s="1677" t="s">
        <v>1282</v>
      </c>
      <c r="B342" s="1295">
        <v>96536</v>
      </c>
      <c r="C342" s="1306" t="s">
        <v>397</v>
      </c>
      <c r="D342" s="1295" t="s">
        <v>46</v>
      </c>
      <c r="E342" s="1305">
        <v>75.89</v>
      </c>
      <c r="F342" s="1311">
        <f>VLOOKUP(B342,'CADERNO DE COMPOSIÇÃO'!$A$8:$J$15448,10,FALSE)</f>
        <v>75.63000000000001</v>
      </c>
      <c r="G342" s="1362">
        <v>7.54</v>
      </c>
      <c r="H342" s="1653">
        <v>7.54</v>
      </c>
      <c r="I342" s="1364">
        <v>92.76</v>
      </c>
      <c r="J342" s="77">
        <v>699.41</v>
      </c>
      <c r="K342" s="338"/>
      <c r="L342" s="372"/>
      <c r="U342" s="98">
        <v>75.89</v>
      </c>
      <c r="V342" s="1798">
        <v>92.76</v>
      </c>
      <c r="W342" s="1798">
        <v>699.41</v>
      </c>
    </row>
    <row r="343" spans="1:23" ht="35.25" customHeight="1">
      <c r="A343" s="1705" t="s">
        <v>1283</v>
      </c>
      <c r="B343" s="1295">
        <v>94965</v>
      </c>
      <c r="C343" s="1306" t="s">
        <v>2854</v>
      </c>
      <c r="D343" s="1307" t="s">
        <v>47</v>
      </c>
      <c r="E343" s="1305">
        <v>568</v>
      </c>
      <c r="F343" s="1311">
        <f>VLOOKUP(B343,'CADERNO DE COMPOSIÇÃO'!$A$8:$J$15448,10,FALSE)</f>
        <v>563.42999999999995</v>
      </c>
      <c r="G343" s="1362">
        <v>0.81</v>
      </c>
      <c r="H343" s="1653">
        <v>0.81699999999999995</v>
      </c>
      <c r="I343" s="1364">
        <v>694.26</v>
      </c>
      <c r="J343" s="77">
        <v>562.35</v>
      </c>
      <c r="K343" s="338"/>
      <c r="L343" s="372"/>
      <c r="U343" s="98">
        <v>568</v>
      </c>
      <c r="V343" s="1798">
        <v>694.26</v>
      </c>
      <c r="W343" s="1798">
        <v>562.35</v>
      </c>
    </row>
    <row r="344" spans="1:23" ht="30.75" customHeight="1">
      <c r="A344" s="1677" t="s">
        <v>1284</v>
      </c>
      <c r="B344" s="1295">
        <v>103673</v>
      </c>
      <c r="C344" s="1306" t="s">
        <v>2317</v>
      </c>
      <c r="D344" s="1307" t="s">
        <v>47</v>
      </c>
      <c r="E344" s="1305">
        <v>37.31</v>
      </c>
      <c r="F344" s="1311">
        <f>VLOOKUP(B344,'CADERNO DE COMPOSIÇÃO'!$A$8:$J$15448,10,FALSE)</f>
        <v>37.31</v>
      </c>
      <c r="G344" s="1362">
        <v>0.82</v>
      </c>
      <c r="H344" s="1653">
        <v>0.82</v>
      </c>
      <c r="I344" s="1364">
        <v>45.6</v>
      </c>
      <c r="J344" s="77">
        <v>37.39</v>
      </c>
      <c r="K344" s="338"/>
      <c r="L344" s="372"/>
      <c r="U344" s="98">
        <v>37.31</v>
      </c>
      <c r="V344" s="1798">
        <v>45.6</v>
      </c>
      <c r="W344" s="1798">
        <v>37.39</v>
      </c>
    </row>
    <row r="345" spans="1:23" ht="48.75" customHeight="1">
      <c r="A345" s="1677" t="s">
        <v>1285</v>
      </c>
      <c r="B345" s="1678">
        <v>87893</v>
      </c>
      <c r="C345" s="1302" t="s">
        <v>1983</v>
      </c>
      <c r="D345" s="1304" t="s">
        <v>46</v>
      </c>
      <c r="E345" s="1301">
        <v>7.02</v>
      </c>
      <c r="F345" s="1311">
        <f>VLOOKUP(B345,'CADERNO DE COMPOSIÇÃO'!$A$8:$J$15448,10,FALSE)</f>
        <v>7</v>
      </c>
      <c r="G345" s="1362">
        <v>0.75</v>
      </c>
      <c r="H345" s="1653">
        <v>0.754</v>
      </c>
      <c r="I345" s="1364">
        <v>8.58</v>
      </c>
      <c r="J345" s="77">
        <v>6.43</v>
      </c>
      <c r="K345" s="338"/>
      <c r="L345" s="120"/>
      <c r="U345" s="98">
        <v>7.02</v>
      </c>
      <c r="V345" s="1798">
        <v>8.58</v>
      </c>
      <c r="W345" s="1798">
        <v>6.43</v>
      </c>
    </row>
    <row r="346" spans="1:23" ht="42.75">
      <c r="A346" s="1677" t="s">
        <v>2018</v>
      </c>
      <c r="B346" s="1678">
        <v>97086</v>
      </c>
      <c r="C346" s="1302" t="s">
        <v>2742</v>
      </c>
      <c r="D346" s="1304" t="s">
        <v>46</v>
      </c>
      <c r="E346" s="1696">
        <v>120.54</v>
      </c>
      <c r="F346" s="1311">
        <f>VLOOKUP(B346,'CADERNO DE COMPOSIÇÃO'!$A$8:$J$15448,10,FALSE)</f>
        <v>120.33000000000001</v>
      </c>
      <c r="G346" s="1362">
        <v>3.8</v>
      </c>
      <c r="H346" s="1653">
        <v>3.8010000000000002</v>
      </c>
      <c r="I346" s="1364">
        <v>147.33000000000001</v>
      </c>
      <c r="J346" s="77">
        <v>559.85</v>
      </c>
      <c r="K346" s="338"/>
      <c r="L346" s="120"/>
      <c r="U346" s="98">
        <v>120.54</v>
      </c>
      <c r="V346" s="1798">
        <v>147.33000000000001</v>
      </c>
      <c r="W346" s="1798">
        <v>559.85</v>
      </c>
    </row>
    <row r="347" spans="1:23" ht="28.5">
      <c r="A347" s="1677" t="s">
        <v>2019</v>
      </c>
      <c r="B347" s="1299">
        <v>92767</v>
      </c>
      <c r="C347" s="1302" t="s">
        <v>2315</v>
      </c>
      <c r="D347" s="1295" t="s">
        <v>100</v>
      </c>
      <c r="E347" s="1301">
        <v>17.48</v>
      </c>
      <c r="F347" s="1311">
        <f>VLOOKUP(B347,'CADERNO DE COMPOSIÇÃO'!$A$8:$J$15448,10,FALSE)</f>
        <v>17.36</v>
      </c>
      <c r="G347" s="1362">
        <v>26.6</v>
      </c>
      <c r="H347" s="1653">
        <v>26.609000000000002</v>
      </c>
      <c r="I347" s="1364">
        <v>21.36</v>
      </c>
      <c r="J347" s="77">
        <v>568.16999999999996</v>
      </c>
      <c r="K347" s="338"/>
      <c r="L347" s="120"/>
      <c r="U347" s="98">
        <v>17.48</v>
      </c>
      <c r="V347" s="1798">
        <v>21.36</v>
      </c>
      <c r="W347" s="1798">
        <v>568.16999999999996</v>
      </c>
    </row>
    <row r="348" spans="1:23" ht="34.5" customHeight="1">
      <c r="A348" s="1677" t="s">
        <v>2020</v>
      </c>
      <c r="B348" s="1299">
        <v>98115</v>
      </c>
      <c r="C348" s="1302" t="s">
        <v>2318</v>
      </c>
      <c r="D348" s="1864" t="s">
        <v>55</v>
      </c>
      <c r="E348" s="1301">
        <v>99.33</v>
      </c>
      <c r="F348" s="1311">
        <f>VLOOKUP(B348,'CADERNO DE COMPOSIÇÃO'!$A$8:$J$15448,10,FALSE)</f>
        <v>98.76</v>
      </c>
      <c r="G348" s="1362">
        <v>1</v>
      </c>
      <c r="H348" s="1653">
        <v>1</v>
      </c>
      <c r="I348" s="1364">
        <v>121.41</v>
      </c>
      <c r="J348" s="77">
        <v>121.41</v>
      </c>
      <c r="K348" s="338"/>
      <c r="L348" s="120"/>
      <c r="U348" s="98">
        <v>99.33</v>
      </c>
      <c r="V348" s="1798">
        <v>121.41</v>
      </c>
      <c r="W348" s="1798">
        <v>121.41</v>
      </c>
    </row>
    <row r="349" spans="1:23">
      <c r="A349" s="1473"/>
      <c r="B349" s="1026"/>
      <c r="C349" s="1706"/>
      <c r="D349" s="1026"/>
      <c r="E349" s="1067"/>
      <c r="F349" s="1067"/>
      <c r="G349" s="1073" t="s">
        <v>42</v>
      </c>
      <c r="H349" s="1707"/>
      <c r="I349" s="1404" t="s">
        <v>15</v>
      </c>
      <c r="J349" s="1029">
        <v>6913.8</v>
      </c>
      <c r="K349" s="306"/>
      <c r="L349" s="120"/>
      <c r="U349" s="98"/>
      <c r="V349" s="1801" t="s">
        <v>15</v>
      </c>
      <c r="W349" s="1798">
        <v>6913.8</v>
      </c>
    </row>
    <row r="350" spans="1:23" ht="17.25" customHeight="1">
      <c r="A350" s="1733" t="s">
        <v>1286</v>
      </c>
      <c r="B350" s="1387"/>
      <c r="C350" s="1713" t="s">
        <v>1852</v>
      </c>
      <c r="D350" s="1711"/>
      <c r="E350" s="1712"/>
      <c r="F350" s="1712"/>
      <c r="G350" s="1712"/>
      <c r="H350" s="1712"/>
      <c r="I350" s="1712"/>
      <c r="J350" s="1734"/>
      <c r="K350" s="306"/>
      <c r="L350" s="120"/>
    </row>
    <row r="351" spans="1:23" ht="35.25" customHeight="1">
      <c r="A351" s="1708" t="s">
        <v>1287</v>
      </c>
      <c r="B351" s="1709">
        <v>96522</v>
      </c>
      <c r="C351" s="1710" t="s">
        <v>250</v>
      </c>
      <c r="D351" s="1566" t="s">
        <v>47</v>
      </c>
      <c r="E351" s="1696">
        <v>138.69999999999999</v>
      </c>
      <c r="F351" s="1311">
        <f>VLOOKUP(B351,'CADERNO DE COMPOSIÇÃO'!$A$8:$J$15448,10,FALSE)</f>
        <v>138.69999999999999</v>
      </c>
      <c r="G351" s="1359">
        <v>19.850000000000001</v>
      </c>
      <c r="H351" s="1617">
        <v>19.855</v>
      </c>
      <c r="I351" s="1360">
        <v>169.53</v>
      </c>
      <c r="J351" s="1361">
        <v>3365.17</v>
      </c>
      <c r="K351" s="306"/>
      <c r="L351" s="120"/>
      <c r="U351" s="98">
        <v>138.69999999999999</v>
      </c>
      <c r="V351" s="1798">
        <v>169.53</v>
      </c>
      <c r="W351" s="1798">
        <v>3365.17</v>
      </c>
    </row>
    <row r="352" spans="1:23" ht="31.5" customHeight="1">
      <c r="A352" s="1677" t="s">
        <v>1288</v>
      </c>
      <c r="B352" s="1309">
        <v>97084</v>
      </c>
      <c r="C352" s="1302" t="s">
        <v>2894</v>
      </c>
      <c r="D352" s="1304" t="s">
        <v>46</v>
      </c>
      <c r="E352" s="1067">
        <v>0.62</v>
      </c>
      <c r="F352" s="1311">
        <f>VLOOKUP(B352,'CADERNO DE COMPOSIÇÃO'!$A$8:$J$15448,10,FALSE)</f>
        <v>0.62</v>
      </c>
      <c r="G352" s="1362">
        <v>9.02</v>
      </c>
      <c r="H352" s="1101">
        <v>9.0250000000000004</v>
      </c>
      <c r="I352" s="1364">
        <v>0.75</v>
      </c>
      <c r="J352" s="77">
        <v>6.76</v>
      </c>
      <c r="K352" s="339"/>
      <c r="L352" s="120"/>
      <c r="U352" s="98">
        <v>0.62</v>
      </c>
      <c r="V352" s="1798">
        <v>0.75</v>
      </c>
      <c r="W352" s="1798">
        <v>6.76</v>
      </c>
    </row>
    <row r="353" spans="1:23" ht="30.75" customHeight="1">
      <c r="A353" s="1677" t="s">
        <v>1289</v>
      </c>
      <c r="B353" s="1299">
        <v>97087</v>
      </c>
      <c r="C353" s="1300" t="s">
        <v>2312</v>
      </c>
      <c r="D353" s="1304" t="s">
        <v>46</v>
      </c>
      <c r="E353" s="1301">
        <v>2.16</v>
      </c>
      <c r="F353" s="1311">
        <f>VLOOKUP(B353,'CADERNO DE COMPOSIÇÃO'!$A$8:$J$15448,10,FALSE)</f>
        <v>2.1399999999999997</v>
      </c>
      <c r="G353" s="1362">
        <v>9.02</v>
      </c>
      <c r="H353" s="1101">
        <v>9.0250000000000004</v>
      </c>
      <c r="I353" s="1364">
        <v>2.64</v>
      </c>
      <c r="J353" s="77">
        <v>23.81</v>
      </c>
      <c r="K353" s="629" t="e">
        <f>'COMP ETE 1'!#REF!</f>
        <v>#REF!</v>
      </c>
      <c r="L353" s="373"/>
      <c r="U353" s="98">
        <v>2.16</v>
      </c>
      <c r="V353" s="1798">
        <v>2.64</v>
      </c>
      <c r="W353" s="1798">
        <v>23.81</v>
      </c>
    </row>
    <row r="354" spans="1:23" ht="39.75" customHeight="1">
      <c r="A354" s="1677" t="s">
        <v>1290</v>
      </c>
      <c r="B354" s="1299">
        <v>97102</v>
      </c>
      <c r="C354" s="1303" t="s">
        <v>2314</v>
      </c>
      <c r="D354" s="1679" t="s">
        <v>47</v>
      </c>
      <c r="E354" s="1301">
        <v>267.07</v>
      </c>
      <c r="F354" s="1311">
        <f>VLOOKUP(B354,'CADERNO DE COMPOSIÇÃO'!$A$8:$J$15448,10,FALSE)</f>
        <v>265.45</v>
      </c>
      <c r="G354" s="1362">
        <v>1.44</v>
      </c>
      <c r="H354" s="1101">
        <v>1.4419999999999999</v>
      </c>
      <c r="I354" s="1364">
        <v>326.43</v>
      </c>
      <c r="J354" s="77">
        <v>470.05</v>
      </c>
      <c r="K354" s="339"/>
      <c r="L354" s="120"/>
      <c r="U354" s="98">
        <v>267.07</v>
      </c>
      <c r="V354" s="1798">
        <v>326.43</v>
      </c>
      <c r="W354" s="1798">
        <v>470.05</v>
      </c>
    </row>
    <row r="355" spans="1:23" ht="36" customHeight="1">
      <c r="A355" s="1677" t="s">
        <v>1291</v>
      </c>
      <c r="B355" s="1299">
        <v>92767</v>
      </c>
      <c r="C355" s="1302" t="s">
        <v>2315</v>
      </c>
      <c r="D355" s="1304" t="s">
        <v>100</v>
      </c>
      <c r="E355" s="1301">
        <v>17.48</v>
      </c>
      <c r="F355" s="1311">
        <f>VLOOKUP(B355,'CADERNO DE COMPOSIÇÃO'!$A$8:$J$15448,10,FALSE)</f>
        <v>17.36</v>
      </c>
      <c r="G355" s="1362">
        <v>75.53</v>
      </c>
      <c r="H355" s="1101">
        <v>75.53</v>
      </c>
      <c r="I355" s="1364">
        <v>21.36</v>
      </c>
      <c r="J355" s="77">
        <v>1613.32</v>
      </c>
      <c r="K355" s="339"/>
      <c r="L355" s="373" t="s">
        <v>1853</v>
      </c>
      <c r="U355" s="98">
        <v>17.48</v>
      </c>
      <c r="V355" s="1798">
        <v>21.36</v>
      </c>
      <c r="W355" s="1798">
        <v>1613.32</v>
      </c>
    </row>
    <row r="356" spans="1:23" ht="45.75" customHeight="1">
      <c r="A356" s="1677" t="s">
        <v>1292</v>
      </c>
      <c r="B356" s="1295">
        <v>92522</v>
      </c>
      <c r="C356" s="1302" t="s">
        <v>1667</v>
      </c>
      <c r="D356" s="1295" t="s">
        <v>46</v>
      </c>
      <c r="E356" s="1305">
        <v>47.84</v>
      </c>
      <c r="F356" s="1311">
        <f>VLOOKUP(B356,'CADERNO DE COMPOSIÇÃO'!$A$8:$J$15448,10,FALSE)</f>
        <v>47.64</v>
      </c>
      <c r="G356" s="1362">
        <v>5.39</v>
      </c>
      <c r="H356" s="1102">
        <v>5.39</v>
      </c>
      <c r="I356" s="1364">
        <v>58.47</v>
      </c>
      <c r="J356" s="77">
        <v>315.14999999999998</v>
      </c>
      <c r="K356" s="339"/>
      <c r="L356" s="120"/>
      <c r="U356" s="98">
        <v>47.84</v>
      </c>
      <c r="V356" s="1798">
        <v>58.47</v>
      </c>
      <c r="W356" s="1798">
        <v>315.14999999999998</v>
      </c>
    </row>
    <row r="357" spans="1:23" ht="20.25" customHeight="1">
      <c r="A357" s="1677" t="s">
        <v>1293</v>
      </c>
      <c r="B357" s="1309">
        <v>96995</v>
      </c>
      <c r="C357" s="431" t="s">
        <v>390</v>
      </c>
      <c r="D357" s="1307" t="s">
        <v>47</v>
      </c>
      <c r="E357" s="1066">
        <v>46.65</v>
      </c>
      <c r="F357" s="1311">
        <f>VLOOKUP(B357,'CADERNO DE COMPOSIÇÃO'!$A$8:$J$15448,10,FALSE)</f>
        <v>46.65</v>
      </c>
      <c r="G357" s="1362">
        <v>7.77</v>
      </c>
      <c r="H357" s="1102">
        <v>7.77</v>
      </c>
      <c r="I357" s="1364">
        <v>57.02</v>
      </c>
      <c r="J357" s="77">
        <v>443.04</v>
      </c>
      <c r="K357" s="306"/>
      <c r="L357" s="120"/>
      <c r="U357" s="1797">
        <v>46.65</v>
      </c>
      <c r="V357" s="1798">
        <v>57.02</v>
      </c>
      <c r="W357" s="1798">
        <v>443.04</v>
      </c>
    </row>
    <row r="358" spans="1:23" ht="48.75" customHeight="1">
      <c r="A358" s="1677" t="s">
        <v>1294</v>
      </c>
      <c r="B358" s="1295">
        <v>91815</v>
      </c>
      <c r="C358" s="1302" t="s">
        <v>2316</v>
      </c>
      <c r="D358" s="1295" t="s">
        <v>46</v>
      </c>
      <c r="E358" s="1067">
        <v>84.15</v>
      </c>
      <c r="F358" s="1311">
        <f>VLOOKUP(B358,'CADERNO DE COMPOSIÇÃO'!$A$8:$J$15448,10,FALSE)</f>
        <v>83.64</v>
      </c>
      <c r="G358" s="1362">
        <v>18.7</v>
      </c>
      <c r="H358" s="1101">
        <v>18.7</v>
      </c>
      <c r="I358" s="1364">
        <v>102.85</v>
      </c>
      <c r="J358" s="77">
        <v>1923.29</v>
      </c>
      <c r="K358" s="306"/>
      <c r="L358" s="373" t="s">
        <v>1856</v>
      </c>
      <c r="U358" s="98">
        <v>84.15</v>
      </c>
      <c r="V358" s="1798">
        <v>102.85</v>
      </c>
      <c r="W358" s="1798">
        <v>1923.29</v>
      </c>
    </row>
    <row r="359" spans="1:23" ht="48.75" customHeight="1">
      <c r="A359" s="1677" t="s">
        <v>1295</v>
      </c>
      <c r="B359" s="1678">
        <v>87893</v>
      </c>
      <c r="C359" s="1303" t="s">
        <v>1985</v>
      </c>
      <c r="D359" s="1304" t="s">
        <v>46</v>
      </c>
      <c r="E359" s="1067">
        <v>7.02</v>
      </c>
      <c r="F359" s="1311">
        <f>VLOOKUP(B359,'CADERNO DE COMPOSIÇÃO'!$A$8:$J$15448,10,FALSE)</f>
        <v>7</v>
      </c>
      <c r="G359" s="1362">
        <v>24.95</v>
      </c>
      <c r="H359" s="1101">
        <v>24.95</v>
      </c>
      <c r="I359" s="1364">
        <v>8.58</v>
      </c>
      <c r="J359" s="77">
        <v>214.07</v>
      </c>
      <c r="K359" s="219"/>
      <c r="L359" s="1023"/>
      <c r="M359" s="1023"/>
      <c r="U359" s="98">
        <v>7.02</v>
      </c>
      <c r="V359" s="1798">
        <v>8.58</v>
      </c>
      <c r="W359" s="1798">
        <v>214.07</v>
      </c>
    </row>
    <row r="360" spans="1:23" ht="28.5">
      <c r="A360" s="1677" t="s">
        <v>1296</v>
      </c>
      <c r="B360" s="1678">
        <v>98115</v>
      </c>
      <c r="C360" s="1302" t="s">
        <v>2318</v>
      </c>
      <c r="D360" s="1864" t="s">
        <v>55</v>
      </c>
      <c r="E360" s="1301">
        <v>99.33</v>
      </c>
      <c r="F360" s="1311">
        <f>VLOOKUP(B360,'CADERNO DE COMPOSIÇÃO'!$A$8:$J$15448,10,FALSE)</f>
        <v>98.76</v>
      </c>
      <c r="G360" s="1362">
        <v>4</v>
      </c>
      <c r="H360" s="1653">
        <v>4</v>
      </c>
      <c r="I360" s="1364">
        <v>121.41</v>
      </c>
      <c r="J360" s="77">
        <v>485.64</v>
      </c>
      <c r="K360" s="626"/>
      <c r="L360" s="340"/>
      <c r="U360" s="98">
        <v>99.33</v>
      </c>
      <c r="V360" s="1798">
        <v>121.41</v>
      </c>
      <c r="W360" s="1798">
        <v>485.64</v>
      </c>
    </row>
    <row r="361" spans="1:23" ht="17.25" customHeight="1">
      <c r="A361" s="1677" t="s">
        <v>1297</v>
      </c>
      <c r="B361" s="1680" t="s">
        <v>1855</v>
      </c>
      <c r="C361" s="1303" t="s">
        <v>2062</v>
      </c>
      <c r="D361" s="1304" t="s">
        <v>55</v>
      </c>
      <c r="E361" s="1067">
        <f>K361</f>
        <v>32.020000000000003</v>
      </c>
      <c r="F361" s="1311">
        <f>VLOOKUP(B361,'CADERNO DE COMPOSIÇÃO'!$A$8:$J$15448,10,FALSE)</f>
        <v>31.85</v>
      </c>
      <c r="G361" s="1362">
        <v>5.0999999999999996</v>
      </c>
      <c r="H361" s="1101">
        <v>5.0999999999999996</v>
      </c>
      <c r="I361" s="1364">
        <v>39.130000000000003</v>
      </c>
      <c r="J361" s="77">
        <v>199.56</v>
      </c>
      <c r="K361" s="328">
        <f>'COMP ETE 1'!F29</f>
        <v>32.020000000000003</v>
      </c>
      <c r="L361" s="220" t="s">
        <v>2063</v>
      </c>
      <c r="U361" s="98">
        <v>32.020000000000003</v>
      </c>
      <c r="V361" s="1798">
        <v>39.130000000000003</v>
      </c>
      <c r="W361" s="1798">
        <v>199.56</v>
      </c>
    </row>
    <row r="362" spans="1:23" ht="15.75" customHeight="1">
      <c r="A362" s="1677" t="s">
        <v>1298</v>
      </c>
      <c r="B362" s="1299">
        <v>102719</v>
      </c>
      <c r="C362" s="1302" t="s">
        <v>2313</v>
      </c>
      <c r="D362" s="1679" t="s">
        <v>47</v>
      </c>
      <c r="E362" s="1067">
        <v>149.76</v>
      </c>
      <c r="F362" s="1311">
        <f>VLOOKUP(B362,'CADERNO DE COMPOSIÇÃO'!$A$8:$J$15448,10,FALSE)</f>
        <v>149.05000000000001</v>
      </c>
      <c r="G362" s="1362">
        <v>1.36</v>
      </c>
      <c r="H362" s="1101">
        <v>1.36</v>
      </c>
      <c r="I362" s="1364">
        <v>183.05</v>
      </c>
      <c r="J362" s="77">
        <v>248.94</v>
      </c>
      <c r="K362" s="306"/>
      <c r="L362" s="220"/>
      <c r="U362" s="98">
        <v>149.76</v>
      </c>
      <c r="V362" s="1798">
        <v>183.05</v>
      </c>
      <c r="W362" s="1798">
        <v>248.94</v>
      </c>
    </row>
    <row r="363" spans="1:23">
      <c r="A363" s="1473"/>
      <c r="B363" s="1026"/>
      <c r="C363" s="1723"/>
      <c r="D363" s="1026"/>
      <c r="E363" s="1067"/>
      <c r="F363" s="1067"/>
      <c r="G363" s="1073" t="s">
        <v>42</v>
      </c>
      <c r="H363" s="1707"/>
      <c r="I363" s="1404" t="s">
        <v>15</v>
      </c>
      <c r="J363" s="1029">
        <v>9308.7999999999993</v>
      </c>
      <c r="K363" s="306"/>
      <c r="L363" s="120"/>
      <c r="U363" s="98"/>
      <c r="V363" s="1801" t="s">
        <v>15</v>
      </c>
      <c r="W363" s="1798">
        <v>9308.7999999999993</v>
      </c>
    </row>
    <row r="364" spans="1:23">
      <c r="A364" s="1647">
        <v>16</v>
      </c>
      <c r="B364" s="1594"/>
      <c r="C364" s="1595" t="s">
        <v>1964</v>
      </c>
      <c r="D364" s="1597"/>
      <c r="E364" s="1724"/>
      <c r="F364" s="1724"/>
      <c r="G364" s="1725"/>
      <c r="H364" s="1726"/>
      <c r="I364" s="1726"/>
      <c r="J364" s="1648"/>
      <c r="K364" s="269"/>
      <c r="L364" s="53"/>
      <c r="U364" s="98"/>
      <c r="V364" s="1798"/>
      <c r="W364" s="1798"/>
    </row>
    <row r="365" spans="1:23" ht="28.5">
      <c r="A365" s="1384" t="s">
        <v>154</v>
      </c>
      <c r="B365" s="1681" t="s">
        <v>1605</v>
      </c>
      <c r="C365" s="1618" t="s">
        <v>1959</v>
      </c>
      <c r="D365" s="1366" t="s">
        <v>46</v>
      </c>
      <c r="E365" s="1305">
        <f>K365</f>
        <v>978.05</v>
      </c>
      <c r="F365" s="1311">
        <f>VLOOKUP(B365,'CADERNO DE COMPOSIÇÃO'!$A$8:$J$15448,10,FALSE)</f>
        <v>973.05000000000007</v>
      </c>
      <c r="G365" s="1362">
        <v>2.4</v>
      </c>
      <c r="H365" s="1368">
        <v>2.4</v>
      </c>
      <c r="I365" s="1364">
        <v>1195.47</v>
      </c>
      <c r="J365" s="77">
        <v>2869.12</v>
      </c>
      <c r="K365" s="535">
        <f>'COMP CIVIL'!F436</f>
        <v>978.05</v>
      </c>
      <c r="L365" s="386"/>
      <c r="U365" s="98">
        <v>978.05</v>
      </c>
      <c r="V365" s="1798">
        <v>1195.47</v>
      </c>
      <c r="W365" s="1798">
        <v>2869.12</v>
      </c>
    </row>
    <row r="366" spans="1:23" ht="33" customHeight="1">
      <c r="A366" s="1384" t="s">
        <v>1965</v>
      </c>
      <c r="B366" s="1682">
        <v>100862</v>
      </c>
      <c r="C366" s="1302" t="s">
        <v>1969</v>
      </c>
      <c r="D366" s="1304" t="s">
        <v>55</v>
      </c>
      <c r="E366" s="1305">
        <v>42.76</v>
      </c>
      <c r="F366" s="1311">
        <f>VLOOKUP(B366,'CADERNO DE COMPOSIÇÃO'!$A$8:$J$15448,10,FALSE)</f>
        <v>42.57</v>
      </c>
      <c r="G366" s="1362">
        <v>4</v>
      </c>
      <c r="H366" s="1368">
        <v>4</v>
      </c>
      <c r="I366" s="1364">
        <v>52.26</v>
      </c>
      <c r="J366" s="77">
        <v>209.04</v>
      </c>
      <c r="K366" s="535"/>
      <c r="L366" s="386"/>
      <c r="U366" s="98">
        <v>42.76</v>
      </c>
      <c r="V366" s="1798">
        <v>52.26</v>
      </c>
      <c r="W366" s="1798">
        <v>209.04</v>
      </c>
    </row>
    <row r="367" spans="1:23" ht="31.5" customHeight="1">
      <c r="A367" s="1384" t="s">
        <v>172</v>
      </c>
      <c r="B367" s="1681" t="s">
        <v>1614</v>
      </c>
      <c r="C367" s="1618" t="s">
        <v>1596</v>
      </c>
      <c r="D367" s="1366" t="s">
        <v>54</v>
      </c>
      <c r="E367" s="1305">
        <f>K367</f>
        <v>104.55</v>
      </c>
      <c r="F367" s="1311">
        <f>VLOOKUP(B367,'CADERNO DE COMPOSIÇÃO'!$A$8:$J$15448,10,FALSE)</f>
        <v>103.97</v>
      </c>
      <c r="G367" s="1362">
        <v>7</v>
      </c>
      <c r="H367" s="1368">
        <v>7</v>
      </c>
      <c r="I367" s="1364">
        <v>127.79</v>
      </c>
      <c r="J367" s="77">
        <v>894.53</v>
      </c>
      <c r="K367" s="535">
        <f>'COMP CIVIL'!F449</f>
        <v>104.55</v>
      </c>
      <c r="L367" s="633"/>
      <c r="U367" s="98">
        <v>104.55</v>
      </c>
      <c r="V367" s="1798">
        <v>127.79</v>
      </c>
      <c r="W367" s="1798">
        <v>894.53</v>
      </c>
    </row>
    <row r="368" spans="1:23" ht="17.25" customHeight="1">
      <c r="A368" s="1384" t="s">
        <v>1381</v>
      </c>
      <c r="B368" s="1681" t="s">
        <v>1960</v>
      </c>
      <c r="C368" s="1618" t="s">
        <v>1970</v>
      </c>
      <c r="D368" s="1309" t="s">
        <v>46</v>
      </c>
      <c r="E368" s="1067">
        <f>K368</f>
        <v>339.55</v>
      </c>
      <c r="F368" s="1311">
        <f>VLOOKUP(B368,'CADERNO DE COMPOSIÇÃO'!$A$8:$J$15448,10,FALSE)</f>
        <v>337.98999999999995</v>
      </c>
      <c r="G368" s="1073">
        <v>0.03</v>
      </c>
      <c r="H368" s="1102">
        <v>3.5999999999999997E-2</v>
      </c>
      <c r="I368" s="1028">
        <v>415.03</v>
      </c>
      <c r="J368" s="1031">
        <v>12.45</v>
      </c>
      <c r="K368" s="535">
        <f>'COMP CIVIL'!F464</f>
        <v>339.55</v>
      </c>
      <c r="L368" s="386"/>
      <c r="U368" s="98">
        <v>339.55</v>
      </c>
      <c r="V368" s="1798">
        <v>415.03</v>
      </c>
      <c r="W368" s="1798">
        <v>12.45</v>
      </c>
    </row>
    <row r="369" spans="1:23" ht="47.25" customHeight="1">
      <c r="A369" s="1384" t="s">
        <v>1974</v>
      </c>
      <c r="B369" s="1683">
        <v>102253</v>
      </c>
      <c r="C369" s="1302" t="s">
        <v>1968</v>
      </c>
      <c r="D369" s="1304" t="s">
        <v>46</v>
      </c>
      <c r="E369" s="1067">
        <v>1075.08</v>
      </c>
      <c r="F369" s="1311">
        <f>VLOOKUP(B369,'CADERNO DE COMPOSIÇÃO'!$A$8:$J$15448,10,FALSE)</f>
        <v>1068.8800000000001</v>
      </c>
      <c r="G369" s="1073">
        <v>6.34</v>
      </c>
      <c r="H369" s="1101">
        <v>6.34</v>
      </c>
      <c r="I369" s="1028">
        <v>1314.07</v>
      </c>
      <c r="J369" s="1031">
        <v>8331.2000000000007</v>
      </c>
      <c r="K369" s="166"/>
      <c r="L369" s="386"/>
      <c r="U369" s="98">
        <v>1075.08</v>
      </c>
      <c r="V369" s="1798">
        <v>1314.07</v>
      </c>
      <c r="W369" s="1798">
        <v>8331.2000000000007</v>
      </c>
    </row>
    <row r="370" spans="1:23">
      <c r="A370" s="1384" t="s">
        <v>1975</v>
      </c>
      <c r="B370" s="1794" t="s">
        <v>1604</v>
      </c>
      <c r="C370" s="1302" t="s">
        <v>687</v>
      </c>
      <c r="D370" s="1309" t="s">
        <v>46</v>
      </c>
      <c r="E370" s="1305">
        <f>K370</f>
        <v>1008.4599999999999</v>
      </c>
      <c r="F370" s="1311">
        <f>VLOOKUP(B370,'CADERNO DE COMPOSIÇÃO'!$A$8:$J$15448,10,FALSE)</f>
        <v>1002.9100000000001</v>
      </c>
      <c r="G370" s="1073">
        <v>0.42</v>
      </c>
      <c r="H370" s="1101">
        <v>0.42</v>
      </c>
      <c r="I370" s="1028">
        <v>1232.6400000000001</v>
      </c>
      <c r="J370" s="1031">
        <v>517.70000000000005</v>
      </c>
      <c r="K370" s="535">
        <f>'COMP CIVIL'!F423</f>
        <v>1008.4599999999999</v>
      </c>
      <c r="L370" s="386"/>
      <c r="U370" s="98">
        <v>1008.4599999999999</v>
      </c>
      <c r="V370" s="1798">
        <v>1232.6400000000001</v>
      </c>
      <c r="W370" s="1798">
        <v>517.70000000000005</v>
      </c>
    </row>
    <row r="371" spans="1:23">
      <c r="A371" s="1086"/>
      <c r="B371" s="1026"/>
      <c r="C371" s="1026"/>
      <c r="D371" s="1026"/>
      <c r="E371" s="1067"/>
      <c r="F371" s="1311"/>
      <c r="G371" s="1027"/>
      <c r="H371" s="1028"/>
      <c r="I371" s="1404" t="s">
        <v>15</v>
      </c>
      <c r="J371" s="1029">
        <v>12834.04</v>
      </c>
      <c r="K371" s="166"/>
      <c r="L371" s="386"/>
      <c r="U371" s="98"/>
      <c r="V371" s="1801" t="s">
        <v>15</v>
      </c>
      <c r="W371" s="1798">
        <v>12834.04</v>
      </c>
    </row>
    <row r="372" spans="1:23" ht="13.5" customHeight="1">
      <c r="A372" s="1647">
        <v>17</v>
      </c>
      <c r="B372" s="1594"/>
      <c r="C372" s="1720" t="s">
        <v>2895</v>
      </c>
      <c r="D372" s="1870"/>
      <c r="E372" s="1721"/>
      <c r="F372" s="1721"/>
      <c r="G372" s="1722" t="s">
        <v>42</v>
      </c>
      <c r="H372" s="1722"/>
      <c r="I372" s="1722" t="s">
        <v>42</v>
      </c>
      <c r="J372" s="1735" t="s">
        <v>42</v>
      </c>
      <c r="K372" s="310"/>
      <c r="L372" s="53"/>
      <c r="U372" s="98"/>
      <c r="V372" s="1798" t="s">
        <v>42</v>
      </c>
      <c r="W372" s="1798" t="s">
        <v>42</v>
      </c>
    </row>
    <row r="373" spans="1:23" ht="14.25" customHeight="1">
      <c r="A373" s="1714" t="s">
        <v>173</v>
      </c>
      <c r="B373" s="1715"/>
      <c r="C373" s="1716" t="s">
        <v>580</v>
      </c>
      <c r="D373" s="1871"/>
      <c r="E373" s="1717"/>
      <c r="F373" s="1717"/>
      <c r="G373" s="1718"/>
      <c r="H373" s="1719"/>
      <c r="I373" s="1104"/>
      <c r="J373" s="1105"/>
      <c r="K373" s="433" t="s">
        <v>1322</v>
      </c>
      <c r="L373" s="53"/>
      <c r="U373" s="98"/>
      <c r="V373" s="1798"/>
      <c r="W373" s="1798"/>
    </row>
    <row r="374" spans="1:23" ht="28.5">
      <c r="A374" s="1384" t="s">
        <v>1358</v>
      </c>
      <c r="B374" s="1366">
        <v>96527</v>
      </c>
      <c r="C374" s="1302" t="s">
        <v>581</v>
      </c>
      <c r="D374" s="1310" t="s">
        <v>47</v>
      </c>
      <c r="E374" s="1305">
        <v>116.35</v>
      </c>
      <c r="F374" s="1311">
        <f>VLOOKUP(B374,'CADERNO DE COMPOSIÇÃO'!$A$8:$J$15448,10,FALSE)</f>
        <v>116.35</v>
      </c>
      <c r="G374" s="1402">
        <v>14.85</v>
      </c>
      <c r="H374" s="1369">
        <v>33.369999999999997</v>
      </c>
      <c r="I374" s="1364">
        <v>142.21</v>
      </c>
      <c r="J374" s="77">
        <v>2111.81</v>
      </c>
      <c r="K374" s="310"/>
      <c r="L374" s="383"/>
      <c r="U374" s="98">
        <v>116.35</v>
      </c>
      <c r="V374" s="1798">
        <v>142.21</v>
      </c>
      <c r="W374" s="1798">
        <v>2111.81</v>
      </c>
    </row>
    <row r="375" spans="1:23" ht="19.5" customHeight="1">
      <c r="A375" s="1384" t="s">
        <v>1359</v>
      </c>
      <c r="B375" s="1309">
        <v>96995</v>
      </c>
      <c r="C375" s="1302" t="s">
        <v>390</v>
      </c>
      <c r="D375" s="1307" t="s">
        <v>47</v>
      </c>
      <c r="E375" s="1311">
        <v>46.65</v>
      </c>
      <c r="F375" s="1311">
        <f>VLOOKUP(B375,'CADERNO DE COMPOSIÇÃO'!$A$8:$J$15448,10,FALSE)</f>
        <v>46.65</v>
      </c>
      <c r="G375" s="1402">
        <v>10.8</v>
      </c>
      <c r="H375" s="1369">
        <v>24.27</v>
      </c>
      <c r="I375" s="1364">
        <v>57.02</v>
      </c>
      <c r="J375" s="77">
        <v>615.80999999999995</v>
      </c>
      <c r="K375" s="310"/>
      <c r="L375" s="383"/>
      <c r="U375" s="1797">
        <v>46.65</v>
      </c>
      <c r="V375" s="1798">
        <v>57.02</v>
      </c>
      <c r="W375" s="1798">
        <v>615.80999999999995</v>
      </c>
    </row>
    <row r="376" spans="1:23" ht="33" customHeight="1">
      <c r="A376" s="1384" t="s">
        <v>1360</v>
      </c>
      <c r="B376" s="1295">
        <v>96536</v>
      </c>
      <c r="C376" s="1302" t="s">
        <v>397</v>
      </c>
      <c r="D376" s="1295" t="s">
        <v>46</v>
      </c>
      <c r="E376" s="1305">
        <v>75.89</v>
      </c>
      <c r="F376" s="1311">
        <f>VLOOKUP(B376,'CADERNO DE COMPOSIÇÃO'!$A$8:$J$15448,10,FALSE)</f>
        <v>75.63000000000001</v>
      </c>
      <c r="G376" s="1402">
        <v>67.5</v>
      </c>
      <c r="H376" s="1074">
        <v>133</v>
      </c>
      <c r="I376" s="1028">
        <v>92.76</v>
      </c>
      <c r="J376" s="1031">
        <v>6261.3</v>
      </c>
      <c r="K376" s="310"/>
      <c r="L376" s="383"/>
      <c r="U376" s="98">
        <v>75.89</v>
      </c>
      <c r="V376" s="1798">
        <v>92.76</v>
      </c>
      <c r="W376" s="1798">
        <v>6261.3</v>
      </c>
    </row>
    <row r="377" spans="1:23" ht="30.75" customHeight="1">
      <c r="A377" s="1384" t="s">
        <v>1361</v>
      </c>
      <c r="B377" s="1295">
        <v>94965</v>
      </c>
      <c r="C377" s="1793" t="s">
        <v>2854</v>
      </c>
      <c r="D377" s="1103" t="s">
        <v>47</v>
      </c>
      <c r="E377" s="1305">
        <v>568</v>
      </c>
      <c r="F377" s="1311">
        <f>VLOOKUP(B377,'CADERNO DE COMPOSIÇÃO'!$A$8:$J$15448,10,FALSE)</f>
        <v>563.42999999999995</v>
      </c>
      <c r="G377" s="1402">
        <v>4.05</v>
      </c>
      <c r="H377" s="1074">
        <v>9.1</v>
      </c>
      <c r="I377" s="1028">
        <v>694.26</v>
      </c>
      <c r="J377" s="1031">
        <v>2811.75</v>
      </c>
      <c r="K377" s="310"/>
      <c r="L377" s="383"/>
      <c r="U377" s="98">
        <v>568</v>
      </c>
      <c r="V377" s="1798">
        <v>694.26</v>
      </c>
      <c r="W377" s="1798">
        <v>2811.75</v>
      </c>
    </row>
    <row r="378" spans="1:23" ht="33" customHeight="1">
      <c r="A378" s="1384" t="s">
        <v>1362</v>
      </c>
      <c r="B378" s="1295">
        <v>103673</v>
      </c>
      <c r="C378" s="1302" t="s">
        <v>2317</v>
      </c>
      <c r="D378" s="1103" t="s">
        <v>47</v>
      </c>
      <c r="E378" s="1305">
        <v>37.31</v>
      </c>
      <c r="F378" s="1311">
        <f>VLOOKUP(B378,'CADERNO DE COMPOSIÇÃO'!$A$8:$J$15448,10,FALSE)</f>
        <v>37.31</v>
      </c>
      <c r="G378" s="1402">
        <v>4.05</v>
      </c>
      <c r="H378" s="1074">
        <v>9.1</v>
      </c>
      <c r="I378" s="1028">
        <v>45.6</v>
      </c>
      <c r="J378" s="1031">
        <v>184.68</v>
      </c>
      <c r="K378" s="310"/>
      <c r="L378" s="383"/>
      <c r="U378" s="98">
        <v>37.31</v>
      </c>
      <c r="V378" s="1798">
        <v>45.6</v>
      </c>
      <c r="W378" s="1798">
        <v>184.68</v>
      </c>
    </row>
    <row r="379" spans="1:23" ht="33" customHeight="1">
      <c r="A379" s="1384" t="s">
        <v>1363</v>
      </c>
      <c r="B379" s="1295">
        <v>96543</v>
      </c>
      <c r="C379" s="1302" t="s">
        <v>396</v>
      </c>
      <c r="D379" s="1295" t="s">
        <v>100</v>
      </c>
      <c r="E379" s="1305">
        <v>19.399999999999999</v>
      </c>
      <c r="F379" s="1311">
        <f>VLOOKUP(B379,'CADERNO DE COMPOSIÇÃO'!$A$8:$J$15448,10,FALSE)</f>
        <v>19.29</v>
      </c>
      <c r="G379" s="1385">
        <v>139.5</v>
      </c>
      <c r="H379" s="1578">
        <v>239</v>
      </c>
      <c r="I379" s="1030">
        <v>23.71</v>
      </c>
      <c r="J379" s="1031">
        <v>3307.54</v>
      </c>
      <c r="K379" s="310"/>
      <c r="L379" s="383"/>
      <c r="U379" s="98">
        <v>19.399999999999999</v>
      </c>
      <c r="V379" s="1798">
        <v>23.71</v>
      </c>
      <c r="W379" s="1798">
        <v>3307.54</v>
      </c>
    </row>
    <row r="380" spans="1:23" ht="34.5" customHeight="1">
      <c r="A380" s="1384" t="s">
        <v>1364</v>
      </c>
      <c r="B380" s="1295">
        <v>92762</v>
      </c>
      <c r="C380" s="1302" t="s">
        <v>2154</v>
      </c>
      <c r="D380" s="1295" t="s">
        <v>100</v>
      </c>
      <c r="E380" s="1305">
        <v>13.86</v>
      </c>
      <c r="F380" s="1311">
        <f>VLOOKUP(B380,'CADERNO DE COMPOSIÇÃO'!$A$8:$J$15448,10,FALSE)</f>
        <v>13.77</v>
      </c>
      <c r="G380" s="1385">
        <v>279</v>
      </c>
      <c r="H380" s="1578">
        <v>483</v>
      </c>
      <c r="I380" s="1030">
        <v>16.940000000000001</v>
      </c>
      <c r="J380" s="1031">
        <v>4726.26</v>
      </c>
      <c r="K380" s="342"/>
      <c r="L380" s="342"/>
      <c r="U380" s="98">
        <v>13.86</v>
      </c>
      <c r="V380" s="1798">
        <v>16.940000000000001</v>
      </c>
      <c r="W380" s="1798">
        <v>4726.26</v>
      </c>
    </row>
    <row r="381" spans="1:23" ht="46.5" customHeight="1" thickBot="1">
      <c r="A381" s="1180" t="s">
        <v>1663</v>
      </c>
      <c r="B381" s="1026">
        <v>98562</v>
      </c>
      <c r="C381" s="1087" t="s">
        <v>1664</v>
      </c>
      <c r="D381" s="1026" t="s">
        <v>46</v>
      </c>
      <c r="E381" s="1067">
        <v>45.46</v>
      </c>
      <c r="F381" s="1311">
        <f>VLOOKUP(B381,'CADERNO DE COMPOSIÇÃO'!$A$8:$J$15448,10,FALSE)</f>
        <v>45.29999999999999</v>
      </c>
      <c r="G381" s="1106">
        <v>83.1</v>
      </c>
      <c r="H381" s="1377">
        <v>136.72999999999999</v>
      </c>
      <c r="I381" s="1030">
        <v>55.56</v>
      </c>
      <c r="J381" s="1031">
        <v>4617.03</v>
      </c>
      <c r="K381" s="342"/>
      <c r="L381" s="342"/>
      <c r="U381" s="98">
        <v>45.46</v>
      </c>
      <c r="V381" s="1798">
        <v>55.56</v>
      </c>
      <c r="W381" s="1798">
        <v>4617.03</v>
      </c>
    </row>
    <row r="382" spans="1:23" ht="16.5" customHeight="1">
      <c r="A382" s="1378" t="s">
        <v>378</v>
      </c>
      <c r="B382" s="1379"/>
      <c r="C382" s="1380" t="s">
        <v>2013</v>
      </c>
      <c r="D382" s="1872"/>
      <c r="E382" s="1381"/>
      <c r="F382" s="1381"/>
      <c r="G382" s="1382"/>
      <c r="H382" s="1383"/>
      <c r="I382" s="1188"/>
      <c r="J382" s="1189"/>
      <c r="K382" s="433"/>
      <c r="L382" s="53"/>
      <c r="U382" s="98"/>
      <c r="V382" s="1798"/>
      <c r="W382" s="1798"/>
    </row>
    <row r="383" spans="1:23" ht="33.75" customHeight="1">
      <c r="A383" s="1384" t="s">
        <v>2069</v>
      </c>
      <c r="B383" s="1295">
        <v>96534</v>
      </c>
      <c r="C383" s="1302" t="s">
        <v>583</v>
      </c>
      <c r="D383" s="1295" t="s">
        <v>46</v>
      </c>
      <c r="E383" s="1067">
        <v>87.83</v>
      </c>
      <c r="F383" s="1311">
        <f>VLOOKUP(B383,'CADERNO DE COMPOSIÇÃO'!$A$8:$J$15448,10,FALSE)</f>
        <v>87.570000000000007</v>
      </c>
      <c r="G383" s="1385">
        <v>66.150000000000006</v>
      </c>
      <c r="H383" s="1074">
        <v>102.9</v>
      </c>
      <c r="I383" s="1030">
        <v>107.35</v>
      </c>
      <c r="J383" s="1031">
        <v>7101.2</v>
      </c>
      <c r="K383" s="310"/>
      <c r="L383" s="343"/>
      <c r="U383" s="98">
        <v>87.83</v>
      </c>
      <c r="V383" s="1798">
        <v>107.35</v>
      </c>
      <c r="W383" s="1798">
        <v>7101.2</v>
      </c>
    </row>
    <row r="384" spans="1:23" ht="35.25" customHeight="1">
      <c r="A384" s="1384" t="s">
        <v>2070</v>
      </c>
      <c r="B384" s="1295">
        <v>94965</v>
      </c>
      <c r="C384" s="1793" t="s">
        <v>2854</v>
      </c>
      <c r="D384" s="1103" t="s">
        <v>47</v>
      </c>
      <c r="E384" s="1305">
        <v>568</v>
      </c>
      <c r="F384" s="1311">
        <f>VLOOKUP(B384,'CADERNO DE COMPOSIÇÃO'!$A$8:$J$15448,10,FALSE)</f>
        <v>563.42999999999995</v>
      </c>
      <c r="G384" s="1385">
        <v>5.63</v>
      </c>
      <c r="H384" s="1074">
        <v>8.82</v>
      </c>
      <c r="I384" s="1030">
        <v>694.26</v>
      </c>
      <c r="J384" s="1031">
        <v>3908.68</v>
      </c>
      <c r="K384" s="310"/>
      <c r="L384" s="343"/>
      <c r="U384" s="98">
        <v>568</v>
      </c>
      <c r="V384" s="1798">
        <v>694.26</v>
      </c>
      <c r="W384" s="1798">
        <v>3908.68</v>
      </c>
    </row>
    <row r="385" spans="1:23" ht="33" customHeight="1">
      <c r="A385" s="1384" t="s">
        <v>2071</v>
      </c>
      <c r="B385" s="1295">
        <v>103673</v>
      </c>
      <c r="C385" s="1302" t="s">
        <v>2317</v>
      </c>
      <c r="D385" s="1103" t="s">
        <v>47</v>
      </c>
      <c r="E385" s="1305">
        <v>37.31</v>
      </c>
      <c r="F385" s="1311">
        <f>VLOOKUP(B385,'CADERNO DE COMPOSIÇÃO'!$A$8:$J$15448,10,FALSE)</f>
        <v>37.31</v>
      </c>
      <c r="G385" s="1385">
        <v>5.63</v>
      </c>
      <c r="H385" s="1074">
        <v>8.82</v>
      </c>
      <c r="I385" s="1030">
        <v>45.6</v>
      </c>
      <c r="J385" s="1031">
        <v>256.72000000000003</v>
      </c>
      <c r="K385" s="310"/>
      <c r="L385" s="343"/>
      <c r="U385" s="98">
        <v>37.31</v>
      </c>
      <c r="V385" s="1798">
        <v>45.6</v>
      </c>
      <c r="W385" s="1798">
        <v>256.72000000000003</v>
      </c>
    </row>
    <row r="386" spans="1:23" ht="35.25" customHeight="1">
      <c r="A386" s="1384" t="s">
        <v>1365</v>
      </c>
      <c r="B386" s="1295">
        <v>96543</v>
      </c>
      <c r="C386" s="1302" t="s">
        <v>584</v>
      </c>
      <c r="D386" s="1304" t="s">
        <v>100</v>
      </c>
      <c r="E386" s="1067">
        <v>19.399999999999999</v>
      </c>
      <c r="F386" s="1311">
        <f>VLOOKUP(B386,'CADERNO DE COMPOSIÇÃO'!$A$8:$J$15448,10,FALSE)</f>
        <v>19.29</v>
      </c>
      <c r="G386" s="1385">
        <v>92.35</v>
      </c>
      <c r="H386" s="1074">
        <v>158.71</v>
      </c>
      <c r="I386" s="1030">
        <v>23.71</v>
      </c>
      <c r="J386" s="1031">
        <v>2189.61</v>
      </c>
      <c r="K386" s="310"/>
      <c r="L386" s="342">
        <f>SUM(J383:K386)</f>
        <v>13456.21</v>
      </c>
      <c r="U386" s="98">
        <v>19.399999999999999</v>
      </c>
      <c r="V386" s="1798">
        <v>23.71</v>
      </c>
      <c r="W386" s="1798">
        <v>2189.61</v>
      </c>
    </row>
    <row r="387" spans="1:23" ht="14.25" customHeight="1">
      <c r="A387" s="1386" t="s">
        <v>418</v>
      </c>
      <c r="B387" s="1387"/>
      <c r="C387" s="1388" t="s">
        <v>1661</v>
      </c>
      <c r="D387" s="1873"/>
      <c r="E387" s="1389"/>
      <c r="F387" s="1389"/>
      <c r="G387" s="1390"/>
      <c r="H387" s="1391"/>
      <c r="I387" s="1104"/>
      <c r="J387" s="1105"/>
      <c r="K387" s="433"/>
      <c r="L387" s="53"/>
      <c r="U387" s="98"/>
      <c r="V387" s="1798"/>
      <c r="W387" s="1798"/>
    </row>
    <row r="388" spans="1:23" ht="36" customHeight="1">
      <c r="A388" s="1384" t="s">
        <v>1366</v>
      </c>
      <c r="B388" s="1295">
        <v>101173</v>
      </c>
      <c r="C388" s="1302" t="s">
        <v>585</v>
      </c>
      <c r="D388" s="1295" t="s">
        <v>54</v>
      </c>
      <c r="E388" s="1396">
        <v>64.13</v>
      </c>
      <c r="F388" s="1311">
        <f>VLOOKUP(B388,'CADERNO DE COMPOSIÇÃO'!$A$8:$J$15448,10,FALSE)</f>
        <v>63.88</v>
      </c>
      <c r="G388" s="1385">
        <v>63</v>
      </c>
      <c r="H388" s="1074">
        <v>98</v>
      </c>
      <c r="I388" s="1030">
        <v>78.38</v>
      </c>
      <c r="J388" s="1031">
        <v>4937.9399999999996</v>
      </c>
      <c r="K388" s="310"/>
      <c r="L388" s="384"/>
      <c r="M388" s="385"/>
      <c r="U388" s="98">
        <v>64.13</v>
      </c>
      <c r="V388" s="1798">
        <v>78.38</v>
      </c>
      <c r="W388" s="1798">
        <v>4937.9399999999996</v>
      </c>
    </row>
    <row r="389" spans="1:23" ht="35.25" customHeight="1">
      <c r="A389" s="1384" t="s">
        <v>1367</v>
      </c>
      <c r="B389" s="1295">
        <v>94965</v>
      </c>
      <c r="C389" s="1793" t="s">
        <v>2854</v>
      </c>
      <c r="D389" s="1103" t="s">
        <v>47</v>
      </c>
      <c r="E389" s="1305">
        <v>568</v>
      </c>
      <c r="F389" s="1311">
        <f>VLOOKUP(B389,'CADERNO DE COMPOSIÇÃO'!$A$8:$J$15448,10,FALSE)</f>
        <v>563.42999999999995</v>
      </c>
      <c r="G389" s="1385">
        <v>1.98</v>
      </c>
      <c r="H389" s="1074">
        <v>3.08</v>
      </c>
      <c r="I389" s="1030">
        <v>694.26</v>
      </c>
      <c r="J389" s="1031">
        <v>1374.63</v>
      </c>
      <c r="K389" s="310"/>
      <c r="L389" s="53"/>
      <c r="U389" s="98">
        <v>568</v>
      </c>
      <c r="V389" s="1798">
        <v>694.26</v>
      </c>
      <c r="W389" s="1798">
        <v>1374.63</v>
      </c>
    </row>
    <row r="390" spans="1:23" ht="33" customHeight="1">
      <c r="A390" s="1384" t="s">
        <v>1368</v>
      </c>
      <c r="B390" s="1295">
        <v>103673</v>
      </c>
      <c r="C390" s="1302" t="s">
        <v>2317</v>
      </c>
      <c r="D390" s="1310" t="s">
        <v>47</v>
      </c>
      <c r="E390" s="1305">
        <v>37.31</v>
      </c>
      <c r="F390" s="1311">
        <f>VLOOKUP(B390,'CADERNO DE COMPOSIÇÃO'!$A$8:$J$15448,10,FALSE)</f>
        <v>37.31</v>
      </c>
      <c r="G390" s="1402">
        <v>1.98</v>
      </c>
      <c r="H390" s="1369">
        <v>3.08</v>
      </c>
      <c r="I390" s="1364">
        <v>45.6</v>
      </c>
      <c r="J390" s="77">
        <v>90.28</v>
      </c>
      <c r="K390" s="310"/>
      <c r="L390" s="53"/>
      <c r="U390" s="98">
        <v>37.31</v>
      </c>
      <c r="V390" s="1798">
        <v>45.6</v>
      </c>
      <c r="W390" s="1798">
        <v>90.28</v>
      </c>
    </row>
    <row r="391" spans="1:23" ht="33.75" customHeight="1">
      <c r="A391" s="1384" t="s">
        <v>1369</v>
      </c>
      <c r="B391" s="1646">
        <v>95583</v>
      </c>
      <c r="C391" s="1302" t="s">
        <v>2896</v>
      </c>
      <c r="D391" s="1304" t="s">
        <v>100</v>
      </c>
      <c r="E391" s="1305">
        <v>17.79</v>
      </c>
      <c r="F391" s="1311">
        <f>VLOOKUP(B391,'CADERNO DE COMPOSIÇÃO'!$A$8:$J$15448,10,FALSE)</f>
        <v>17.689999999999998</v>
      </c>
      <c r="G391" s="1402">
        <v>50.35</v>
      </c>
      <c r="H391" s="1369">
        <v>68.400000000000006</v>
      </c>
      <c r="I391" s="1364">
        <v>21.74</v>
      </c>
      <c r="J391" s="77">
        <v>1094.5999999999999</v>
      </c>
      <c r="K391" s="310"/>
      <c r="L391" s="53"/>
      <c r="U391" s="98">
        <v>17.79</v>
      </c>
      <c r="V391" s="1798">
        <v>21.74</v>
      </c>
      <c r="W391" s="1798">
        <v>1094.5999999999999</v>
      </c>
    </row>
    <row r="392" spans="1:23" ht="32.25" customHeight="1" thickBot="1">
      <c r="A392" s="1112" t="s">
        <v>1370</v>
      </c>
      <c r="B392" s="1392">
        <v>95577</v>
      </c>
      <c r="C392" s="1370" t="s">
        <v>2897</v>
      </c>
      <c r="D392" s="1393" t="s">
        <v>100</v>
      </c>
      <c r="E392" s="1320">
        <v>13.51</v>
      </c>
      <c r="F392" s="1311">
        <f>VLOOKUP(B392,'CADERNO DE COMPOSIÇÃO'!$A$8:$J$15448,10,FALSE)</f>
        <v>13.43</v>
      </c>
      <c r="G392" s="1394">
        <v>239.1</v>
      </c>
      <c r="H392" s="1371">
        <v>361.41</v>
      </c>
      <c r="I392" s="1395">
        <v>16.510000000000002</v>
      </c>
      <c r="J392" s="1094">
        <v>3947.54</v>
      </c>
      <c r="K392" s="342"/>
      <c r="L392" s="342"/>
      <c r="U392" s="98">
        <v>13.51</v>
      </c>
      <c r="V392" s="1798">
        <v>16.510000000000002</v>
      </c>
      <c r="W392" s="1798">
        <v>3947.54</v>
      </c>
    </row>
    <row r="393" spans="1:23" ht="14.25" customHeight="1">
      <c r="A393" s="1182" t="s">
        <v>578</v>
      </c>
      <c r="B393" s="1183"/>
      <c r="C393" s="1184" t="s">
        <v>2898</v>
      </c>
      <c r="D393" s="1874"/>
      <c r="E393" s="1185"/>
      <c r="F393" s="1185"/>
      <c r="G393" s="1186" t="s">
        <v>42</v>
      </c>
      <c r="H393" s="1187"/>
      <c r="I393" s="1188" t="s">
        <v>42</v>
      </c>
      <c r="J393" s="1189" t="s">
        <v>42</v>
      </c>
      <c r="K393" s="433"/>
      <c r="L393" s="53"/>
      <c r="U393" s="98"/>
      <c r="V393" s="1798" t="s">
        <v>42</v>
      </c>
      <c r="W393" s="1798" t="s">
        <v>42</v>
      </c>
    </row>
    <row r="394" spans="1:23" ht="62.25" customHeight="1">
      <c r="A394" s="1180" t="s">
        <v>1371</v>
      </c>
      <c r="B394" s="1026">
        <v>92427</v>
      </c>
      <c r="C394" s="1087" t="s">
        <v>2899</v>
      </c>
      <c r="D394" s="1026" t="s">
        <v>46</v>
      </c>
      <c r="E394" s="1067">
        <v>69.62</v>
      </c>
      <c r="F394" s="1311">
        <f>VLOOKUP(B394,'CADERNO DE COMPOSIÇÃO'!$A$8:$J$15448,10,FALSE)</f>
        <v>69.3</v>
      </c>
      <c r="G394" s="1397">
        <v>101.25</v>
      </c>
      <c r="H394" s="1074">
        <v>101.25</v>
      </c>
      <c r="I394" s="1028">
        <v>85.09</v>
      </c>
      <c r="J394" s="1031">
        <v>8615.36</v>
      </c>
      <c r="K394" s="310"/>
      <c r="L394" s="53"/>
      <c r="U394" s="98">
        <v>69.62</v>
      </c>
      <c r="V394" s="1798">
        <v>85.09</v>
      </c>
      <c r="W394" s="1798">
        <v>8615.36</v>
      </c>
    </row>
    <row r="395" spans="1:23" ht="36.75" customHeight="1">
      <c r="A395" s="1384" t="s">
        <v>1372</v>
      </c>
      <c r="B395" s="1295">
        <v>94965</v>
      </c>
      <c r="C395" s="1302" t="s">
        <v>2854</v>
      </c>
      <c r="D395" s="1310" t="s">
        <v>47</v>
      </c>
      <c r="E395" s="1305">
        <v>568</v>
      </c>
      <c r="F395" s="1311">
        <f>VLOOKUP(B395,'CADERNO DE COMPOSIÇÃO'!$A$8:$J$15448,10,FALSE)</f>
        <v>563.42999999999995</v>
      </c>
      <c r="G395" s="1402">
        <v>5.4</v>
      </c>
      <c r="H395" s="1369">
        <v>4.95</v>
      </c>
      <c r="I395" s="1364">
        <v>694.26</v>
      </c>
      <c r="J395" s="77">
        <v>3749</v>
      </c>
      <c r="K395" s="310"/>
      <c r="L395" s="53"/>
      <c r="U395" s="98">
        <v>568</v>
      </c>
      <c r="V395" s="1798">
        <v>694.26</v>
      </c>
      <c r="W395" s="1798">
        <v>3749</v>
      </c>
    </row>
    <row r="396" spans="1:23" ht="36.75" customHeight="1">
      <c r="A396" s="1384" t="s">
        <v>1373</v>
      </c>
      <c r="B396" s="1295">
        <v>103673</v>
      </c>
      <c r="C396" s="1302" t="s">
        <v>2317</v>
      </c>
      <c r="D396" s="1103" t="s">
        <v>47</v>
      </c>
      <c r="E396" s="1305">
        <v>37.31</v>
      </c>
      <c r="F396" s="1311">
        <f>VLOOKUP(B396,'CADERNO DE COMPOSIÇÃO'!$A$8:$J$15448,10,FALSE)</f>
        <v>37.31</v>
      </c>
      <c r="G396" s="1402">
        <v>5.4</v>
      </c>
      <c r="H396" s="1369">
        <v>4.95</v>
      </c>
      <c r="I396" s="1364">
        <v>45.6</v>
      </c>
      <c r="J396" s="77">
        <v>246.24</v>
      </c>
      <c r="K396" s="310"/>
      <c r="L396" s="53"/>
      <c r="U396" s="98">
        <v>37.31</v>
      </c>
      <c r="V396" s="1798">
        <v>45.6</v>
      </c>
      <c r="W396" s="1798">
        <v>246.24</v>
      </c>
    </row>
    <row r="397" spans="1:23" ht="48" customHeight="1">
      <c r="A397" s="1384" t="s">
        <v>1374</v>
      </c>
      <c r="B397" s="1295">
        <v>104111</v>
      </c>
      <c r="C397" s="1302" t="s">
        <v>2328</v>
      </c>
      <c r="D397" s="1304" t="s">
        <v>100</v>
      </c>
      <c r="E397" s="1067">
        <v>21.79</v>
      </c>
      <c r="F397" s="1311">
        <f>VLOOKUP(B397,'CADERNO DE COMPOSIÇÃO'!$A$8:$J$15448,10,FALSE)</f>
        <v>21.68</v>
      </c>
      <c r="G397" s="1402">
        <v>117</v>
      </c>
      <c r="H397" s="1369">
        <v>117</v>
      </c>
      <c r="I397" s="1364">
        <v>26.63</v>
      </c>
      <c r="J397" s="77">
        <v>3115.71</v>
      </c>
      <c r="K397" s="310"/>
      <c r="L397" s="53"/>
      <c r="U397" s="98">
        <v>21.79</v>
      </c>
      <c r="V397" s="1798">
        <v>26.63</v>
      </c>
      <c r="W397" s="1798">
        <v>3115.71</v>
      </c>
    </row>
    <row r="398" spans="1:23" ht="39" customHeight="1">
      <c r="A398" s="1180" t="s">
        <v>1375</v>
      </c>
      <c r="B398" s="1026">
        <v>92762</v>
      </c>
      <c r="C398" s="1087" t="s">
        <v>2154</v>
      </c>
      <c r="D398" s="1181" t="s">
        <v>100</v>
      </c>
      <c r="E398" s="1067">
        <v>13.86</v>
      </c>
      <c r="F398" s="1311">
        <f>VLOOKUP(B398,'CADERNO DE COMPOSIÇÃO'!$A$8:$J$15448,10,FALSE)</f>
        <v>13.77</v>
      </c>
      <c r="G398" s="1397">
        <v>274.5</v>
      </c>
      <c r="H398" s="1074">
        <v>274.5</v>
      </c>
      <c r="I398" s="1028">
        <v>16.940000000000001</v>
      </c>
      <c r="J398" s="1031">
        <v>4650.03</v>
      </c>
      <c r="K398" s="342"/>
      <c r="L398" s="342"/>
      <c r="U398" s="98">
        <v>13.86</v>
      </c>
      <c r="V398" s="1798">
        <v>16.940000000000001</v>
      </c>
      <c r="W398" s="1798">
        <v>4650.03</v>
      </c>
    </row>
    <row r="399" spans="1:23" ht="14.25" customHeight="1">
      <c r="A399" s="1386" t="s">
        <v>1299</v>
      </c>
      <c r="B399" s="1387"/>
      <c r="C399" s="1398" t="s">
        <v>2900</v>
      </c>
      <c r="D399" s="1873"/>
      <c r="E399" s="1389"/>
      <c r="F399" s="1389"/>
      <c r="G399" s="1399" t="s">
        <v>42</v>
      </c>
      <c r="H399" s="1391"/>
      <c r="I399" s="1400" t="s">
        <v>42</v>
      </c>
      <c r="J399" s="1684" t="s">
        <v>42</v>
      </c>
      <c r="K399" s="433" t="s">
        <v>1321</v>
      </c>
      <c r="L399" s="53"/>
      <c r="U399" s="98"/>
      <c r="V399" s="1798" t="s">
        <v>42</v>
      </c>
      <c r="W399" s="1798" t="s">
        <v>42</v>
      </c>
    </row>
    <row r="400" spans="1:23" ht="47.25" customHeight="1">
      <c r="A400" s="1384" t="s">
        <v>1376</v>
      </c>
      <c r="B400" s="1295">
        <v>91815</v>
      </c>
      <c r="C400" s="1302" t="s">
        <v>2316</v>
      </c>
      <c r="D400" s="1295" t="s">
        <v>46</v>
      </c>
      <c r="E400" s="1067">
        <v>84.15</v>
      </c>
      <c r="F400" s="1311">
        <f>VLOOKUP(B400,'CADERNO DE COMPOSIÇÃO'!$A$8:$J$15448,10,FALSE)</f>
        <v>83.64</v>
      </c>
      <c r="G400" s="1385">
        <v>110.8</v>
      </c>
      <c r="H400" s="1074">
        <v>280.52999999999997</v>
      </c>
      <c r="I400" s="1030">
        <v>102.85</v>
      </c>
      <c r="J400" s="1031">
        <v>11395.78</v>
      </c>
      <c r="K400" s="310"/>
      <c r="L400" s="384"/>
      <c r="U400" s="98">
        <v>84.15</v>
      </c>
      <c r="V400" s="1798">
        <v>102.85</v>
      </c>
      <c r="W400" s="1798">
        <v>11395.78</v>
      </c>
    </row>
    <row r="401" spans="1:23" ht="47.25" customHeight="1">
      <c r="A401" s="1384" t="s">
        <v>1377</v>
      </c>
      <c r="B401" s="1295">
        <v>87894</v>
      </c>
      <c r="C401" s="1302" t="s">
        <v>1671</v>
      </c>
      <c r="D401" s="1295" t="s">
        <v>46</v>
      </c>
      <c r="E401" s="1067">
        <v>6.54</v>
      </c>
      <c r="F401" s="1311">
        <f>VLOOKUP(B401,'CADERNO DE COMPOSIÇÃO'!$A$8:$J$15448,10,FALSE)</f>
        <v>6.53</v>
      </c>
      <c r="G401" s="1385">
        <v>105.79</v>
      </c>
      <c r="H401" s="1074">
        <v>576.85</v>
      </c>
      <c r="I401" s="1030">
        <v>7.99</v>
      </c>
      <c r="J401" s="1031">
        <v>845.26</v>
      </c>
      <c r="K401" s="508"/>
      <c r="L401" s="200"/>
      <c r="U401" s="98">
        <v>6.54</v>
      </c>
      <c r="V401" s="1798">
        <v>7.99</v>
      </c>
      <c r="W401" s="1798">
        <v>845.26</v>
      </c>
    </row>
    <row r="402" spans="1:23" ht="45" customHeight="1">
      <c r="A402" s="1384" t="s">
        <v>1378</v>
      </c>
      <c r="B402" s="1295">
        <v>87792</v>
      </c>
      <c r="C402" s="1302" t="s">
        <v>2901</v>
      </c>
      <c r="D402" s="1295" t="s">
        <v>46</v>
      </c>
      <c r="E402" s="1067">
        <v>39.17</v>
      </c>
      <c r="F402" s="1311">
        <f>VLOOKUP(B402,'CADERNO DE COMPOSIÇÃO'!$A$8:$J$15448,10,FALSE)</f>
        <v>39.03</v>
      </c>
      <c r="G402" s="1385">
        <v>105.79</v>
      </c>
      <c r="H402" s="1074">
        <v>576.85</v>
      </c>
      <c r="I402" s="1030">
        <v>47.87</v>
      </c>
      <c r="J402" s="1031">
        <v>5064.16</v>
      </c>
      <c r="K402" s="342"/>
      <c r="L402" s="342"/>
      <c r="U402" s="98">
        <v>39.17</v>
      </c>
      <c r="V402" s="1798">
        <v>47.87</v>
      </c>
      <c r="W402" s="1798">
        <v>5064.16</v>
      </c>
    </row>
    <row r="403" spans="1:23" ht="18" customHeight="1">
      <c r="A403" s="1384" t="s">
        <v>2065</v>
      </c>
      <c r="B403" s="1295" t="s">
        <v>529</v>
      </c>
      <c r="C403" s="1302" t="s">
        <v>1401</v>
      </c>
      <c r="D403" s="1295" t="s">
        <v>46</v>
      </c>
      <c r="E403" s="1067">
        <f>K403</f>
        <v>1110.0700000000002</v>
      </c>
      <c r="F403" s="1311">
        <f>VLOOKUP(B403,'CADERNO DE COMPOSIÇÃO'!$A$8:$J$15448,10,FALSE)</f>
        <v>1103.67</v>
      </c>
      <c r="G403" s="1385">
        <v>388.83</v>
      </c>
      <c r="H403" s="1074">
        <v>122.41</v>
      </c>
      <c r="I403" s="1030">
        <v>1354.43</v>
      </c>
      <c r="J403" s="1031">
        <v>526643.01</v>
      </c>
      <c r="K403" s="1619">
        <f>'COMP CIVIL'!F146</f>
        <v>1110.0700000000002</v>
      </c>
      <c r="L403" s="1047"/>
      <c r="M403" s="506"/>
      <c r="U403" s="98">
        <v>1110.0700000000002</v>
      </c>
      <c r="V403" s="1798">
        <v>1354.43</v>
      </c>
      <c r="W403" s="1798">
        <v>526643.01</v>
      </c>
    </row>
    <row r="404" spans="1:23" ht="14.25" customHeight="1">
      <c r="A404" s="1386" t="s">
        <v>1300</v>
      </c>
      <c r="B404" s="1387"/>
      <c r="C404" s="1398" t="s">
        <v>2902</v>
      </c>
      <c r="D404" s="1873"/>
      <c r="E404" s="1389"/>
      <c r="F404" s="1389"/>
      <c r="G404" s="1390" t="s">
        <v>42</v>
      </c>
      <c r="H404" s="1391"/>
      <c r="I404" s="1104" t="s">
        <v>42</v>
      </c>
      <c r="J404" s="1105" t="s">
        <v>42</v>
      </c>
      <c r="K404" s="433"/>
      <c r="L404" s="53"/>
      <c r="U404" s="98"/>
      <c r="V404" s="1798" t="s">
        <v>42</v>
      </c>
      <c r="W404" s="1798" t="s">
        <v>42</v>
      </c>
    </row>
    <row r="405" spans="1:23" ht="33.75" customHeight="1">
      <c r="A405" s="1384" t="s">
        <v>1379</v>
      </c>
      <c r="B405" s="926">
        <v>88415</v>
      </c>
      <c r="C405" s="1302" t="s">
        <v>551</v>
      </c>
      <c r="D405" s="1366" t="s">
        <v>46</v>
      </c>
      <c r="E405" s="1067">
        <v>2.62</v>
      </c>
      <c r="F405" s="1311">
        <f>VLOOKUP(B405,'CADERNO DE COMPOSIÇÃO'!$A$8:$J$15448,10,FALSE)</f>
        <v>2.6199999999999997</v>
      </c>
      <c r="G405" s="1385">
        <v>105.79</v>
      </c>
      <c r="H405" s="1074">
        <v>576.85</v>
      </c>
      <c r="I405" s="1030">
        <v>3.2</v>
      </c>
      <c r="J405" s="1031">
        <v>338.52</v>
      </c>
      <c r="K405" s="342"/>
      <c r="L405" s="342"/>
      <c r="U405" s="98">
        <v>2.62</v>
      </c>
      <c r="V405" s="1798">
        <v>3.2</v>
      </c>
      <c r="W405" s="1798">
        <v>338.52</v>
      </c>
    </row>
    <row r="406" spans="1:23" ht="33" customHeight="1">
      <c r="A406" s="1025" t="s">
        <v>1380</v>
      </c>
      <c r="B406" s="1295">
        <v>88489</v>
      </c>
      <c r="C406" s="1302" t="s">
        <v>117</v>
      </c>
      <c r="D406" s="1366" t="s">
        <v>46</v>
      </c>
      <c r="E406" s="1305">
        <v>14.99</v>
      </c>
      <c r="F406" s="1311">
        <f>VLOOKUP(B406,'CADERNO DE COMPOSIÇÃO'!$A$8:$J$15448,10,FALSE)</f>
        <v>14.940000000000001</v>
      </c>
      <c r="G406" s="1106">
        <v>105.79</v>
      </c>
      <c r="H406" s="1074">
        <v>576.85</v>
      </c>
      <c r="I406" s="1030">
        <v>18.32</v>
      </c>
      <c r="J406" s="1031">
        <v>1938.07</v>
      </c>
      <c r="K406" s="342"/>
      <c r="L406" s="342"/>
      <c r="U406" s="98">
        <v>14.99</v>
      </c>
      <c r="V406" s="1798">
        <v>18.32</v>
      </c>
      <c r="W406" s="1798">
        <v>1938.07</v>
      </c>
    </row>
    <row r="407" spans="1:23" ht="15.75" thickBot="1">
      <c r="A407" s="1624"/>
      <c r="B407" s="1392"/>
      <c r="C407" s="1392"/>
      <c r="D407" s="1392"/>
      <c r="E407" s="1320"/>
      <c r="F407" s="1311"/>
      <c r="G407" s="1415"/>
      <c r="H407" s="1685"/>
      <c r="I407" s="1674" t="s">
        <v>15</v>
      </c>
      <c r="J407" s="79">
        <v>616138.52</v>
      </c>
      <c r="K407" s="310"/>
      <c r="L407" s="53"/>
      <c r="U407" s="98"/>
      <c r="V407" s="1801" t="s">
        <v>15</v>
      </c>
      <c r="W407" s="1798">
        <v>616138.52</v>
      </c>
    </row>
    <row r="408" spans="1:23" ht="13.5" customHeight="1">
      <c r="A408" s="100">
        <v>18</v>
      </c>
      <c r="B408" s="341"/>
      <c r="C408" s="116" t="s">
        <v>931</v>
      </c>
      <c r="D408" s="1875"/>
      <c r="E408" s="1070"/>
      <c r="F408" s="1070"/>
      <c r="G408" s="650"/>
      <c r="H408" s="650"/>
      <c r="I408" s="650"/>
      <c r="J408" s="67"/>
      <c r="K408" s="426"/>
      <c r="L408" s="53"/>
      <c r="U408" s="98"/>
      <c r="V408" s="1798"/>
      <c r="W408" s="1798"/>
    </row>
    <row r="409" spans="1:23" ht="19.5" customHeight="1">
      <c r="A409" s="1627" t="s">
        <v>377</v>
      </c>
      <c r="B409" s="1475" t="s">
        <v>1459</v>
      </c>
      <c r="C409" s="1302" t="s">
        <v>1597</v>
      </c>
      <c r="D409" s="1401" t="s">
        <v>55</v>
      </c>
      <c r="E409" s="1305">
        <f>K409</f>
        <v>13080</v>
      </c>
      <c r="F409" s="1311">
        <f>VLOOKUP(B409,'CADERNO DE COMPOSIÇÃO'!$A$8:$J$15448,10,FALSE)</f>
        <v>13001.52</v>
      </c>
      <c r="G409" s="1402">
        <v>1</v>
      </c>
      <c r="H409" s="1369">
        <v>1</v>
      </c>
      <c r="I409" s="1364">
        <v>15987.68</v>
      </c>
      <c r="J409" s="77">
        <v>15987.68</v>
      </c>
      <c r="K409" s="96">
        <f>'COMP CIVIL'!F357</f>
        <v>13080</v>
      </c>
      <c r="L409" s="53"/>
      <c r="U409" s="98">
        <v>13080</v>
      </c>
      <c r="V409" s="1798">
        <v>15987.68</v>
      </c>
      <c r="W409" s="1798">
        <v>15987.68</v>
      </c>
    </row>
    <row r="410" spans="1:23" ht="35.25" customHeight="1">
      <c r="A410" s="1627" t="s">
        <v>1301</v>
      </c>
      <c r="B410" s="1475" t="s">
        <v>1465</v>
      </c>
      <c r="C410" s="1302" t="s">
        <v>2203</v>
      </c>
      <c r="D410" s="1401" t="s">
        <v>55</v>
      </c>
      <c r="E410" s="1305">
        <f>K410</f>
        <v>13469.3</v>
      </c>
      <c r="F410" s="1311">
        <f>VLOOKUP(B410,'CADERNO DE COMPOSIÇÃO'!$A$8:$J$15448,10,FALSE)</f>
        <v>13388.48</v>
      </c>
      <c r="G410" s="1402">
        <v>1</v>
      </c>
      <c r="H410" s="1369">
        <v>1</v>
      </c>
      <c r="I410" s="1364">
        <v>16463.52</v>
      </c>
      <c r="J410" s="77">
        <v>16463.52</v>
      </c>
      <c r="K410" s="96">
        <f>'COMP CIVIL'!F374</f>
        <v>13469.3</v>
      </c>
      <c r="L410" s="53"/>
      <c r="U410" s="98">
        <v>13469.3</v>
      </c>
      <c r="V410" s="1798">
        <v>16463.52</v>
      </c>
      <c r="W410" s="1798">
        <v>16463.52</v>
      </c>
    </row>
    <row r="411" spans="1:23" ht="32.25" customHeight="1">
      <c r="A411" s="1627" t="s">
        <v>1302</v>
      </c>
      <c r="B411" s="1475" t="s">
        <v>1466</v>
      </c>
      <c r="C411" s="1302" t="s">
        <v>2054</v>
      </c>
      <c r="D411" s="1401" t="s">
        <v>55</v>
      </c>
      <c r="E411" s="1305">
        <f>K411</f>
        <v>5500</v>
      </c>
      <c r="F411" s="1311">
        <f>VLOOKUP(B411,'CADERNO DE COMPOSIÇÃO'!$A$8:$J$15448,10,FALSE)</f>
        <v>5467</v>
      </c>
      <c r="G411" s="1402">
        <v>1</v>
      </c>
      <c r="H411" s="1369">
        <v>1</v>
      </c>
      <c r="I411" s="1364">
        <v>12870.81</v>
      </c>
      <c r="J411" s="77">
        <v>12870.81</v>
      </c>
      <c r="K411" s="96">
        <f>'COMP CIVIL'!F390</f>
        <v>5500</v>
      </c>
      <c r="L411" s="53"/>
      <c r="U411" s="98">
        <v>5500</v>
      </c>
      <c r="V411" s="1798">
        <v>12870.81</v>
      </c>
      <c r="W411" s="1798">
        <v>12870.81</v>
      </c>
    </row>
    <row r="412" spans="1:23" ht="47.25" customHeight="1">
      <c r="A412" s="1627" t="s">
        <v>1303</v>
      </c>
      <c r="B412" s="1295">
        <v>92398</v>
      </c>
      <c r="C412" s="1302" t="s">
        <v>1611</v>
      </c>
      <c r="D412" s="1403" t="s">
        <v>46</v>
      </c>
      <c r="E412" s="1305">
        <v>100.8</v>
      </c>
      <c r="F412" s="1311">
        <f>VLOOKUP(B412,'CADERNO DE COMPOSIÇÃO'!$A$8:$J$15448,10,FALSE)</f>
        <v>100.25999999999999</v>
      </c>
      <c r="G412" s="1402">
        <v>283.66000000000003</v>
      </c>
      <c r="H412" s="1369">
        <v>334.18</v>
      </c>
      <c r="I412" s="1364">
        <v>123.2</v>
      </c>
      <c r="J412" s="77">
        <v>34946.910000000003</v>
      </c>
      <c r="K412" s="502"/>
      <c r="L412" s="53"/>
      <c r="U412" s="98">
        <v>100.8</v>
      </c>
      <c r="V412" s="1798">
        <v>123.2</v>
      </c>
      <c r="W412" s="1798">
        <v>34946.910000000003</v>
      </c>
    </row>
    <row r="413" spans="1:23" ht="48" customHeight="1">
      <c r="A413" s="1627" t="s">
        <v>1304</v>
      </c>
      <c r="B413" s="1295">
        <v>94994</v>
      </c>
      <c r="C413" s="1302" t="s">
        <v>1610</v>
      </c>
      <c r="D413" s="1403" t="s">
        <v>46</v>
      </c>
      <c r="E413" s="1305">
        <v>114.89</v>
      </c>
      <c r="F413" s="1311">
        <f>VLOOKUP(B413,'CADERNO DE COMPOSIÇÃO'!$A$8:$J$15448,10,FALSE)</f>
        <v>114.27999999999999</v>
      </c>
      <c r="G413" s="1402">
        <v>890.78</v>
      </c>
      <c r="H413" s="1369">
        <v>156.76</v>
      </c>
      <c r="I413" s="1364">
        <v>140.43</v>
      </c>
      <c r="J413" s="77">
        <v>125092.23</v>
      </c>
      <c r="K413" s="502"/>
      <c r="L413" s="200" t="s">
        <v>1978</v>
      </c>
      <c r="U413" s="98">
        <v>114.89</v>
      </c>
      <c r="V413" s="1798">
        <v>140.43</v>
      </c>
      <c r="W413" s="1798">
        <v>125092.23</v>
      </c>
    </row>
    <row r="414" spans="1:23" ht="31.5" customHeight="1">
      <c r="A414" s="1627" t="s">
        <v>1305</v>
      </c>
      <c r="B414" s="1295">
        <v>94265</v>
      </c>
      <c r="C414" s="1302" t="s">
        <v>1434</v>
      </c>
      <c r="D414" s="1403" t="s">
        <v>54</v>
      </c>
      <c r="E414" s="1305">
        <v>49.55</v>
      </c>
      <c r="F414" s="1311">
        <f>VLOOKUP(B414,'CADERNO DE COMPOSIÇÃO'!$A$8:$J$15448,10,FALSE)</f>
        <v>49.349999999999994</v>
      </c>
      <c r="G414" s="1402">
        <v>8</v>
      </c>
      <c r="H414" s="1369">
        <v>69.260000000000005</v>
      </c>
      <c r="I414" s="1364">
        <v>60.56</v>
      </c>
      <c r="J414" s="77">
        <v>484.48</v>
      </c>
      <c r="K414" s="502"/>
      <c r="L414" s="53"/>
      <c r="U414" s="98">
        <v>49.55</v>
      </c>
      <c r="V414" s="1798">
        <v>60.56</v>
      </c>
      <c r="W414" s="1798">
        <v>484.48</v>
      </c>
    </row>
    <row r="415" spans="1:23" ht="19.5" customHeight="1">
      <c r="A415" s="1627" t="s">
        <v>1405</v>
      </c>
      <c r="B415" s="1475" t="s">
        <v>1467</v>
      </c>
      <c r="C415" s="1686" t="s">
        <v>1606</v>
      </c>
      <c r="D415" s="1107" t="s">
        <v>47</v>
      </c>
      <c r="E415" s="1068">
        <f>K415</f>
        <v>192.19</v>
      </c>
      <c r="F415" s="1311">
        <f>VLOOKUP(B415,'CADERNO DE COMPOSIÇÃO'!$A$8:$J$15448,10,FALSE)</f>
        <v>191.32</v>
      </c>
      <c r="G415" s="1402">
        <v>7.43</v>
      </c>
      <c r="H415" s="1369">
        <v>10.46</v>
      </c>
      <c r="I415" s="1364">
        <v>234.91</v>
      </c>
      <c r="J415" s="77">
        <v>1745.38</v>
      </c>
      <c r="K415" s="96">
        <f>'COMP CIVIL'!F406</f>
        <v>192.19</v>
      </c>
      <c r="L415" s="53" t="s">
        <v>1607</v>
      </c>
      <c r="U415" s="98">
        <v>192.19</v>
      </c>
      <c r="V415" s="1798">
        <v>234.91</v>
      </c>
      <c r="W415" s="1798">
        <v>1745.38</v>
      </c>
    </row>
    <row r="416" spans="1:23" ht="19.5" customHeight="1">
      <c r="A416" s="1627" t="s">
        <v>1406</v>
      </c>
      <c r="B416" s="1295">
        <v>98504</v>
      </c>
      <c r="C416" s="1686" t="s">
        <v>577</v>
      </c>
      <c r="D416" s="1107" t="s">
        <v>46</v>
      </c>
      <c r="E416" s="1068">
        <v>14.57</v>
      </c>
      <c r="F416" s="1311">
        <f>VLOOKUP(B416,'CADERNO DE COMPOSIÇÃO'!$A$8:$J$15448,10,FALSE)</f>
        <v>11.870000000000001</v>
      </c>
      <c r="G416" s="1402">
        <v>142.05000000000001</v>
      </c>
      <c r="H416" s="1369">
        <v>202.75</v>
      </c>
      <c r="I416" s="1364">
        <v>17.8</v>
      </c>
      <c r="J416" s="1117">
        <v>2528.4899999999998</v>
      </c>
      <c r="K416" s="502"/>
      <c r="L416" s="53" t="s">
        <v>1854</v>
      </c>
      <c r="U416" s="98">
        <v>14.57</v>
      </c>
      <c r="V416" s="1798">
        <v>17.8</v>
      </c>
      <c r="W416" s="1797">
        <v>2528.4899999999998</v>
      </c>
    </row>
    <row r="417" spans="1:23" ht="30" customHeight="1">
      <c r="A417" s="1627" t="s">
        <v>1407</v>
      </c>
      <c r="B417" s="1295">
        <v>98510</v>
      </c>
      <c r="C417" s="1302" t="s">
        <v>1600</v>
      </c>
      <c r="D417" s="1107" t="s">
        <v>55</v>
      </c>
      <c r="E417" s="1068">
        <v>103.03</v>
      </c>
      <c r="F417" s="1311">
        <f>VLOOKUP(B417,'CADERNO DE COMPOSIÇÃO'!$A$8:$J$15448,10,FALSE)</f>
        <v>83.9</v>
      </c>
      <c r="G417" s="1402">
        <v>15</v>
      </c>
      <c r="H417" s="507">
        <v>19</v>
      </c>
      <c r="I417" s="1364">
        <v>125.93</v>
      </c>
      <c r="J417" s="1117">
        <v>1888.95</v>
      </c>
      <c r="K417" s="502"/>
      <c r="L417" s="386" t="s">
        <v>1601</v>
      </c>
      <c r="U417" s="98">
        <v>103.03</v>
      </c>
      <c r="V417" s="1798">
        <v>125.93</v>
      </c>
      <c r="W417" s="1797">
        <v>1888.95</v>
      </c>
    </row>
    <row r="418" spans="1:23" ht="19.5" customHeight="1">
      <c r="A418" s="1627" t="s">
        <v>1408</v>
      </c>
      <c r="B418" s="1295">
        <v>98505</v>
      </c>
      <c r="C418" s="1686" t="s">
        <v>1603</v>
      </c>
      <c r="D418" s="1107" t="s">
        <v>46</v>
      </c>
      <c r="E418" s="1068">
        <v>105.21</v>
      </c>
      <c r="F418" s="1311">
        <f>VLOOKUP(B418,'CADERNO DE COMPOSIÇÃO'!$A$8:$J$15448,10,FALSE)</f>
        <v>85.46</v>
      </c>
      <c r="G418" s="1402">
        <v>15.52</v>
      </c>
      <c r="H418" s="1369">
        <v>15.52</v>
      </c>
      <c r="I418" s="1364">
        <v>128.59</v>
      </c>
      <c r="J418" s="1117">
        <v>1995.71</v>
      </c>
      <c r="K418" s="502"/>
      <c r="L418" s="53" t="s">
        <v>1602</v>
      </c>
      <c r="U418" s="98">
        <v>105.21</v>
      </c>
      <c r="V418" s="1798">
        <v>128.59</v>
      </c>
      <c r="W418" s="1797">
        <v>1995.71</v>
      </c>
    </row>
    <row r="419" spans="1:23" ht="30.75" customHeight="1">
      <c r="A419" s="1627" t="s">
        <v>2068</v>
      </c>
      <c r="B419" s="1295">
        <v>101094</v>
      </c>
      <c r="C419" s="1687" t="s">
        <v>1439</v>
      </c>
      <c r="D419" s="1401" t="s">
        <v>54</v>
      </c>
      <c r="E419" s="1068">
        <v>220.97</v>
      </c>
      <c r="F419" s="1311">
        <f>VLOOKUP(B419,'CADERNO DE COMPOSIÇÃO'!$A$8:$J$15448,10,FALSE)</f>
        <v>179.77</v>
      </c>
      <c r="G419" s="1402">
        <v>226.75</v>
      </c>
      <c r="H419" s="507">
        <v>77.75</v>
      </c>
      <c r="I419" s="1364">
        <v>270.08999999999997</v>
      </c>
      <c r="J419" s="1117">
        <v>61242.9</v>
      </c>
      <c r="K419" s="502"/>
      <c r="L419" s="263" t="s">
        <v>1440</v>
      </c>
      <c r="U419" s="98">
        <v>220.97</v>
      </c>
      <c r="V419" s="1798">
        <v>270.08999999999997</v>
      </c>
      <c r="W419" s="1797">
        <v>61242.9</v>
      </c>
    </row>
    <row r="420" spans="1:23" ht="32.25" customHeight="1">
      <c r="A420" s="1627" t="s">
        <v>1409</v>
      </c>
      <c r="B420" s="1295">
        <v>102513</v>
      </c>
      <c r="C420" s="1302" t="s">
        <v>1613</v>
      </c>
      <c r="D420" s="452" t="s">
        <v>46</v>
      </c>
      <c r="E420" s="1305">
        <v>42.49</v>
      </c>
      <c r="F420" s="1311">
        <f>VLOOKUP(B420,'CADERNO DE COMPOSIÇÃO'!$A$8:$J$15448,10,FALSE)</f>
        <v>34.68</v>
      </c>
      <c r="G420" s="1402">
        <v>5.78</v>
      </c>
      <c r="H420" s="1369">
        <v>5.78</v>
      </c>
      <c r="I420" s="1364">
        <v>51.93</v>
      </c>
      <c r="J420" s="1117">
        <v>300.14999999999998</v>
      </c>
      <c r="K420" s="502"/>
      <c r="L420" s="53"/>
      <c r="U420" s="98">
        <v>42.49</v>
      </c>
      <c r="V420" s="1798">
        <v>51.93</v>
      </c>
      <c r="W420" s="1797">
        <v>300.14999999999998</v>
      </c>
    </row>
    <row r="421" spans="1:23" ht="31.5" customHeight="1">
      <c r="A421" s="1627" t="s">
        <v>1410</v>
      </c>
      <c r="B421" s="1309">
        <v>102500</v>
      </c>
      <c r="C421" s="1302" t="s">
        <v>1612</v>
      </c>
      <c r="D421" s="1401" t="s">
        <v>54</v>
      </c>
      <c r="E421" s="1305">
        <v>3.98</v>
      </c>
      <c r="F421" s="1311">
        <f>VLOOKUP(B421,'CADERNO DE COMPOSIÇÃO'!$A$8:$J$15448,10,FALSE)</f>
        <v>3.2399999999999998</v>
      </c>
      <c r="G421" s="1402">
        <v>150.49</v>
      </c>
      <c r="H421" s="1369">
        <v>117.04</v>
      </c>
      <c r="I421" s="1364">
        <v>4.8600000000000003</v>
      </c>
      <c r="J421" s="1117">
        <v>731.38</v>
      </c>
      <c r="K421" s="502"/>
      <c r="L421" s="53"/>
      <c r="U421" s="98">
        <v>3.98</v>
      </c>
      <c r="V421" s="1798">
        <v>4.8600000000000003</v>
      </c>
      <c r="W421" s="1797">
        <v>731.38</v>
      </c>
    </row>
    <row r="422" spans="1:23" ht="18" customHeight="1">
      <c r="A422" s="1627" t="s">
        <v>1411</v>
      </c>
      <c r="B422" s="1295" t="s">
        <v>2384</v>
      </c>
      <c r="C422" s="1302" t="s">
        <v>2385</v>
      </c>
      <c r="D422" s="1401" t="s">
        <v>55</v>
      </c>
      <c r="E422" s="1305">
        <f>K422</f>
        <v>1212.95</v>
      </c>
      <c r="F422" s="1311">
        <f>VLOOKUP(B422,'CADERNO DE COMPOSIÇÃO'!$A$8:$J$15448,10,FALSE)</f>
        <v>986.38</v>
      </c>
      <c r="G422" s="1402">
        <v>1</v>
      </c>
      <c r="H422" s="1742"/>
      <c r="I422" s="1364">
        <v>1482.58</v>
      </c>
      <c r="J422" s="1117">
        <v>1482.58</v>
      </c>
      <c r="K422" s="96">
        <f>'COMP CIVIL'!F501</f>
        <v>1212.95</v>
      </c>
      <c r="L422" s="53"/>
      <c r="U422" s="98">
        <v>1212.95</v>
      </c>
      <c r="V422" s="1798">
        <v>1482.58</v>
      </c>
      <c r="W422" s="1797">
        <v>1482.58</v>
      </c>
    </row>
    <row r="423" spans="1:23" ht="15.75" thickBot="1">
      <c r="A423" s="427"/>
      <c r="B423" s="1108"/>
      <c r="C423" s="1109"/>
      <c r="D423" s="1108"/>
      <c r="E423" s="1090"/>
      <c r="F423" s="1311"/>
      <c r="G423" s="1091"/>
      <c r="H423" s="1110"/>
      <c r="I423" s="1674" t="s">
        <v>15</v>
      </c>
      <c r="J423" s="79">
        <v>277761.17</v>
      </c>
      <c r="K423" s="470"/>
      <c r="L423" s="53"/>
      <c r="U423" s="98"/>
      <c r="V423" s="1801" t="s">
        <v>15</v>
      </c>
      <c r="W423" s="1798">
        <v>277761.17</v>
      </c>
    </row>
    <row r="424" spans="1:23" ht="12.75" customHeight="1">
      <c r="A424" s="428">
        <v>19</v>
      </c>
      <c r="B424" s="201"/>
      <c r="C424" s="429" t="s">
        <v>24</v>
      </c>
      <c r="D424" s="1876"/>
      <c r="E424" s="1069"/>
      <c r="F424" s="1069"/>
      <c r="G424" s="651" t="s">
        <v>42</v>
      </c>
      <c r="H424" s="651"/>
      <c r="I424" s="651" t="s">
        <v>42</v>
      </c>
      <c r="J424" s="430" t="s">
        <v>42</v>
      </c>
      <c r="K424" s="306"/>
      <c r="L424" s="53"/>
      <c r="U424" s="98"/>
      <c r="V424" s="1798" t="s">
        <v>42</v>
      </c>
      <c r="W424" s="1798" t="s">
        <v>42</v>
      </c>
    </row>
    <row r="425" spans="1:23" ht="33" customHeight="1">
      <c r="A425" s="1627" t="s">
        <v>579</v>
      </c>
      <c r="B425" s="1111">
        <v>99803</v>
      </c>
      <c r="C425" s="1313" t="s">
        <v>1976</v>
      </c>
      <c r="D425" s="1107" t="s">
        <v>46</v>
      </c>
      <c r="E425" s="1067">
        <v>1.88</v>
      </c>
      <c r="F425" s="1311">
        <f>VLOOKUP(B425,'CADERNO DE COMPOSIÇÃO'!$A$8:$J$15448,10,FALSE)</f>
        <v>1.88</v>
      </c>
      <c r="G425" s="1073">
        <v>246.05</v>
      </c>
      <c r="H425" s="1074">
        <v>246.05</v>
      </c>
      <c r="I425" s="1028">
        <v>2.29</v>
      </c>
      <c r="J425" s="1031">
        <v>563.45000000000005</v>
      </c>
      <c r="K425" s="306"/>
      <c r="L425" s="344"/>
      <c r="U425" s="98">
        <v>1.88</v>
      </c>
      <c r="V425" s="1798">
        <v>2.29</v>
      </c>
      <c r="W425" s="1798">
        <v>563.45000000000005</v>
      </c>
    </row>
    <row r="426" spans="1:23" ht="31.5" customHeight="1">
      <c r="A426" s="1627" t="s">
        <v>582</v>
      </c>
      <c r="B426" s="1111">
        <v>99806</v>
      </c>
      <c r="C426" s="1302" t="s">
        <v>1977</v>
      </c>
      <c r="D426" s="1107" t="s">
        <v>46</v>
      </c>
      <c r="E426" s="1067">
        <v>0.77</v>
      </c>
      <c r="F426" s="1311">
        <f>VLOOKUP(B426,'CADERNO DE COMPOSIÇÃO'!$A$8:$J$15448,10,FALSE)</f>
        <v>0.77</v>
      </c>
      <c r="G426" s="1073">
        <v>98.67</v>
      </c>
      <c r="H426" s="1074">
        <v>98.67</v>
      </c>
      <c r="I426" s="1028">
        <v>0.94</v>
      </c>
      <c r="J426" s="1031">
        <v>92.74</v>
      </c>
      <c r="K426" s="221"/>
      <c r="L426" s="344"/>
      <c r="U426" s="98">
        <v>0.77</v>
      </c>
      <c r="V426" s="1798">
        <v>0.94</v>
      </c>
      <c r="W426" s="1798">
        <v>92.74</v>
      </c>
    </row>
    <row r="427" spans="1:23" ht="20.25" customHeight="1">
      <c r="A427" s="1627" t="s">
        <v>1672</v>
      </c>
      <c r="B427" s="1111">
        <v>99814</v>
      </c>
      <c r="C427" s="1302" t="s">
        <v>588</v>
      </c>
      <c r="D427" s="1107" t="s">
        <v>46</v>
      </c>
      <c r="E427" s="1067">
        <v>1.8</v>
      </c>
      <c r="F427" s="1311">
        <f>VLOOKUP(B427,'CADERNO DE COMPOSIÇÃO'!$A$8:$J$15448,10,FALSE)</f>
        <v>1.8</v>
      </c>
      <c r="G427" s="1073">
        <v>890.78</v>
      </c>
      <c r="H427" s="1074">
        <v>288.94</v>
      </c>
      <c r="I427" s="1028">
        <v>2.2000000000000002</v>
      </c>
      <c r="J427" s="1031">
        <v>1959.71</v>
      </c>
      <c r="K427" s="433"/>
      <c r="L427" s="634" t="s">
        <v>1978</v>
      </c>
      <c r="U427" s="98">
        <v>1.8</v>
      </c>
      <c r="V427" s="1798">
        <v>2.2000000000000002</v>
      </c>
      <c r="W427" s="1798">
        <v>1959.71</v>
      </c>
    </row>
    <row r="428" spans="1:23" ht="15.75" thickBot="1">
      <c r="A428" s="1624"/>
      <c r="B428" s="1392"/>
      <c r="C428" s="1392"/>
      <c r="D428" s="1392"/>
      <c r="E428" s="1688"/>
      <c r="F428" s="1688"/>
      <c r="G428" s="1415"/>
      <c r="H428" s="1685"/>
      <c r="I428" s="1674" t="s">
        <v>15</v>
      </c>
      <c r="J428" s="79">
        <f>TRUNC(SUM(J425:J427),2)</f>
        <v>2615.9</v>
      </c>
      <c r="K428" s="306"/>
      <c r="L428" t="s">
        <v>42</v>
      </c>
      <c r="U428" s="98"/>
      <c r="V428" s="1801" t="s">
        <v>15</v>
      </c>
      <c r="W428" s="1798">
        <v>1291.8499999999999</v>
      </c>
    </row>
    <row r="429" spans="1:23" ht="15.75">
      <c r="A429" s="126"/>
      <c r="B429" s="1904" t="s">
        <v>25</v>
      </c>
      <c r="C429" s="1905"/>
      <c r="D429" s="1905"/>
      <c r="E429" s="1905"/>
      <c r="F429" s="1905"/>
      <c r="G429" s="1905"/>
      <c r="H429" s="1905"/>
      <c r="I429" s="1905"/>
      <c r="J429" s="359">
        <f>TRUNC((J18+J34+J39+J94+J104+J113+J125+J142+J156+J163+J166+J219+J249+J258+J290+J307+J336+J349+J363+J371+J407+J423+J428),2)</f>
        <v>2147457.41</v>
      </c>
      <c r="K429" s="345"/>
      <c r="L429" s="1621">
        <f>SUM(J17:J428)/2</f>
        <v>2147457.4099999997</v>
      </c>
      <c r="M429" s="1622">
        <f>L429-J429</f>
        <v>0</v>
      </c>
      <c r="W429" s="1798">
        <v>2155141.79</v>
      </c>
    </row>
    <row r="430" spans="1:23" ht="15.75">
      <c r="A430" s="1689"/>
      <c r="B430" s="1906" t="s">
        <v>26</v>
      </c>
      <c r="C430" s="1907"/>
      <c r="D430" s="1907"/>
      <c r="E430" s="1908">
        <f>J429</f>
        <v>2147457.41</v>
      </c>
      <c r="F430" s="1908"/>
      <c r="G430" s="1909"/>
      <c r="H430" s="1909"/>
      <c r="I430" s="1909"/>
      <c r="J430" s="127"/>
      <c r="K430" s="306"/>
      <c r="L430" s="98"/>
      <c r="U430" s="1798">
        <v>1746072.62</v>
      </c>
    </row>
    <row r="431" spans="1:23">
      <c r="A431" s="55"/>
      <c r="B431" s="16"/>
      <c r="C431" s="16"/>
      <c r="D431" s="16"/>
      <c r="E431" s="16"/>
      <c r="F431" s="16"/>
      <c r="G431" s="16"/>
      <c r="H431" s="16"/>
      <c r="I431" s="16"/>
      <c r="J431" s="1831" t="str">
        <f>'RESUMO SEM DESONERAÇÃO'!$E$41</f>
        <v>CUIABÁ-MT, 15 DE MAIO DE 2023.</v>
      </c>
      <c r="K431" s="1192"/>
    </row>
    <row r="433" spans="1:10">
      <c r="A433" s="1916" t="str">
        <f>'RESUMO SEM DESONERAÇÃO'!$A$47:$E$47</f>
        <v>_______________________________________</v>
      </c>
      <c r="B433" s="1916"/>
      <c r="C433" s="1916"/>
      <c r="D433" s="1916"/>
      <c r="E433" s="1916"/>
      <c r="F433" s="1916"/>
      <c r="G433" s="1916"/>
      <c r="H433" s="1916"/>
      <c r="I433" s="1916"/>
      <c r="J433" s="1916"/>
    </row>
    <row r="434" spans="1:10">
      <c r="A434" s="1916" t="str">
        <f>'RESUMO SEM DESONERAÇÃO'!$A$48:$E$48</f>
        <v>PAULO PAZETO MEDEIROS</v>
      </c>
      <c r="B434" s="1916"/>
      <c r="C434" s="1916"/>
      <c r="D434" s="1916"/>
      <c r="E434" s="1916"/>
      <c r="F434" s="1916"/>
      <c r="G434" s="1916"/>
      <c r="H434" s="1916"/>
      <c r="I434" s="1916"/>
      <c r="J434" s="1916"/>
    </row>
    <row r="435" spans="1:10">
      <c r="A435" s="1916" t="str">
        <f>'RESUMO SEM DESONERAÇÃO'!$A$49:$E$49</f>
        <v>DIRETOR/ENGENHEIRO CIVIL</v>
      </c>
      <c r="B435" s="1916"/>
      <c r="C435" s="1916"/>
      <c r="D435" s="1916"/>
      <c r="E435" s="1916"/>
      <c r="F435" s="1916"/>
      <c r="G435" s="1916"/>
      <c r="H435" s="1916"/>
      <c r="I435" s="1916"/>
      <c r="J435" s="1916"/>
    </row>
    <row r="436" spans="1:10">
      <c r="A436" s="1916" t="str">
        <f>'RESUMO SEM DESONERAÇÃO'!$A$50:$E$50</f>
        <v>CREA MT034442</v>
      </c>
      <c r="B436" s="1916"/>
      <c r="C436" s="1916"/>
      <c r="D436" s="1916"/>
      <c r="E436" s="1916"/>
      <c r="F436" s="1916"/>
      <c r="G436" s="1916"/>
      <c r="H436" s="1916"/>
      <c r="I436" s="1916"/>
      <c r="J436" s="1916"/>
    </row>
    <row r="437" spans="1:10">
      <c r="A437" s="1916" t="str">
        <f>'RESUMO SEM DESONERAÇÃO'!$A$51:$E$51</f>
        <v>CPF 037.578.081-50</v>
      </c>
      <c r="B437" s="1916"/>
      <c r="C437" s="1916"/>
      <c r="D437" s="1916"/>
      <c r="E437" s="1916"/>
      <c r="F437" s="1916"/>
      <c r="G437" s="1916"/>
      <c r="H437" s="1916"/>
      <c r="I437" s="1916"/>
      <c r="J437" s="1916"/>
    </row>
  </sheetData>
  <mergeCells count="19">
    <mergeCell ref="A433:J433"/>
    <mergeCell ref="A434:J434"/>
    <mergeCell ref="A435:J435"/>
    <mergeCell ref="A436:J436"/>
    <mergeCell ref="A437:J437"/>
    <mergeCell ref="B11:C11"/>
    <mergeCell ref="B12:C12"/>
    <mergeCell ref="C3:I3"/>
    <mergeCell ref="C4:I4"/>
    <mergeCell ref="C5:I5"/>
    <mergeCell ref="B10:C10"/>
    <mergeCell ref="B9:D9"/>
    <mergeCell ref="A8:J8"/>
    <mergeCell ref="B429:I429"/>
    <mergeCell ref="B430:D430"/>
    <mergeCell ref="E430:I430"/>
    <mergeCell ref="N23:P23"/>
    <mergeCell ref="L225:M225"/>
    <mergeCell ref="L23:M23"/>
  </mergeCells>
  <phoneticPr fontId="122" type="noConversion"/>
  <printOptions horizontalCentered="1"/>
  <pageMargins left="0.39370078740157483" right="0.39370078740157483" top="0.39370078740157483" bottom="0.39370078740157483" header="0.31496062992125984" footer="0.31496062992125984"/>
  <pageSetup paperSize="9" scale="55" orientation="portrait" r:id="rId1"/>
  <ignoredErrors>
    <ignoredError sqref="J113 J290 J125 J163 J166" formula="1"/>
    <ignoredError sqref="K311 K318:K319 K332 K334 K33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7A45-41B1-45C6-98A1-F12FEED78578}">
  <dimension ref="A1:O2681"/>
  <sheetViews>
    <sheetView tabSelected="1" view="pageBreakPreview" zoomScaleNormal="100" zoomScaleSheetLayoutView="100" workbookViewId="0">
      <selection activeCell="H16" sqref="H16"/>
    </sheetView>
  </sheetViews>
  <sheetFormatPr defaultRowHeight="15"/>
  <cols>
    <col min="1" max="1" width="9.7109375" customWidth="1"/>
    <col min="2" max="2" width="11.28515625" bestFit="1" customWidth="1"/>
    <col min="3" max="3" width="9.5703125" customWidth="1"/>
    <col min="4" max="4" width="42.140625" customWidth="1"/>
    <col min="5" max="5" width="4.7109375" bestFit="1" customWidth="1"/>
    <col min="6" max="6" width="11.28515625" bestFit="1" customWidth="1"/>
    <col min="7" max="7" width="9.140625" hidden="1" customWidth="1"/>
    <col min="8" max="8" width="11.85546875" bestFit="1" customWidth="1"/>
    <col min="9" max="9" width="12.85546875" bestFit="1" customWidth="1"/>
    <col min="10" max="10" width="11.42578125" hidden="1" customWidth="1"/>
    <col min="11" max="11" width="15.28515625" customWidth="1"/>
    <col min="12" max="12" width="14.140625" customWidth="1"/>
    <col min="13" max="13" width="15.85546875" bestFit="1" customWidth="1"/>
    <col min="15" max="15" width="14.140625" bestFit="1" customWidth="1"/>
  </cols>
  <sheetData>
    <row r="1" spans="1:15" ht="110.25" customHeight="1">
      <c r="A1" s="1926"/>
      <c r="B1" s="1926"/>
      <c r="C1" s="1926"/>
      <c r="D1" s="1926"/>
      <c r="E1" s="1926"/>
      <c r="F1" s="1926"/>
      <c r="G1" s="1926"/>
      <c r="H1" s="1926"/>
      <c r="I1" s="1926"/>
    </row>
    <row r="2" spans="1:15">
      <c r="A2" s="1927" t="s">
        <v>2388</v>
      </c>
      <c r="B2" s="1928"/>
      <c r="C2" s="1928"/>
      <c r="D2" s="1928"/>
      <c r="E2" s="1928"/>
      <c r="F2" s="1928"/>
      <c r="G2" s="1928"/>
      <c r="H2" s="1928"/>
      <c r="I2" s="1929"/>
      <c r="J2" s="1743"/>
      <c r="K2" s="1933" t="s">
        <v>2389</v>
      </c>
      <c r="L2" s="1934" t="s">
        <v>2390</v>
      </c>
      <c r="M2" s="1934"/>
      <c r="N2" s="1934"/>
      <c r="O2" s="1934"/>
    </row>
    <row r="3" spans="1:15">
      <c r="A3" s="1930"/>
      <c r="B3" s="1931"/>
      <c r="C3" s="1931"/>
      <c r="D3" s="1931"/>
      <c r="E3" s="1931"/>
      <c r="F3" s="1931"/>
      <c r="G3" s="1931"/>
      <c r="H3" s="1931"/>
      <c r="I3" s="1932"/>
      <c r="J3" s="1743"/>
      <c r="K3" s="1933"/>
      <c r="L3" s="1934" t="s">
        <v>2391</v>
      </c>
      <c r="M3" s="1934" t="s">
        <v>2392</v>
      </c>
      <c r="N3" s="1934" t="s">
        <v>2393</v>
      </c>
      <c r="O3" s="1934"/>
    </row>
    <row r="4" spans="1:15">
      <c r="A4" s="1744" t="s">
        <v>2394</v>
      </c>
      <c r="B4" s="1935" t="str">
        <f>'PLANILHA SEM DESON'!B10:C10</f>
        <v>CONSTRUÇÃO DE DIRETORIA DE UNIDADE DESCONCENTRADA DA SEMA - DUDS</v>
      </c>
      <c r="C4" s="1936"/>
      <c r="D4" s="1936"/>
      <c r="E4" s="1936"/>
      <c r="F4" s="1936"/>
      <c r="G4" s="1936"/>
      <c r="H4" s="1936"/>
      <c r="I4" s="1937"/>
      <c r="J4" s="1743"/>
      <c r="K4" s="1933"/>
      <c r="L4" s="1934"/>
      <c r="M4" s="1934"/>
      <c r="N4" s="1745" t="s">
        <v>31</v>
      </c>
      <c r="O4" s="1746" t="s">
        <v>2395</v>
      </c>
    </row>
    <row r="5" spans="1:15">
      <c r="A5" s="1744" t="s">
        <v>2396</v>
      </c>
      <c r="B5" s="1938" t="str">
        <f>'PLANILHA SEM DESON'!C13</f>
        <v xml:space="preserve"> FONTE: SINAPI OUT/2022(SEM DESONERAÇÃO)</v>
      </c>
      <c r="C5" s="1938"/>
      <c r="D5" s="1938"/>
      <c r="E5" s="1938"/>
      <c r="F5" s="1938"/>
      <c r="G5" s="1938"/>
      <c r="H5" s="1938"/>
      <c r="I5" s="1747"/>
      <c r="J5" s="1743"/>
      <c r="K5" s="1933"/>
      <c r="L5" s="1748">
        <v>2155141.79</v>
      </c>
      <c r="M5" s="1749">
        <f>'PLANILHA SEM DESON'!J429</f>
        <v>2147457.41</v>
      </c>
      <c r="N5" s="1750">
        <f>O5/L5</f>
        <v>3.5656029852216306E-3</v>
      </c>
      <c r="O5" s="1751">
        <f>L5-M5</f>
        <v>7684.3799999998882</v>
      </c>
    </row>
    <row r="6" spans="1:15">
      <c r="A6" s="1752" t="s">
        <v>2397</v>
      </c>
      <c r="B6" s="1939" t="str">
        <f>'PLANILHA SEM DESON'!B12:C12</f>
        <v>CONFRESA - MT</v>
      </c>
      <c r="C6" s="1940"/>
      <c r="D6" s="1940"/>
      <c r="E6" s="1940"/>
      <c r="F6" s="1940"/>
      <c r="G6" s="1940"/>
      <c r="H6" s="1940"/>
      <c r="I6" s="1747"/>
      <c r="J6" s="1743"/>
      <c r="K6" s="1753"/>
      <c r="L6" s="1941" t="s">
        <v>2398</v>
      </c>
      <c r="M6" s="1942"/>
      <c r="N6" s="1942"/>
      <c r="O6" s="1943"/>
    </row>
    <row r="7" spans="1:15">
      <c r="A7" s="1754" t="s">
        <v>2399</v>
      </c>
      <c r="B7" s="1944" t="s">
        <v>2400</v>
      </c>
      <c r="C7" s="1945"/>
      <c r="D7" s="1945"/>
      <c r="E7" s="1945"/>
      <c r="F7" s="1945"/>
      <c r="G7" s="1945"/>
      <c r="H7" s="1946"/>
      <c r="I7" s="1755" t="s">
        <v>193</v>
      </c>
      <c r="J7" s="1743"/>
      <c r="K7" s="1753">
        <v>6.0000000000000001E-3</v>
      </c>
      <c r="L7" s="1756"/>
      <c r="M7" s="1756"/>
      <c r="N7" s="1756"/>
      <c r="O7" s="1756"/>
    </row>
    <row r="8" spans="1:15">
      <c r="A8" s="1757" t="str">
        <f>'PLANILHA SEM DESON'!B17</f>
        <v>COMP 01</v>
      </c>
      <c r="B8" s="1923" t="str">
        <f>VLOOKUP(A8,'PLANILHA SEM DESON'!$B$17:$D$1699,2,FALSE)</f>
        <v>ADMINISTRAÇÃO LOCAL DA OBRA</v>
      </c>
      <c r="C8" s="1924"/>
      <c r="D8" s="1924"/>
      <c r="E8" s="1924"/>
      <c r="F8" s="1924"/>
      <c r="G8" s="1924"/>
      <c r="H8" s="1925"/>
      <c r="I8" s="1758" t="str">
        <f>VLOOKUP(A8,'PLANILHA SEM DESON'!$B$17:$D$1699,3,FALSE)</f>
        <v xml:space="preserve">un </v>
      </c>
      <c r="J8" s="1759">
        <f>I13</f>
        <v>80240.959999999992</v>
      </c>
      <c r="K8" s="1760"/>
      <c r="M8" s="1756"/>
      <c r="N8" s="1756"/>
      <c r="O8" s="1756"/>
    </row>
    <row r="9" spans="1:15" ht="24">
      <c r="A9" s="1761" t="s">
        <v>2401</v>
      </c>
      <c r="B9" s="1762" t="s">
        <v>2402</v>
      </c>
      <c r="C9" s="1763" t="s">
        <v>2399</v>
      </c>
      <c r="D9" s="1764" t="s">
        <v>284</v>
      </c>
      <c r="E9" s="1763" t="s">
        <v>193</v>
      </c>
      <c r="F9" s="1765" t="s">
        <v>2403</v>
      </c>
      <c r="G9" s="1763" t="s">
        <v>2404</v>
      </c>
      <c r="H9" s="1766" t="s">
        <v>2405</v>
      </c>
      <c r="I9" s="1767" t="s">
        <v>2406</v>
      </c>
      <c r="J9" s="1768"/>
      <c r="M9" s="1769"/>
      <c r="N9" s="1756"/>
      <c r="O9" s="1756"/>
    </row>
    <row r="10" spans="1:15" ht="24">
      <c r="A10" s="1770" t="s">
        <v>2407</v>
      </c>
      <c r="B10" s="1771" t="s">
        <v>7</v>
      </c>
      <c r="C10" s="1771">
        <v>90776</v>
      </c>
      <c r="D10" s="1772" t="s">
        <v>119</v>
      </c>
      <c r="E10" s="1773" t="s">
        <v>57</v>
      </c>
      <c r="F10" s="1779">
        <v>704</v>
      </c>
      <c r="G10" s="1780">
        <v>28.39</v>
      </c>
      <c r="H10" s="1775">
        <f>IF(E10="H",G10,TRUNC(G10*(1-$K$7),2))</f>
        <v>28.39</v>
      </c>
      <c r="I10" s="1776">
        <f t="shared" ref="I10:I12" si="0">TRUNC(H10*F10,2)</f>
        <v>19986.560000000001</v>
      </c>
      <c r="J10" s="1768"/>
      <c r="M10" s="1769"/>
      <c r="N10" s="1756"/>
      <c r="O10" s="1756"/>
    </row>
    <row r="11" spans="1:15">
      <c r="A11" s="1770" t="s">
        <v>2407</v>
      </c>
      <c r="B11" s="1771" t="s">
        <v>7</v>
      </c>
      <c r="C11" s="1771">
        <v>88326</v>
      </c>
      <c r="D11" s="1772" t="s">
        <v>2119</v>
      </c>
      <c r="E11" s="1773" t="s">
        <v>57</v>
      </c>
      <c r="F11" s="1779">
        <v>1440</v>
      </c>
      <c r="G11" s="1780">
        <v>24.65</v>
      </c>
      <c r="H11" s="1775">
        <f>IF(E11="H",G11,TRUNC(G11*(1-$K$7),2))</f>
        <v>24.65</v>
      </c>
      <c r="I11" s="1776">
        <f t="shared" si="0"/>
        <v>35496</v>
      </c>
      <c r="J11" s="1768"/>
      <c r="M11" s="1769"/>
      <c r="N11" s="1756"/>
      <c r="O11" s="1756"/>
    </row>
    <row r="12" spans="1:15" ht="24">
      <c r="A12" s="1770" t="s">
        <v>2407</v>
      </c>
      <c r="B12" s="1771" t="s">
        <v>7</v>
      </c>
      <c r="C12" s="1771">
        <v>90777</v>
      </c>
      <c r="D12" s="1772" t="s">
        <v>131</v>
      </c>
      <c r="E12" s="1773" t="s">
        <v>57</v>
      </c>
      <c r="F12" s="1779">
        <v>240</v>
      </c>
      <c r="G12" s="1781">
        <v>103.16</v>
      </c>
      <c r="H12" s="1775">
        <f>IF(E12="H",G12,TRUNC(G12*(1-$K$7),2))</f>
        <v>103.16</v>
      </c>
      <c r="I12" s="1776">
        <f t="shared" si="0"/>
        <v>24758.400000000001</v>
      </c>
      <c r="J12" s="1768"/>
      <c r="M12" s="1769"/>
      <c r="N12" s="1756"/>
      <c r="O12" s="1756"/>
    </row>
    <row r="13" spans="1:15">
      <c r="A13" s="1917" t="s">
        <v>2408</v>
      </c>
      <c r="B13" s="1918"/>
      <c r="C13" s="1918"/>
      <c r="D13" s="1918"/>
      <c r="E13" s="1918"/>
      <c r="F13" s="1918"/>
      <c r="G13" s="1918"/>
      <c r="H13" s="1919"/>
      <c r="I13" s="1778">
        <f>SUM(I10:I12)</f>
        <v>80240.959999999992</v>
      </c>
      <c r="J13" s="1768"/>
      <c r="K13" s="1777"/>
      <c r="L13" s="1756"/>
      <c r="M13" s="1756"/>
      <c r="N13" s="1756"/>
      <c r="O13" s="1756"/>
    </row>
    <row r="14" spans="1:15">
      <c r="A14" s="1920"/>
      <c r="B14" s="1921"/>
      <c r="C14" s="1921"/>
      <c r="D14" s="1921"/>
      <c r="E14" s="1921"/>
      <c r="F14" s="1921"/>
      <c r="G14" s="1921"/>
      <c r="H14" s="1921"/>
      <c r="I14" s="1922"/>
      <c r="J14" s="1768"/>
      <c r="K14" s="1777"/>
      <c r="L14" s="1756"/>
      <c r="M14" s="1756"/>
      <c r="N14" s="1756"/>
      <c r="O14" s="1756"/>
    </row>
    <row r="15" spans="1:15">
      <c r="A15" s="1757" t="str">
        <f>'PLANILHA SEM DESON'!B20</f>
        <v>COMP 02</v>
      </c>
      <c r="B15" s="1923" t="str">
        <f>VLOOKUP(A15,'PLANILHA SEM DESON'!$B$17:$D$1699,2,FALSE)</f>
        <v>PLACA DE OBRA EM CHAPA DE ACO GALVANIZADO</v>
      </c>
      <c r="C15" s="1924"/>
      <c r="D15" s="1924"/>
      <c r="E15" s="1924"/>
      <c r="F15" s="1924"/>
      <c r="G15" s="1924"/>
      <c r="H15" s="1925"/>
      <c r="I15" s="1758" t="str">
        <f>VLOOKUP(A15,'PLANILHA SEM DESON'!$B$17:$D$1699,3,FALSE)</f>
        <v>m²</v>
      </c>
      <c r="J15" s="1759">
        <f>I24</f>
        <v>521.25000000000011</v>
      </c>
      <c r="K15" s="1760"/>
    </row>
    <row r="16" spans="1:15" ht="24">
      <c r="A16" s="1761" t="s">
        <v>2401</v>
      </c>
      <c r="B16" s="1762" t="s">
        <v>2402</v>
      </c>
      <c r="C16" s="1763" t="s">
        <v>2399</v>
      </c>
      <c r="D16" s="1764" t="s">
        <v>284</v>
      </c>
      <c r="E16" s="1763" t="s">
        <v>193</v>
      </c>
      <c r="F16" s="1765" t="s">
        <v>2403</v>
      </c>
      <c r="G16" s="1763" t="s">
        <v>2404</v>
      </c>
      <c r="H16" s="1766" t="s">
        <v>2405</v>
      </c>
      <c r="I16" s="1767" t="s">
        <v>2406</v>
      </c>
      <c r="J16" s="1768"/>
    </row>
    <row r="17" spans="1:11" ht="24">
      <c r="A17" s="1770" t="s">
        <v>2407</v>
      </c>
      <c r="B17" s="1771" t="s">
        <v>7</v>
      </c>
      <c r="C17" s="1771">
        <v>88262</v>
      </c>
      <c r="D17" s="1772" t="s">
        <v>411</v>
      </c>
      <c r="E17" s="1773" t="s">
        <v>57</v>
      </c>
      <c r="F17" s="1779">
        <v>1</v>
      </c>
      <c r="G17" s="1781">
        <v>24.32</v>
      </c>
      <c r="H17" s="1775">
        <f t="shared" ref="H17:H23" si="1">IF(E17="H",G17,TRUNC(G17*(1-$K$7),2))</f>
        <v>24.32</v>
      </c>
      <c r="I17" s="1776">
        <f t="shared" ref="I17:I20" si="2">TRUNC(H17*F17,2)</f>
        <v>24.32</v>
      </c>
      <c r="J17" s="1768"/>
    </row>
    <row r="18" spans="1:11">
      <c r="A18" s="1770" t="s">
        <v>2407</v>
      </c>
      <c r="B18" s="1771" t="s">
        <v>7</v>
      </c>
      <c r="C18" s="1771">
        <v>88316</v>
      </c>
      <c r="D18" s="1772" t="s">
        <v>66</v>
      </c>
      <c r="E18" s="1773" t="s">
        <v>57</v>
      </c>
      <c r="F18" s="1779">
        <v>2</v>
      </c>
      <c r="G18" s="1781">
        <v>19.45</v>
      </c>
      <c r="H18" s="1775">
        <f t="shared" si="1"/>
        <v>19.45</v>
      </c>
      <c r="I18" s="1776">
        <f t="shared" si="2"/>
        <v>38.9</v>
      </c>
      <c r="J18" s="1768"/>
    </row>
    <row r="19" spans="1:11" ht="36">
      <c r="A19" s="1770" t="s">
        <v>2407</v>
      </c>
      <c r="B19" s="1771" t="s">
        <v>7</v>
      </c>
      <c r="C19" s="1771">
        <v>94962</v>
      </c>
      <c r="D19" s="1772" t="s">
        <v>412</v>
      </c>
      <c r="E19" s="1773" t="s">
        <v>47</v>
      </c>
      <c r="F19" s="1779">
        <v>0.01</v>
      </c>
      <c r="G19" s="1779">
        <v>438.71</v>
      </c>
      <c r="H19" s="1775">
        <f t="shared" si="1"/>
        <v>436.07</v>
      </c>
      <c r="I19" s="1776">
        <f t="shared" si="2"/>
        <v>4.3600000000000003</v>
      </c>
      <c r="J19" s="1768"/>
    </row>
    <row r="20" spans="1:11" ht="36">
      <c r="A20" s="1770" t="s">
        <v>2407</v>
      </c>
      <c r="B20" s="1771" t="s">
        <v>2410</v>
      </c>
      <c r="C20" s="1771">
        <v>4417</v>
      </c>
      <c r="D20" s="1772" t="s">
        <v>413</v>
      </c>
      <c r="E20" s="1773" t="s">
        <v>54</v>
      </c>
      <c r="F20" s="1779">
        <v>1</v>
      </c>
      <c r="G20" s="1779">
        <v>6.93</v>
      </c>
      <c r="H20" s="1775">
        <f t="shared" si="1"/>
        <v>6.88</v>
      </c>
      <c r="I20" s="1776">
        <f t="shared" si="2"/>
        <v>6.88</v>
      </c>
      <c r="J20" s="1768"/>
    </row>
    <row r="21" spans="1:11" ht="24">
      <c r="A21" s="1770" t="s">
        <v>2407</v>
      </c>
      <c r="B21" s="1771" t="s">
        <v>2410</v>
      </c>
      <c r="C21" s="1771">
        <v>4491</v>
      </c>
      <c r="D21" s="1772" t="s">
        <v>414</v>
      </c>
      <c r="E21" s="1773" t="s">
        <v>54</v>
      </c>
      <c r="F21" s="1779">
        <v>4</v>
      </c>
      <c r="G21" s="1779">
        <v>11.67</v>
      </c>
      <c r="H21" s="1775">
        <f t="shared" si="1"/>
        <v>11.59</v>
      </c>
      <c r="I21" s="1776">
        <f t="shared" ref="I21:I23" si="3">TRUNC(H21*F21,2)</f>
        <v>46.36</v>
      </c>
      <c r="J21" s="1768"/>
    </row>
    <row r="22" spans="1:11" ht="24">
      <c r="A22" s="1770" t="s">
        <v>2407</v>
      </c>
      <c r="B22" s="1771" t="s">
        <v>2410</v>
      </c>
      <c r="C22" s="1771">
        <v>4813</v>
      </c>
      <c r="D22" s="1772" t="s">
        <v>415</v>
      </c>
      <c r="E22" s="1773" t="s">
        <v>46</v>
      </c>
      <c r="F22" s="1779">
        <v>1</v>
      </c>
      <c r="G22" s="1779">
        <v>400</v>
      </c>
      <c r="H22" s="1775">
        <f t="shared" si="1"/>
        <v>397.6</v>
      </c>
      <c r="I22" s="1776">
        <f t="shared" si="3"/>
        <v>397.6</v>
      </c>
      <c r="J22" s="1768"/>
    </row>
    <row r="23" spans="1:11" ht="24">
      <c r="A23" s="1770" t="s">
        <v>2407</v>
      </c>
      <c r="B23" s="1771" t="s">
        <v>2410</v>
      </c>
      <c r="C23" s="1771">
        <v>5075</v>
      </c>
      <c r="D23" s="1772" t="s">
        <v>416</v>
      </c>
      <c r="E23" s="1773" t="s">
        <v>100</v>
      </c>
      <c r="F23" s="1779">
        <v>0.11</v>
      </c>
      <c r="G23" s="1779">
        <v>25.89</v>
      </c>
      <c r="H23" s="1775">
        <f t="shared" si="1"/>
        <v>25.73</v>
      </c>
      <c r="I23" s="1776">
        <f t="shared" si="3"/>
        <v>2.83</v>
      </c>
      <c r="J23" s="1768"/>
      <c r="K23" s="1777"/>
    </row>
    <row r="24" spans="1:11">
      <c r="A24" s="1917" t="s">
        <v>2408</v>
      </c>
      <c r="B24" s="1918"/>
      <c r="C24" s="1918"/>
      <c r="D24" s="1918"/>
      <c r="E24" s="1918"/>
      <c r="F24" s="1918"/>
      <c r="G24" s="1918"/>
      <c r="H24" s="1919"/>
      <c r="I24" s="1778">
        <f>SUM(I17:I23)</f>
        <v>521.25000000000011</v>
      </c>
      <c r="J24" s="1768"/>
      <c r="K24" s="1777"/>
    </row>
    <row r="25" spans="1:11">
      <c r="A25" s="1920"/>
      <c r="B25" s="1921"/>
      <c r="C25" s="1921"/>
      <c r="D25" s="1921"/>
      <c r="E25" s="1921"/>
      <c r="F25" s="1921"/>
      <c r="G25" s="1921"/>
      <c r="H25" s="1921"/>
      <c r="I25" s="1922"/>
      <c r="J25" s="1768"/>
      <c r="K25" s="1777"/>
    </row>
    <row r="26" spans="1:11" ht="28.5" customHeight="1">
      <c r="A26" s="1757">
        <f>'PLANILHA SEM DESON'!B21</f>
        <v>98525</v>
      </c>
      <c r="B26" s="1923" t="str">
        <f>VLOOKUP(A26,'PLANILHA SEM DESON'!$B$17:$D$1699,2,FALSE)</f>
        <v>LIMPEZA MECANIZADA DE CAMADA VEGETAL, VEGETAÇÃO E PEQUENAS ÁRVORES (DIÂMETRO DE TRONCO MENOR QUE 0,20 M), COM TRATOR DE ESTEIRAS.AF_05/2018</v>
      </c>
      <c r="C26" s="1924"/>
      <c r="D26" s="1924"/>
      <c r="E26" s="1924"/>
      <c r="F26" s="1924"/>
      <c r="G26" s="1924"/>
      <c r="H26" s="1925"/>
      <c r="I26" s="1758" t="str">
        <f>VLOOKUP(A26,'PLANILHA SEM DESON'!$B$17:$D$1699,3,FALSE)</f>
        <v>m²</v>
      </c>
      <c r="J26" s="1759">
        <f>I32</f>
        <v>0.35</v>
      </c>
      <c r="K26" s="1760"/>
    </row>
    <row r="27" spans="1:11" ht="24">
      <c r="A27" s="1761" t="s">
        <v>2401</v>
      </c>
      <c r="B27" s="1762" t="s">
        <v>2402</v>
      </c>
      <c r="C27" s="1763" t="s">
        <v>2399</v>
      </c>
      <c r="D27" s="1764" t="s">
        <v>284</v>
      </c>
      <c r="E27" s="1763" t="s">
        <v>193</v>
      </c>
      <c r="F27" s="1765" t="s">
        <v>2403</v>
      </c>
      <c r="G27" s="1763" t="s">
        <v>2404</v>
      </c>
      <c r="H27" s="1766" t="s">
        <v>2405</v>
      </c>
      <c r="I27" s="1767" t="s">
        <v>2406</v>
      </c>
      <c r="J27" s="1768"/>
    </row>
    <row r="28" spans="1:11">
      <c r="A28" s="1770" t="s">
        <v>2407</v>
      </c>
      <c r="B28" s="1771" t="s">
        <v>7</v>
      </c>
      <c r="C28" s="1771">
        <v>88316</v>
      </c>
      <c r="D28" s="1772" t="s">
        <v>66</v>
      </c>
      <c r="E28" s="1773" t="s">
        <v>387</v>
      </c>
      <c r="F28" s="1780">
        <v>3.0000000000000001E-3</v>
      </c>
      <c r="G28" s="1774">
        <v>19.45</v>
      </c>
      <c r="H28" s="1775">
        <f>IF(E28="H",G28,TRUNC(G28*(1-$K$7),2))</f>
        <v>19.45</v>
      </c>
      <c r="I28" s="1776">
        <f t="shared" ref="I28:I31" si="4">TRUNC(H28*F28,2)</f>
        <v>0.05</v>
      </c>
      <c r="J28" s="1768"/>
    </row>
    <row r="29" spans="1:11">
      <c r="A29" s="1770" t="s">
        <v>2407</v>
      </c>
      <c r="B29" s="1771" t="s">
        <v>7</v>
      </c>
      <c r="C29" s="1771">
        <v>88441</v>
      </c>
      <c r="D29" s="1772" t="s">
        <v>2411</v>
      </c>
      <c r="E29" s="1773" t="s">
        <v>387</v>
      </c>
      <c r="F29" s="1780">
        <v>3.0000000000000001E-3</v>
      </c>
      <c r="G29" s="1774">
        <v>21.15</v>
      </c>
      <c r="H29" s="1775">
        <f>IF(E29="H",G29,TRUNC(G29*(1-$K$7),2))</f>
        <v>21.15</v>
      </c>
      <c r="I29" s="1776">
        <f t="shared" si="4"/>
        <v>0.06</v>
      </c>
      <c r="J29" s="1768"/>
    </row>
    <row r="30" spans="1:11" ht="36">
      <c r="A30" s="1770" t="s">
        <v>2407</v>
      </c>
      <c r="B30" s="1771" t="s">
        <v>7</v>
      </c>
      <c r="C30" s="1771">
        <v>89031</v>
      </c>
      <c r="D30" s="1772" t="s">
        <v>2412</v>
      </c>
      <c r="E30" s="1773" t="s">
        <v>545</v>
      </c>
      <c r="F30" s="1780">
        <v>2.3999999999999998E-3</v>
      </c>
      <c r="G30" s="1774">
        <v>58.47</v>
      </c>
      <c r="H30" s="1775">
        <f>IF(E30="H",G30,TRUNC(G30*(1-$K$7),2))</f>
        <v>58.11</v>
      </c>
      <c r="I30" s="1776">
        <f t="shared" si="4"/>
        <v>0.13</v>
      </c>
      <c r="J30" s="1768"/>
    </row>
    <row r="31" spans="1:11" ht="36">
      <c r="A31" s="1770" t="s">
        <v>2407</v>
      </c>
      <c r="B31" s="1771" t="s">
        <v>7</v>
      </c>
      <c r="C31" s="1771">
        <v>89032</v>
      </c>
      <c r="D31" s="1772" t="s">
        <v>2413</v>
      </c>
      <c r="E31" s="1773" t="s">
        <v>425</v>
      </c>
      <c r="F31" s="1780">
        <v>5.9999999999999995E-4</v>
      </c>
      <c r="G31" s="1774">
        <v>186.05</v>
      </c>
      <c r="H31" s="1775">
        <f>IF(E31="H",G31,TRUNC(G31*(1-$K$7),2))</f>
        <v>184.93</v>
      </c>
      <c r="I31" s="1776">
        <f t="shared" si="4"/>
        <v>0.11</v>
      </c>
      <c r="J31" s="1768"/>
    </row>
    <row r="32" spans="1:11">
      <c r="A32" s="1917" t="s">
        <v>2408</v>
      </c>
      <c r="B32" s="1918"/>
      <c r="C32" s="1918"/>
      <c r="D32" s="1918"/>
      <c r="E32" s="1918"/>
      <c r="F32" s="1918"/>
      <c r="G32" s="1918"/>
      <c r="H32" s="1919"/>
      <c r="I32" s="1778">
        <f>SUM(I28:I31)</f>
        <v>0.35</v>
      </c>
      <c r="J32" s="1768"/>
      <c r="K32" s="1777"/>
    </row>
    <row r="33" spans="1:11">
      <c r="A33" s="1920"/>
      <c r="B33" s="1921"/>
      <c r="C33" s="1921"/>
      <c r="D33" s="1921"/>
      <c r="E33" s="1921"/>
      <c r="F33" s="1921"/>
      <c r="G33" s="1921"/>
      <c r="H33" s="1921"/>
      <c r="I33" s="1922"/>
      <c r="J33" s="1768"/>
      <c r="K33" s="1777"/>
    </row>
    <row r="34" spans="1:11" ht="27" customHeight="1">
      <c r="A34" s="1757">
        <f>'PLANILHA SEM DESON'!B22</f>
        <v>100981</v>
      </c>
      <c r="B34" s="1923" t="str">
        <f>VLOOKUP(A34,'PLANILHA SEM DESON'!$B$17:$D$1699,2,FALSE)</f>
        <v>CARGA, MANOBRA E DESCARGA DE ENTULHO EM CAMINHÃO BASCULANTE 6 M³ - CARGA COM ESCAVADEIRA HIDRÁULICA (CAÇAMBA DE 0,80 M³ / 111 HP) E DESCARGA LIVRE (UNIDADE: M3). AF_07/2020</v>
      </c>
      <c r="C34" s="1924"/>
      <c r="D34" s="1924"/>
      <c r="E34" s="1924"/>
      <c r="F34" s="1924"/>
      <c r="G34" s="1924"/>
      <c r="H34" s="1925"/>
      <c r="I34" s="1758" t="str">
        <f>VLOOKUP(A34,'PLANILHA SEM DESON'!$B$17:$D$1699,3,FALSE)</f>
        <v>m³</v>
      </c>
      <c r="J34" s="1759">
        <f>I40</f>
        <v>8.2799999999999994</v>
      </c>
    </row>
    <row r="35" spans="1:11" ht="24">
      <c r="A35" s="1761" t="s">
        <v>2401</v>
      </c>
      <c r="B35" s="1762" t="s">
        <v>2402</v>
      </c>
      <c r="C35" s="1763" t="s">
        <v>2399</v>
      </c>
      <c r="D35" s="1764" t="s">
        <v>284</v>
      </c>
      <c r="E35" s="1763" t="s">
        <v>193</v>
      </c>
      <c r="F35" s="1765" t="s">
        <v>2403</v>
      </c>
      <c r="G35" s="1763" t="s">
        <v>2404</v>
      </c>
      <c r="H35" s="1766" t="s">
        <v>2405</v>
      </c>
      <c r="I35" s="1767" t="s">
        <v>2406</v>
      </c>
      <c r="J35" s="1768"/>
    </row>
    <row r="36" spans="1:11" ht="36">
      <c r="A36" s="1770" t="s">
        <v>2407</v>
      </c>
      <c r="B36" s="1771" t="s">
        <v>7</v>
      </c>
      <c r="C36" s="1771">
        <v>5631</v>
      </c>
      <c r="D36" s="1772" t="s">
        <v>2414</v>
      </c>
      <c r="E36" s="1773" t="s">
        <v>425</v>
      </c>
      <c r="F36" s="1780">
        <v>8.3000000000000001E-3</v>
      </c>
      <c r="G36" s="1774">
        <v>208.88</v>
      </c>
      <c r="H36" s="1775">
        <f>IF(E36="H",G36,TRUNC(G36*(1-$K$7),2))</f>
        <v>207.62</v>
      </c>
      <c r="I36" s="1776">
        <f t="shared" ref="I36:I39" si="5">TRUNC(H36*F36,2)</f>
        <v>1.72</v>
      </c>
      <c r="J36" s="1768"/>
    </row>
    <row r="37" spans="1:11" ht="36">
      <c r="A37" s="1770" t="s">
        <v>2407</v>
      </c>
      <c r="B37" s="1771" t="s">
        <v>7</v>
      </c>
      <c r="C37" s="1771">
        <v>5632</v>
      </c>
      <c r="D37" s="1772" t="s">
        <v>2415</v>
      </c>
      <c r="E37" s="1773" t="s">
        <v>545</v>
      </c>
      <c r="F37" s="1780">
        <v>1.5100000000000001E-2</v>
      </c>
      <c r="G37" s="1774">
        <v>77.44</v>
      </c>
      <c r="H37" s="1775">
        <f>IF(E37="H",G37,TRUNC(G37*(1-$K$7),2))</f>
        <v>76.97</v>
      </c>
      <c r="I37" s="1776">
        <f t="shared" si="5"/>
        <v>1.1599999999999999</v>
      </c>
      <c r="J37" s="1768"/>
    </row>
    <row r="38" spans="1:11" ht="60">
      <c r="A38" s="1770" t="s">
        <v>2407</v>
      </c>
      <c r="B38" s="1771" t="s">
        <v>7</v>
      </c>
      <c r="C38" s="1771">
        <v>67826</v>
      </c>
      <c r="D38" s="1772" t="s">
        <v>2416</v>
      </c>
      <c r="E38" s="1773" t="s">
        <v>425</v>
      </c>
      <c r="F38" s="1780">
        <v>2.6700000000000002E-2</v>
      </c>
      <c r="G38" s="1774">
        <v>169.86</v>
      </c>
      <c r="H38" s="1775">
        <f>IF(E38="H",G38,TRUNC(G38*(1-$K$7),2))</f>
        <v>168.84</v>
      </c>
      <c r="I38" s="1776">
        <f t="shared" si="5"/>
        <v>4.5</v>
      </c>
      <c r="J38" s="1768"/>
    </row>
    <row r="39" spans="1:11" ht="60">
      <c r="A39" s="1770" t="s">
        <v>2407</v>
      </c>
      <c r="B39" s="1771" t="s">
        <v>7</v>
      </c>
      <c r="C39" s="1771">
        <v>67827</v>
      </c>
      <c r="D39" s="1772" t="s">
        <v>2417</v>
      </c>
      <c r="E39" s="1773" t="s">
        <v>545</v>
      </c>
      <c r="F39" s="1780">
        <v>2.0299999999999999E-2</v>
      </c>
      <c r="G39" s="1774">
        <v>44.63</v>
      </c>
      <c r="H39" s="1775">
        <f>IF(E39="H",G39,TRUNC(G39*(1-$K$7),2))</f>
        <v>44.36</v>
      </c>
      <c r="I39" s="1776">
        <f t="shared" si="5"/>
        <v>0.9</v>
      </c>
      <c r="J39" s="1768"/>
    </row>
    <row r="40" spans="1:11">
      <c r="A40" s="1917" t="s">
        <v>2408</v>
      </c>
      <c r="B40" s="1918"/>
      <c r="C40" s="1918"/>
      <c r="D40" s="1918"/>
      <c r="E40" s="1918"/>
      <c r="F40" s="1918"/>
      <c r="G40" s="1918"/>
      <c r="H40" s="1919"/>
      <c r="I40" s="1778">
        <f>SUM(I36:I39)</f>
        <v>8.2799999999999994</v>
      </c>
      <c r="J40" s="1768"/>
    </row>
    <row r="41" spans="1:11">
      <c r="A41" s="1920"/>
      <c r="B41" s="1921"/>
      <c r="C41" s="1921"/>
      <c r="D41" s="1921"/>
      <c r="E41" s="1921"/>
      <c r="F41" s="1921"/>
      <c r="G41" s="1921"/>
      <c r="H41" s="1921"/>
      <c r="I41" s="1922"/>
      <c r="J41" s="1768"/>
    </row>
    <row r="42" spans="1:11" ht="23.25" customHeight="1">
      <c r="A42" s="1757">
        <f>'PLANILHA SEM DESON'!B23</f>
        <v>95875</v>
      </c>
      <c r="B42" s="1923" t="str">
        <f>VLOOKUP(A42,'PLANILHA SEM DESON'!$B$17:$D$1699,2,FALSE)</f>
        <v>TRANSPORTE COM CAMINHÃO BASCULANTE DE 6 M³, EM VIA URBANA PAVIMENTADA, DMT ATÉ 30 KM (UNIDADE: M3XKM). AF_07/2020</v>
      </c>
      <c r="C42" s="1924"/>
      <c r="D42" s="1924"/>
      <c r="E42" s="1924"/>
      <c r="F42" s="1924"/>
      <c r="G42" s="1924"/>
      <c r="H42" s="1925"/>
      <c r="I42" s="1758" t="str">
        <f>VLOOKUP(A42,'PLANILHA SEM DESON'!$B$17:$D$1699,3,FALSE)</f>
        <v>m³XKm</v>
      </c>
      <c r="J42" s="1759">
        <f>I46</f>
        <v>2.27</v>
      </c>
    </row>
    <row r="43" spans="1:11" ht="24">
      <c r="A43" s="1761" t="s">
        <v>2401</v>
      </c>
      <c r="B43" s="1762" t="s">
        <v>2402</v>
      </c>
      <c r="C43" s="1763" t="s">
        <v>2399</v>
      </c>
      <c r="D43" s="1764" t="s">
        <v>284</v>
      </c>
      <c r="E43" s="1763" t="s">
        <v>193</v>
      </c>
      <c r="F43" s="1765" t="s">
        <v>2403</v>
      </c>
      <c r="G43" s="1763" t="s">
        <v>2404</v>
      </c>
      <c r="H43" s="1766" t="s">
        <v>2405</v>
      </c>
      <c r="I43" s="1767" t="s">
        <v>2406</v>
      </c>
      <c r="J43" s="1768"/>
    </row>
    <row r="44" spans="1:11" ht="60">
      <c r="A44" s="1770" t="s">
        <v>2407</v>
      </c>
      <c r="B44" s="1771" t="s">
        <v>7</v>
      </c>
      <c r="C44" s="1771">
        <v>91386</v>
      </c>
      <c r="D44" s="1772" t="s">
        <v>2418</v>
      </c>
      <c r="E44" s="1773" t="s">
        <v>425</v>
      </c>
      <c r="F44" s="1780">
        <v>8.3000000000000001E-3</v>
      </c>
      <c r="G44" s="1774">
        <v>253.45</v>
      </c>
      <c r="H44" s="1775">
        <f>IF(E44="H",G44,TRUNC(G44*(1-$K$7),2))</f>
        <v>251.92</v>
      </c>
      <c r="I44" s="1776">
        <f t="shared" ref="I44:I45" si="6">TRUNC(H44*F44,2)</f>
        <v>2.09</v>
      </c>
      <c r="J44" s="1768"/>
    </row>
    <row r="45" spans="1:11" ht="60">
      <c r="A45" s="1770" t="s">
        <v>2407</v>
      </c>
      <c r="B45" s="1771" t="s">
        <v>7</v>
      </c>
      <c r="C45" s="1771">
        <v>91387</v>
      </c>
      <c r="D45" s="1772" t="s">
        <v>2419</v>
      </c>
      <c r="E45" s="1773" t="s">
        <v>545</v>
      </c>
      <c r="F45" s="1780">
        <v>3.5999999999999999E-3</v>
      </c>
      <c r="G45" s="1774">
        <v>51.63</v>
      </c>
      <c r="H45" s="1775">
        <f>IF(E45="H",G45,TRUNC(G45*(1-$K$7),2))</f>
        <v>51.32</v>
      </c>
      <c r="I45" s="1776">
        <f t="shared" si="6"/>
        <v>0.18</v>
      </c>
      <c r="J45" s="1768"/>
    </row>
    <row r="46" spans="1:11">
      <c r="A46" s="1917" t="s">
        <v>2408</v>
      </c>
      <c r="B46" s="1918"/>
      <c r="C46" s="1918"/>
      <c r="D46" s="1918"/>
      <c r="E46" s="1918"/>
      <c r="F46" s="1918"/>
      <c r="G46" s="1918"/>
      <c r="H46" s="1919"/>
      <c r="I46" s="1778">
        <f>SUM(I44:I45)</f>
        <v>2.27</v>
      </c>
      <c r="J46" s="1768"/>
    </row>
    <row r="47" spans="1:11">
      <c r="A47" s="1920"/>
      <c r="B47" s="1921"/>
      <c r="C47" s="1921"/>
      <c r="D47" s="1921"/>
      <c r="E47" s="1921"/>
      <c r="F47" s="1921"/>
      <c r="G47" s="1921"/>
      <c r="H47" s="1921"/>
      <c r="I47" s="1922"/>
      <c r="J47" s="1768"/>
    </row>
    <row r="48" spans="1:11">
      <c r="A48" s="1757">
        <f>'PLANILHA SEM DESON'!B24</f>
        <v>98459</v>
      </c>
      <c r="B48" s="1923" t="str">
        <f>VLOOKUP(A48,'PLANILHA SEM DESON'!$B$17:$D$1699,2,FALSE)</f>
        <v>TAPUME COM TELHA METÁLICA. AF_05/2018</v>
      </c>
      <c r="C48" s="1924"/>
      <c r="D48" s="1924"/>
      <c r="E48" s="1924"/>
      <c r="F48" s="1924"/>
      <c r="G48" s="1924"/>
      <c r="H48" s="1925"/>
      <c r="I48" s="1758" t="str">
        <f>VLOOKUP(A48,'PLANILHA SEM DESON'!$B$17:$D$1699,3,FALSE)</f>
        <v>m²</v>
      </c>
      <c r="J48" s="1759">
        <f>I59</f>
        <v>106.06</v>
      </c>
    </row>
    <row r="49" spans="1:10" ht="24">
      <c r="A49" s="1761" t="s">
        <v>2401</v>
      </c>
      <c r="B49" s="1762" t="s">
        <v>2402</v>
      </c>
      <c r="C49" s="1763" t="s">
        <v>2399</v>
      </c>
      <c r="D49" s="1764" t="s">
        <v>284</v>
      </c>
      <c r="E49" s="1763" t="s">
        <v>193</v>
      </c>
      <c r="F49" s="1765" t="s">
        <v>2403</v>
      </c>
      <c r="G49" s="1763" t="s">
        <v>2404</v>
      </c>
      <c r="H49" s="1766" t="s">
        <v>2405</v>
      </c>
      <c r="I49" s="1767" t="s">
        <v>2406</v>
      </c>
      <c r="J49" s="1768"/>
    </row>
    <row r="50" spans="1:10" ht="36">
      <c r="A50" s="1770" t="s">
        <v>2407</v>
      </c>
      <c r="B50" s="1771" t="s">
        <v>2410</v>
      </c>
      <c r="C50" s="1771">
        <v>3992</v>
      </c>
      <c r="D50" s="1772" t="s">
        <v>2420</v>
      </c>
      <c r="E50" s="1773" t="s">
        <v>158</v>
      </c>
      <c r="F50" s="1780">
        <v>1</v>
      </c>
      <c r="G50" s="1774">
        <v>29.58</v>
      </c>
      <c r="H50" s="1775">
        <f t="shared" ref="H50:H58" si="7">IF(E50="H",G50,TRUNC(G50*(1-$K$7),2))</f>
        <v>29.4</v>
      </c>
      <c r="I50" s="1776">
        <f t="shared" ref="I50:I58" si="8">TRUNC(H50*F50,2)</f>
        <v>29.4</v>
      </c>
      <c r="J50" s="1768"/>
    </row>
    <row r="51" spans="1:10" ht="36">
      <c r="A51" s="1770" t="s">
        <v>2407</v>
      </c>
      <c r="B51" s="1771" t="s">
        <v>2410</v>
      </c>
      <c r="C51" s="1771">
        <v>4433</v>
      </c>
      <c r="D51" s="1772" t="s">
        <v>2421</v>
      </c>
      <c r="E51" s="1773" t="s">
        <v>158</v>
      </c>
      <c r="F51" s="1780">
        <v>1.2273000000000001</v>
      </c>
      <c r="G51" s="1774">
        <v>24.93</v>
      </c>
      <c r="H51" s="1775">
        <f t="shared" si="7"/>
        <v>24.78</v>
      </c>
      <c r="I51" s="1776">
        <f t="shared" ref="I51:I52" si="9">TRUNC(H51*F51,2)</f>
        <v>30.41</v>
      </c>
      <c r="J51" s="1768"/>
    </row>
    <row r="52" spans="1:10" ht="24">
      <c r="A52" s="1770" t="s">
        <v>2407</v>
      </c>
      <c r="B52" s="1771" t="s">
        <v>2410</v>
      </c>
      <c r="C52" s="1771">
        <v>5061</v>
      </c>
      <c r="D52" s="1772" t="s">
        <v>2422</v>
      </c>
      <c r="E52" s="1773" t="s">
        <v>1145</v>
      </c>
      <c r="F52" s="1780">
        <v>4.2799999999999998E-2</v>
      </c>
      <c r="G52" s="1774">
        <v>25.45</v>
      </c>
      <c r="H52" s="1775">
        <f t="shared" si="7"/>
        <v>25.29</v>
      </c>
      <c r="I52" s="1776">
        <f t="shared" si="9"/>
        <v>1.08</v>
      </c>
      <c r="J52" s="1768"/>
    </row>
    <row r="53" spans="1:10" ht="36">
      <c r="A53" s="1770" t="s">
        <v>2407</v>
      </c>
      <c r="B53" s="1771" t="s">
        <v>2410</v>
      </c>
      <c r="C53" s="1771">
        <v>7243</v>
      </c>
      <c r="D53" s="1772" t="s">
        <v>2423</v>
      </c>
      <c r="E53" s="1773" t="s">
        <v>1137</v>
      </c>
      <c r="F53" s="1780">
        <v>0.58530000000000004</v>
      </c>
      <c r="G53" s="1774">
        <v>45.42</v>
      </c>
      <c r="H53" s="1775">
        <f t="shared" si="7"/>
        <v>45.14</v>
      </c>
      <c r="I53" s="1776">
        <f t="shared" si="8"/>
        <v>26.42</v>
      </c>
      <c r="J53" s="1768"/>
    </row>
    <row r="54" spans="1:10" ht="24">
      <c r="A54" s="1770" t="s">
        <v>2407</v>
      </c>
      <c r="B54" s="1771" t="s">
        <v>7</v>
      </c>
      <c r="C54" s="1771">
        <v>88239</v>
      </c>
      <c r="D54" s="1772" t="s">
        <v>423</v>
      </c>
      <c r="E54" s="1773" t="s">
        <v>387</v>
      </c>
      <c r="F54" s="1780">
        <v>0.18970000000000001</v>
      </c>
      <c r="G54" s="1774">
        <v>20.55</v>
      </c>
      <c r="H54" s="1775">
        <f t="shared" si="7"/>
        <v>20.55</v>
      </c>
      <c r="I54" s="1776">
        <f t="shared" si="8"/>
        <v>3.89</v>
      </c>
      <c r="J54" s="1768"/>
    </row>
    <row r="55" spans="1:10" ht="24">
      <c r="A55" s="1770" t="s">
        <v>2407</v>
      </c>
      <c r="B55" s="1771" t="s">
        <v>7</v>
      </c>
      <c r="C55" s="1771">
        <v>88262</v>
      </c>
      <c r="D55" s="1772" t="s">
        <v>411</v>
      </c>
      <c r="E55" s="1773" t="s">
        <v>387</v>
      </c>
      <c r="F55" s="1780">
        <v>0.56910000000000005</v>
      </c>
      <c r="G55" s="1774">
        <v>24.32</v>
      </c>
      <c r="H55" s="1775">
        <f t="shared" si="7"/>
        <v>24.32</v>
      </c>
      <c r="I55" s="1776">
        <f t="shared" si="8"/>
        <v>13.84</v>
      </c>
      <c r="J55" s="1768"/>
    </row>
    <row r="56" spans="1:10" ht="36">
      <c r="A56" s="1770" t="s">
        <v>2407</v>
      </c>
      <c r="B56" s="1771" t="s">
        <v>7</v>
      </c>
      <c r="C56" s="1771">
        <v>91692</v>
      </c>
      <c r="D56" s="1772" t="s">
        <v>2424</v>
      </c>
      <c r="E56" s="1773" t="s">
        <v>425</v>
      </c>
      <c r="F56" s="1780">
        <v>4.4000000000000003E-3</v>
      </c>
      <c r="G56" s="1774">
        <v>20.41</v>
      </c>
      <c r="H56" s="1775">
        <f t="shared" si="7"/>
        <v>20.28</v>
      </c>
      <c r="I56" s="1776">
        <f t="shared" si="8"/>
        <v>0.08</v>
      </c>
      <c r="J56" s="1768"/>
    </row>
    <row r="57" spans="1:10" ht="36">
      <c r="A57" s="1770" t="s">
        <v>2407</v>
      </c>
      <c r="B57" s="1771" t="s">
        <v>7</v>
      </c>
      <c r="C57" s="1771">
        <v>91693</v>
      </c>
      <c r="D57" s="1772" t="s">
        <v>2425</v>
      </c>
      <c r="E57" s="1773" t="s">
        <v>545</v>
      </c>
      <c r="F57" s="1780">
        <v>1.9099999999999999E-2</v>
      </c>
      <c r="G57" s="1774">
        <v>18.84</v>
      </c>
      <c r="H57" s="1775">
        <f t="shared" si="7"/>
        <v>18.72</v>
      </c>
      <c r="I57" s="1776">
        <f t="shared" si="8"/>
        <v>0.35</v>
      </c>
      <c r="J57" s="1768"/>
    </row>
    <row r="58" spans="1:10" ht="36">
      <c r="A58" s="1770" t="s">
        <v>2407</v>
      </c>
      <c r="B58" s="1771" t="s">
        <v>7</v>
      </c>
      <c r="C58" s="1771">
        <v>94974</v>
      </c>
      <c r="D58" s="1772" t="s">
        <v>2426</v>
      </c>
      <c r="E58" s="1773" t="s">
        <v>1132</v>
      </c>
      <c r="F58" s="1780">
        <v>1.1999999999999999E-3</v>
      </c>
      <c r="G58" s="1774">
        <v>499.01</v>
      </c>
      <c r="H58" s="1775">
        <f t="shared" si="7"/>
        <v>496.01</v>
      </c>
      <c r="I58" s="1776">
        <f t="shared" si="8"/>
        <v>0.59</v>
      </c>
      <c r="J58" s="1768"/>
    </row>
    <row r="59" spans="1:10">
      <c r="A59" s="1917" t="s">
        <v>2408</v>
      </c>
      <c r="B59" s="1918"/>
      <c r="C59" s="1918"/>
      <c r="D59" s="1918"/>
      <c r="E59" s="1918"/>
      <c r="F59" s="1918"/>
      <c r="G59" s="1918"/>
      <c r="H59" s="1919"/>
      <c r="I59" s="1778">
        <f>SUM(I50:I58)</f>
        <v>106.06</v>
      </c>
      <c r="J59" s="1768"/>
    </row>
    <row r="60" spans="1:10">
      <c r="A60" s="1920"/>
      <c r="B60" s="1921"/>
      <c r="C60" s="1921"/>
      <c r="D60" s="1921"/>
      <c r="E60" s="1921"/>
      <c r="F60" s="1921"/>
      <c r="G60" s="1921"/>
      <c r="H60" s="1921"/>
      <c r="I60" s="1922"/>
      <c r="J60" s="1768"/>
    </row>
    <row r="61" spans="1:10" ht="30" customHeight="1">
      <c r="A61" s="1757">
        <f>'PLANILHA SEM DESON'!B25</f>
        <v>99059</v>
      </c>
      <c r="B61" s="1923" t="str">
        <f>VLOOKUP(A61,'PLANILHA SEM DESON'!$B$17:$D$1699,2,FALSE)</f>
        <v>LOCAÇÃO CONVENCIONAL DE OBRA, UTILIZANDO GABARITO DE TÁBUAS CORRIDAS PONTALETADAS A CADA 2,00M - 2 UTILIZAÇÕES. AF_10/2018</v>
      </c>
      <c r="C61" s="1924"/>
      <c r="D61" s="1924"/>
      <c r="E61" s="1924"/>
      <c r="F61" s="1924"/>
      <c r="G61" s="1924"/>
      <c r="H61" s="1925"/>
      <c r="I61" s="1758" t="str">
        <f>VLOOKUP(A61,'PLANILHA SEM DESON'!$B$17:$D$1699,3,FALSE)</f>
        <v>m</v>
      </c>
      <c r="J61" s="1759">
        <f>I74</f>
        <v>56.800000000000011</v>
      </c>
    </row>
    <row r="62" spans="1:10" ht="24">
      <c r="A62" s="1761" t="s">
        <v>2401</v>
      </c>
      <c r="B62" s="1762" t="s">
        <v>2402</v>
      </c>
      <c r="C62" s="1763" t="s">
        <v>2399</v>
      </c>
      <c r="D62" s="1764" t="s">
        <v>284</v>
      </c>
      <c r="E62" s="1763" t="s">
        <v>193</v>
      </c>
      <c r="F62" s="1765" t="s">
        <v>2403</v>
      </c>
      <c r="G62" s="1763" t="s">
        <v>2404</v>
      </c>
      <c r="H62" s="1766" t="s">
        <v>2405</v>
      </c>
      <c r="I62" s="1767" t="s">
        <v>2406</v>
      </c>
      <c r="J62" s="1768"/>
    </row>
    <row r="63" spans="1:10" ht="36">
      <c r="A63" s="1770" t="s">
        <v>2407</v>
      </c>
      <c r="B63" s="1771" t="s">
        <v>2410</v>
      </c>
      <c r="C63" s="1771">
        <v>4417</v>
      </c>
      <c r="D63" s="1772" t="s">
        <v>2427</v>
      </c>
      <c r="E63" s="1773" t="s">
        <v>158</v>
      </c>
      <c r="F63" s="1780">
        <v>0.74450000000000005</v>
      </c>
      <c r="G63" s="1774">
        <v>6.93</v>
      </c>
      <c r="H63" s="1775">
        <f t="shared" ref="H63:H73" si="10">IF(E63="H",G63,TRUNC(G63*(1-$K$7),2))</f>
        <v>6.88</v>
      </c>
      <c r="I63" s="1776">
        <f t="shared" ref="I63:I73" si="11">TRUNC(H63*F63,2)</f>
        <v>5.12</v>
      </c>
      <c r="J63" s="1768"/>
    </row>
    <row r="64" spans="1:10" ht="36">
      <c r="A64" s="1770" t="s">
        <v>2407</v>
      </c>
      <c r="B64" s="1771" t="s">
        <v>2410</v>
      </c>
      <c r="C64" s="1771">
        <v>4433</v>
      </c>
      <c r="D64" s="1772" t="s">
        <v>2421</v>
      </c>
      <c r="E64" s="1773" t="s">
        <v>158</v>
      </c>
      <c r="F64" s="1780">
        <v>0.41249999999999998</v>
      </c>
      <c r="G64" s="1774">
        <v>24.93</v>
      </c>
      <c r="H64" s="1775">
        <f t="shared" si="10"/>
        <v>24.78</v>
      </c>
      <c r="I64" s="1776">
        <f t="shared" ref="I64:I67" si="12">TRUNC(H64*F64,2)</f>
        <v>10.220000000000001</v>
      </c>
      <c r="J64" s="1768"/>
    </row>
    <row r="65" spans="1:10">
      <c r="A65" s="1770" t="s">
        <v>2407</v>
      </c>
      <c r="B65" s="1771" t="s">
        <v>2410</v>
      </c>
      <c r="C65" s="1771">
        <v>5068</v>
      </c>
      <c r="D65" s="1772" t="s">
        <v>2428</v>
      </c>
      <c r="E65" s="1773" t="s">
        <v>1145</v>
      </c>
      <c r="F65" s="1780">
        <v>0.111</v>
      </c>
      <c r="G65" s="1774">
        <v>25.89</v>
      </c>
      <c r="H65" s="1775">
        <f t="shared" si="10"/>
        <v>25.73</v>
      </c>
      <c r="I65" s="1776">
        <f t="shared" si="12"/>
        <v>2.85</v>
      </c>
      <c r="J65" s="1768"/>
    </row>
    <row r="66" spans="1:10">
      <c r="A66" s="1770" t="s">
        <v>2407</v>
      </c>
      <c r="B66" s="1771" t="s">
        <v>2410</v>
      </c>
      <c r="C66" s="1771">
        <v>7356</v>
      </c>
      <c r="D66" s="1772" t="s">
        <v>2429</v>
      </c>
      <c r="E66" s="1773" t="s">
        <v>424</v>
      </c>
      <c r="F66" s="1780">
        <v>2.5600000000000001E-2</v>
      </c>
      <c r="G66" s="1774">
        <v>26.87</v>
      </c>
      <c r="H66" s="1775">
        <f t="shared" si="10"/>
        <v>26.7</v>
      </c>
      <c r="I66" s="1776">
        <f t="shared" si="12"/>
        <v>0.68</v>
      </c>
      <c r="J66" s="1768"/>
    </row>
    <row r="67" spans="1:10" ht="24">
      <c r="A67" s="1770" t="s">
        <v>2407</v>
      </c>
      <c r="B67" s="1771" t="s">
        <v>2410</v>
      </c>
      <c r="C67" s="1771">
        <v>10567</v>
      </c>
      <c r="D67" s="1772" t="s">
        <v>2430</v>
      </c>
      <c r="E67" s="1773" t="s">
        <v>158</v>
      </c>
      <c r="F67" s="1780">
        <v>0.55000000000000004</v>
      </c>
      <c r="G67" s="1774">
        <v>13.19</v>
      </c>
      <c r="H67" s="1775">
        <f t="shared" si="10"/>
        <v>13.11</v>
      </c>
      <c r="I67" s="1776">
        <f t="shared" si="12"/>
        <v>7.21</v>
      </c>
      <c r="J67" s="1768"/>
    </row>
    <row r="68" spans="1:10" ht="24">
      <c r="A68" s="1770" t="s">
        <v>2407</v>
      </c>
      <c r="B68" s="1771" t="s">
        <v>7</v>
      </c>
      <c r="C68" s="1771">
        <v>88239</v>
      </c>
      <c r="D68" s="1772" t="s">
        <v>423</v>
      </c>
      <c r="E68" s="1773" t="s">
        <v>387</v>
      </c>
      <c r="F68" s="1780">
        <v>0.35630000000000001</v>
      </c>
      <c r="G68" s="1774">
        <v>20.55</v>
      </c>
      <c r="H68" s="1775">
        <f t="shared" si="10"/>
        <v>20.55</v>
      </c>
      <c r="I68" s="1776">
        <f t="shared" si="11"/>
        <v>7.32</v>
      </c>
      <c r="J68" s="1768"/>
    </row>
    <row r="69" spans="1:10" ht="24">
      <c r="A69" s="1770" t="s">
        <v>2407</v>
      </c>
      <c r="B69" s="1771" t="s">
        <v>7</v>
      </c>
      <c r="C69" s="1771">
        <v>88262</v>
      </c>
      <c r="D69" s="1772" t="s">
        <v>411</v>
      </c>
      <c r="E69" s="1773" t="s">
        <v>387</v>
      </c>
      <c r="F69" s="1780">
        <v>0.71250000000000002</v>
      </c>
      <c r="G69" s="1774">
        <v>24.32</v>
      </c>
      <c r="H69" s="1775">
        <f t="shared" si="10"/>
        <v>24.32</v>
      </c>
      <c r="I69" s="1776">
        <f t="shared" si="11"/>
        <v>17.32</v>
      </c>
      <c r="J69" s="1768"/>
    </row>
    <row r="70" spans="1:10" ht="36">
      <c r="A70" s="1770" t="s">
        <v>2407</v>
      </c>
      <c r="B70" s="1771" t="s">
        <v>7</v>
      </c>
      <c r="C70" s="1771">
        <v>91692</v>
      </c>
      <c r="D70" s="1772" t="s">
        <v>2424</v>
      </c>
      <c r="E70" s="1773" t="s">
        <v>425</v>
      </c>
      <c r="F70" s="1780">
        <v>3.8999999999999998E-3</v>
      </c>
      <c r="G70" s="1774">
        <v>20.41</v>
      </c>
      <c r="H70" s="1775">
        <f t="shared" si="10"/>
        <v>20.28</v>
      </c>
      <c r="I70" s="1776">
        <f t="shared" si="11"/>
        <v>7.0000000000000007E-2</v>
      </c>
      <c r="J70" s="1768"/>
    </row>
    <row r="71" spans="1:10" ht="36">
      <c r="A71" s="1770" t="s">
        <v>2407</v>
      </c>
      <c r="B71" s="1771" t="s">
        <v>7</v>
      </c>
      <c r="C71" s="1771">
        <v>91693</v>
      </c>
      <c r="D71" s="1772" t="s">
        <v>2425</v>
      </c>
      <c r="E71" s="1773" t="s">
        <v>545</v>
      </c>
      <c r="F71" s="1780">
        <v>1.6799999999999999E-2</v>
      </c>
      <c r="G71" s="1774">
        <v>18.84</v>
      </c>
      <c r="H71" s="1775">
        <f t="shared" si="10"/>
        <v>18.72</v>
      </c>
      <c r="I71" s="1776">
        <f t="shared" si="11"/>
        <v>0.31</v>
      </c>
      <c r="J71" s="1768"/>
    </row>
    <row r="72" spans="1:10" ht="36">
      <c r="A72" s="1770" t="s">
        <v>2407</v>
      </c>
      <c r="B72" s="1771" t="s">
        <v>7</v>
      </c>
      <c r="C72" s="1771">
        <v>94974</v>
      </c>
      <c r="D72" s="1772" t="s">
        <v>2426</v>
      </c>
      <c r="E72" s="1773" t="s">
        <v>1132</v>
      </c>
      <c r="F72" s="1780">
        <v>4.5999999999999999E-3</v>
      </c>
      <c r="G72" s="1774">
        <v>499.01</v>
      </c>
      <c r="H72" s="1775">
        <f t="shared" si="10"/>
        <v>496.01</v>
      </c>
      <c r="I72" s="1776">
        <f t="shared" si="11"/>
        <v>2.2799999999999998</v>
      </c>
      <c r="J72" s="1768"/>
    </row>
    <row r="73" spans="1:10" ht="24">
      <c r="A73" s="1770" t="s">
        <v>2407</v>
      </c>
      <c r="B73" s="1771" t="s">
        <v>7</v>
      </c>
      <c r="C73" s="1771">
        <v>99062</v>
      </c>
      <c r="D73" s="1772" t="s">
        <v>2431</v>
      </c>
      <c r="E73" s="1773" t="s">
        <v>2432</v>
      </c>
      <c r="F73" s="1780">
        <v>1.5</v>
      </c>
      <c r="G73" s="1774">
        <v>2.2999999999999998</v>
      </c>
      <c r="H73" s="1775">
        <f t="shared" si="10"/>
        <v>2.2799999999999998</v>
      </c>
      <c r="I73" s="1776">
        <f t="shared" si="11"/>
        <v>3.42</v>
      </c>
      <c r="J73" s="1768"/>
    </row>
    <row r="74" spans="1:10">
      <c r="A74" s="1917" t="s">
        <v>2408</v>
      </c>
      <c r="B74" s="1918"/>
      <c r="C74" s="1918"/>
      <c r="D74" s="1918"/>
      <c r="E74" s="1918"/>
      <c r="F74" s="1918"/>
      <c r="G74" s="1918"/>
      <c r="H74" s="1919"/>
      <c r="I74" s="1778">
        <f>SUM(I63:I73)</f>
        <v>56.800000000000011</v>
      </c>
      <c r="J74" s="1768"/>
    </row>
    <row r="75" spans="1:10">
      <c r="A75" s="1920"/>
      <c r="B75" s="1921"/>
      <c r="C75" s="1921"/>
      <c r="D75" s="1921"/>
      <c r="E75" s="1921"/>
      <c r="F75" s="1921"/>
      <c r="G75" s="1921"/>
      <c r="H75" s="1921"/>
      <c r="I75" s="1922"/>
      <c r="J75" s="1768"/>
    </row>
    <row r="76" spans="1:10">
      <c r="A76" s="1757" t="str">
        <f>'PLANILHA SEM DESON'!B26</f>
        <v>COMP 03</v>
      </c>
      <c r="B76" s="1923" t="str">
        <f>VLOOKUP(A76,'PLANILHA SEM DESON'!$B$17:$D$1699,2,FALSE)</f>
        <v>ENTRADA PROVISÓRIA DE ENERGIA ELÉTRICA AÉREA TRIFÁSICA 40A EM POSTE MADEIRA</v>
      </c>
      <c r="C76" s="1924"/>
      <c r="D76" s="1924"/>
      <c r="E76" s="1924"/>
      <c r="F76" s="1924"/>
      <c r="G76" s="1924"/>
      <c r="H76" s="1925"/>
      <c r="I76" s="1758" t="str">
        <f>VLOOKUP(A76,'PLANILHA SEM DESON'!$B$17:$D$1699,3,FALSE)</f>
        <v xml:space="preserve">un </v>
      </c>
      <c r="J76" s="1759">
        <f>I97</f>
        <v>2563.3900000000003</v>
      </c>
    </row>
    <row r="77" spans="1:10" ht="24">
      <c r="A77" s="1761" t="s">
        <v>2401</v>
      </c>
      <c r="B77" s="1762" t="s">
        <v>2402</v>
      </c>
      <c r="C77" s="1763" t="s">
        <v>2399</v>
      </c>
      <c r="D77" s="1764" t="s">
        <v>284</v>
      </c>
      <c r="E77" s="1763" t="s">
        <v>193</v>
      </c>
      <c r="F77" s="1765" t="s">
        <v>2403</v>
      </c>
      <c r="G77" s="1763" t="s">
        <v>2404</v>
      </c>
      <c r="H77" s="1766" t="s">
        <v>2405</v>
      </c>
      <c r="I77" s="1767" t="s">
        <v>2406</v>
      </c>
      <c r="J77" s="1768"/>
    </row>
    <row r="78" spans="1:10">
      <c r="A78" s="1770" t="s">
        <v>2407</v>
      </c>
      <c r="B78" s="1771" t="s">
        <v>7</v>
      </c>
      <c r="C78" s="1771">
        <v>88264</v>
      </c>
      <c r="D78" s="1772" t="s">
        <v>94</v>
      </c>
      <c r="E78" s="1773" t="s">
        <v>57</v>
      </c>
      <c r="F78" s="1782">
        <v>8</v>
      </c>
      <c r="G78" s="1779">
        <v>25.54</v>
      </c>
      <c r="H78" s="1775">
        <f t="shared" ref="H78:H96" si="13">IF(E78="H",G78,TRUNC(G78*(1-$K$7),2))</f>
        <v>25.54</v>
      </c>
      <c r="I78" s="1776">
        <f t="shared" ref="I78:I96" si="14">TRUNC(H78*F78,2)</f>
        <v>204.32</v>
      </c>
      <c r="J78" s="1768"/>
    </row>
    <row r="79" spans="1:10">
      <c r="A79" s="1770" t="s">
        <v>2407</v>
      </c>
      <c r="B79" s="1771" t="s">
        <v>7</v>
      </c>
      <c r="C79" s="1771">
        <v>88316</v>
      </c>
      <c r="D79" s="1772" t="s">
        <v>66</v>
      </c>
      <c r="E79" s="1773" t="s">
        <v>57</v>
      </c>
      <c r="F79" s="1782">
        <v>8</v>
      </c>
      <c r="G79" s="1781">
        <v>19.45</v>
      </c>
      <c r="H79" s="1775">
        <f t="shared" si="13"/>
        <v>19.45</v>
      </c>
      <c r="I79" s="1776">
        <f t="shared" si="14"/>
        <v>155.6</v>
      </c>
      <c r="J79" s="1768"/>
    </row>
    <row r="80" spans="1:10" ht="24">
      <c r="A80" s="1770" t="s">
        <v>2407</v>
      </c>
      <c r="B80" s="1771" t="s">
        <v>2410</v>
      </c>
      <c r="C80" s="1771">
        <v>406</v>
      </c>
      <c r="D80" s="1772" t="s">
        <v>510</v>
      </c>
      <c r="E80" s="1773" t="s">
        <v>55</v>
      </c>
      <c r="F80" s="1783">
        <v>0.13333329999999999</v>
      </c>
      <c r="G80" s="1779">
        <v>109.18</v>
      </c>
      <c r="H80" s="1775">
        <f t="shared" si="13"/>
        <v>108.52</v>
      </c>
      <c r="I80" s="1776">
        <f t="shared" ref="I80:I91" si="15">TRUNC(H80*F80,2)</f>
        <v>14.46</v>
      </c>
      <c r="J80" s="1768"/>
    </row>
    <row r="81" spans="1:10" ht="36">
      <c r="A81" s="1770" t="s">
        <v>2407</v>
      </c>
      <c r="B81" s="1771" t="s">
        <v>2410</v>
      </c>
      <c r="C81" s="1771">
        <v>420</v>
      </c>
      <c r="D81" s="1772" t="s">
        <v>511</v>
      </c>
      <c r="E81" s="1773" t="s">
        <v>55</v>
      </c>
      <c r="F81" s="1779">
        <v>2</v>
      </c>
      <c r="G81" s="1779">
        <v>42.08</v>
      </c>
      <c r="H81" s="1775">
        <f t="shared" si="13"/>
        <v>41.82</v>
      </c>
      <c r="I81" s="1776">
        <f t="shared" si="15"/>
        <v>83.64</v>
      </c>
      <c r="J81" s="1768"/>
    </row>
    <row r="82" spans="1:10">
      <c r="A82" s="1770" t="s">
        <v>2407</v>
      </c>
      <c r="B82" s="1771" t="s">
        <v>2410</v>
      </c>
      <c r="C82" s="1771">
        <v>857</v>
      </c>
      <c r="D82" s="1772" t="s">
        <v>512</v>
      </c>
      <c r="E82" s="1773" t="s">
        <v>54</v>
      </c>
      <c r="F82" s="1779">
        <v>3</v>
      </c>
      <c r="G82" s="1779">
        <v>16.920000000000002</v>
      </c>
      <c r="H82" s="1775">
        <f t="shared" si="13"/>
        <v>16.809999999999999</v>
      </c>
      <c r="I82" s="1776">
        <f t="shared" si="15"/>
        <v>50.43</v>
      </c>
      <c r="J82" s="1768"/>
    </row>
    <row r="83" spans="1:10" ht="36">
      <c r="A83" s="1770" t="s">
        <v>2407</v>
      </c>
      <c r="B83" s="1771" t="s">
        <v>2410</v>
      </c>
      <c r="C83" s="1771">
        <v>937</v>
      </c>
      <c r="D83" s="1772" t="s">
        <v>513</v>
      </c>
      <c r="E83" s="1773" t="s">
        <v>54</v>
      </c>
      <c r="F83" s="1779">
        <v>27</v>
      </c>
      <c r="G83" s="1779">
        <v>8.64</v>
      </c>
      <c r="H83" s="1775">
        <f t="shared" si="13"/>
        <v>8.58</v>
      </c>
      <c r="I83" s="1776">
        <f t="shared" si="15"/>
        <v>231.66</v>
      </c>
      <c r="J83" s="1768"/>
    </row>
    <row r="84" spans="1:10" ht="36">
      <c r="A84" s="1770" t="s">
        <v>2407</v>
      </c>
      <c r="B84" s="1771" t="s">
        <v>2410</v>
      </c>
      <c r="C84" s="1771">
        <v>1062</v>
      </c>
      <c r="D84" s="1772" t="s">
        <v>514</v>
      </c>
      <c r="E84" s="1773" t="s">
        <v>55</v>
      </c>
      <c r="F84" s="1779">
        <v>1</v>
      </c>
      <c r="G84" s="1779">
        <v>350.88</v>
      </c>
      <c r="H84" s="1775">
        <f t="shared" si="13"/>
        <v>348.77</v>
      </c>
      <c r="I84" s="1776">
        <f t="shared" si="15"/>
        <v>348.77</v>
      </c>
      <c r="J84" s="1768"/>
    </row>
    <row r="85" spans="1:10" ht="36">
      <c r="A85" s="1770" t="s">
        <v>2407</v>
      </c>
      <c r="B85" s="1771" t="s">
        <v>2410</v>
      </c>
      <c r="C85" s="1771">
        <v>1096</v>
      </c>
      <c r="D85" s="1772" t="s">
        <v>515</v>
      </c>
      <c r="E85" s="1773" t="s">
        <v>55</v>
      </c>
      <c r="F85" s="1779">
        <v>2</v>
      </c>
      <c r="G85" s="1779">
        <v>139.65</v>
      </c>
      <c r="H85" s="1775">
        <f t="shared" si="13"/>
        <v>138.81</v>
      </c>
      <c r="I85" s="1776">
        <f t="shared" si="15"/>
        <v>277.62</v>
      </c>
      <c r="J85" s="1768"/>
    </row>
    <row r="86" spans="1:10" ht="24">
      <c r="A86" s="1770" t="s">
        <v>2407</v>
      </c>
      <c r="B86" s="1771" t="s">
        <v>2410</v>
      </c>
      <c r="C86" s="1771">
        <v>1539</v>
      </c>
      <c r="D86" s="1772" t="s">
        <v>516</v>
      </c>
      <c r="E86" s="1773" t="s">
        <v>55</v>
      </c>
      <c r="F86" s="1779">
        <v>8</v>
      </c>
      <c r="G86" s="1779">
        <v>7.41</v>
      </c>
      <c r="H86" s="1775">
        <f t="shared" si="13"/>
        <v>7.36</v>
      </c>
      <c r="I86" s="1776">
        <f t="shared" si="15"/>
        <v>58.88</v>
      </c>
      <c r="J86" s="1768"/>
    </row>
    <row r="87" spans="1:10" ht="24">
      <c r="A87" s="1770" t="s">
        <v>2407</v>
      </c>
      <c r="B87" s="1771" t="s">
        <v>2410</v>
      </c>
      <c r="C87" s="1771">
        <v>1892</v>
      </c>
      <c r="D87" s="1772" t="s">
        <v>517</v>
      </c>
      <c r="E87" s="1773" t="s">
        <v>55</v>
      </c>
      <c r="F87" s="1779">
        <v>4</v>
      </c>
      <c r="G87" s="1779">
        <v>1.73</v>
      </c>
      <c r="H87" s="1775">
        <f t="shared" si="13"/>
        <v>1.71</v>
      </c>
      <c r="I87" s="1776">
        <f t="shared" si="15"/>
        <v>6.84</v>
      </c>
      <c r="J87" s="1768"/>
    </row>
    <row r="88" spans="1:10" ht="24">
      <c r="A88" s="1770" t="s">
        <v>2407</v>
      </c>
      <c r="B88" s="1771" t="s">
        <v>2410</v>
      </c>
      <c r="C88" s="1771">
        <v>2392</v>
      </c>
      <c r="D88" s="1772" t="s">
        <v>518</v>
      </c>
      <c r="E88" s="1773" t="s">
        <v>55</v>
      </c>
      <c r="F88" s="1779">
        <v>1</v>
      </c>
      <c r="G88" s="1779">
        <v>87.2</v>
      </c>
      <c r="H88" s="1775">
        <f t="shared" si="13"/>
        <v>86.67</v>
      </c>
      <c r="I88" s="1776">
        <f t="shared" si="15"/>
        <v>86.67</v>
      </c>
      <c r="J88" s="1768"/>
    </row>
    <row r="89" spans="1:10" ht="24">
      <c r="A89" s="1770" t="s">
        <v>2407</v>
      </c>
      <c r="B89" s="1771" t="s">
        <v>2410</v>
      </c>
      <c r="C89" s="1771">
        <v>2685</v>
      </c>
      <c r="D89" s="1772" t="s">
        <v>519</v>
      </c>
      <c r="E89" s="1773" t="s">
        <v>54</v>
      </c>
      <c r="F89" s="1779">
        <v>8</v>
      </c>
      <c r="G89" s="1779">
        <v>7.57</v>
      </c>
      <c r="H89" s="1775">
        <f t="shared" si="13"/>
        <v>7.52</v>
      </c>
      <c r="I89" s="1776">
        <f t="shared" si="15"/>
        <v>60.16</v>
      </c>
      <c r="J89" s="1768"/>
    </row>
    <row r="90" spans="1:10" ht="24">
      <c r="A90" s="1770" t="s">
        <v>2407</v>
      </c>
      <c r="B90" s="1771" t="s">
        <v>2410</v>
      </c>
      <c r="C90" s="1771">
        <v>2731</v>
      </c>
      <c r="D90" s="1772" t="s">
        <v>520</v>
      </c>
      <c r="E90" s="1773" t="s">
        <v>54</v>
      </c>
      <c r="F90" s="1779">
        <v>7.96</v>
      </c>
      <c r="G90" s="1779">
        <v>111.49</v>
      </c>
      <c r="H90" s="1775">
        <f t="shared" si="13"/>
        <v>110.82</v>
      </c>
      <c r="I90" s="1776">
        <f t="shared" si="15"/>
        <v>882.12</v>
      </c>
      <c r="J90" s="1768"/>
    </row>
    <row r="91" spans="1:10" ht="36">
      <c r="A91" s="1770" t="s">
        <v>2407</v>
      </c>
      <c r="B91" s="1771" t="s">
        <v>2410</v>
      </c>
      <c r="C91" s="1771">
        <v>3379</v>
      </c>
      <c r="D91" s="1772" t="s">
        <v>2160</v>
      </c>
      <c r="E91" s="1773" t="s">
        <v>55</v>
      </c>
      <c r="F91" s="1779">
        <v>1</v>
      </c>
      <c r="G91" s="1779">
        <v>64.59</v>
      </c>
      <c r="H91" s="1775">
        <f t="shared" si="13"/>
        <v>64.2</v>
      </c>
      <c r="I91" s="1776">
        <f t="shared" si="15"/>
        <v>64.2</v>
      </c>
      <c r="J91" s="1768"/>
    </row>
    <row r="92" spans="1:10" ht="36">
      <c r="A92" s="1770" t="s">
        <v>2407</v>
      </c>
      <c r="B92" s="1771" t="s">
        <v>2410</v>
      </c>
      <c r="C92" s="1771">
        <v>4346</v>
      </c>
      <c r="D92" s="1772" t="s">
        <v>521</v>
      </c>
      <c r="E92" s="1773" t="s">
        <v>55</v>
      </c>
      <c r="F92" s="1779">
        <v>2</v>
      </c>
      <c r="G92" s="1779">
        <v>11.29</v>
      </c>
      <c r="H92" s="1775">
        <f t="shared" si="13"/>
        <v>11.22</v>
      </c>
      <c r="I92" s="1776">
        <f t="shared" si="14"/>
        <v>22.44</v>
      </c>
      <c r="J92" s="1768"/>
    </row>
    <row r="93" spans="1:10" ht="36">
      <c r="A93" s="1770" t="s">
        <v>2407</v>
      </c>
      <c r="B93" s="1771" t="s">
        <v>2410</v>
      </c>
      <c r="C93" s="1771">
        <v>11267</v>
      </c>
      <c r="D93" s="1772" t="s">
        <v>522</v>
      </c>
      <c r="E93" s="1773" t="s">
        <v>55</v>
      </c>
      <c r="F93" s="1779">
        <v>2</v>
      </c>
      <c r="G93" s="1779">
        <v>1.1100000000000001</v>
      </c>
      <c r="H93" s="1775">
        <f t="shared" si="13"/>
        <v>1.1000000000000001</v>
      </c>
      <c r="I93" s="1776">
        <f t="shared" si="14"/>
        <v>2.2000000000000002</v>
      </c>
      <c r="J93" s="1768"/>
    </row>
    <row r="94" spans="1:10" ht="24">
      <c r="A94" s="1770" t="s">
        <v>2407</v>
      </c>
      <c r="B94" s="1771" t="s">
        <v>2410</v>
      </c>
      <c r="C94" s="1771">
        <v>12034</v>
      </c>
      <c r="D94" s="1772" t="s">
        <v>523</v>
      </c>
      <c r="E94" s="1773" t="s">
        <v>55</v>
      </c>
      <c r="F94" s="1779">
        <v>2</v>
      </c>
      <c r="G94" s="1779">
        <v>4.6900000000000004</v>
      </c>
      <c r="H94" s="1775">
        <f t="shared" si="13"/>
        <v>4.66</v>
      </c>
      <c r="I94" s="1776">
        <f t="shared" si="14"/>
        <v>9.32</v>
      </c>
      <c r="J94" s="1768"/>
    </row>
    <row r="95" spans="1:10" ht="24">
      <c r="A95" s="1770" t="s">
        <v>2407</v>
      </c>
      <c r="B95" s="1771" t="s">
        <v>2410</v>
      </c>
      <c r="C95" s="1771">
        <v>39176</v>
      </c>
      <c r="D95" s="1772" t="s">
        <v>524</v>
      </c>
      <c r="E95" s="1773" t="s">
        <v>55</v>
      </c>
      <c r="F95" s="1779">
        <v>2</v>
      </c>
      <c r="G95" s="1779">
        <v>1.1499999999999999</v>
      </c>
      <c r="H95" s="1775">
        <f t="shared" si="13"/>
        <v>1.1399999999999999</v>
      </c>
      <c r="I95" s="1776">
        <f t="shared" si="14"/>
        <v>2.2799999999999998</v>
      </c>
      <c r="J95" s="1768"/>
    </row>
    <row r="96" spans="1:10" ht="24">
      <c r="A96" s="1770" t="s">
        <v>2407</v>
      </c>
      <c r="B96" s="1771" t="s">
        <v>2410</v>
      </c>
      <c r="C96" s="1771">
        <v>39210</v>
      </c>
      <c r="D96" s="1772" t="s">
        <v>525</v>
      </c>
      <c r="E96" s="1773" t="s">
        <v>55</v>
      </c>
      <c r="F96" s="1779">
        <v>2</v>
      </c>
      <c r="G96" s="1779">
        <v>0.9</v>
      </c>
      <c r="H96" s="1775">
        <f t="shared" si="13"/>
        <v>0.89</v>
      </c>
      <c r="I96" s="1776">
        <f t="shared" si="14"/>
        <v>1.78</v>
      </c>
      <c r="J96" s="1768"/>
    </row>
    <row r="97" spans="1:10">
      <c r="A97" s="1917" t="s">
        <v>2408</v>
      </c>
      <c r="B97" s="1918"/>
      <c r="C97" s="1918"/>
      <c r="D97" s="1918"/>
      <c r="E97" s="1918"/>
      <c r="F97" s="1918"/>
      <c r="G97" s="1918"/>
      <c r="H97" s="1919"/>
      <c r="I97" s="1778">
        <f>SUM(I78:I96)</f>
        <v>2563.3900000000003</v>
      </c>
      <c r="J97" s="1768"/>
    </row>
    <row r="98" spans="1:10">
      <c r="A98" s="1920"/>
      <c r="B98" s="1921"/>
      <c r="C98" s="1921"/>
      <c r="D98" s="1921"/>
      <c r="E98" s="1921"/>
      <c r="F98" s="1921"/>
      <c r="G98" s="1921"/>
      <c r="H98" s="1921"/>
      <c r="I98" s="1922"/>
      <c r="J98" s="1768"/>
    </row>
    <row r="99" spans="1:10" ht="29.25" customHeight="1">
      <c r="A99" s="1757">
        <f>'PLANILHA SEM DESON'!B27</f>
        <v>93212</v>
      </c>
      <c r="B99" s="1923" t="str">
        <f>VLOOKUP(A99,'PLANILHA SEM DESON'!$B$17:$D$1699,2,FALSE)</f>
        <v>EXECUÇÃO DE SANITÁRIO E VESTIÁRIO EM CANTEIRO DE OBRA EM CHAPA DE MADEIRA COMPENSADA, NÃO INCLUSO MOBILIÁRIO. AF_02/2016</v>
      </c>
      <c r="C99" s="1924"/>
      <c r="D99" s="1924"/>
      <c r="E99" s="1924"/>
      <c r="F99" s="1924"/>
      <c r="G99" s="1924"/>
      <c r="H99" s="1925"/>
      <c r="I99" s="1758" t="str">
        <f>VLOOKUP(A99,'PLANILHA SEM DESON'!$B$17:$D$1699,3,FALSE)</f>
        <v>m²</v>
      </c>
      <c r="J99" s="1759">
        <f>I177</f>
        <v>1064</v>
      </c>
    </row>
    <row r="100" spans="1:10" ht="24">
      <c r="A100" s="1761" t="s">
        <v>2401</v>
      </c>
      <c r="B100" s="1762" t="s">
        <v>2402</v>
      </c>
      <c r="C100" s="1763" t="s">
        <v>2399</v>
      </c>
      <c r="D100" s="1764" t="s">
        <v>284</v>
      </c>
      <c r="E100" s="1763" t="s">
        <v>193</v>
      </c>
      <c r="F100" s="1765" t="s">
        <v>2403</v>
      </c>
      <c r="G100" s="1763" t="s">
        <v>2404</v>
      </c>
      <c r="H100" s="1766" t="s">
        <v>2405</v>
      </c>
      <c r="I100" s="1767" t="s">
        <v>2406</v>
      </c>
      <c r="J100" s="1768"/>
    </row>
    <row r="101" spans="1:10" ht="60">
      <c r="A101" s="1770" t="s">
        <v>2407</v>
      </c>
      <c r="B101" s="1771" t="s">
        <v>2410</v>
      </c>
      <c r="C101" s="1771">
        <v>3080</v>
      </c>
      <c r="D101" s="1772" t="s">
        <v>2433</v>
      </c>
      <c r="E101" s="1773" t="s">
        <v>2434</v>
      </c>
      <c r="F101" s="1780">
        <v>3.4799999999999998E-2</v>
      </c>
      <c r="G101" s="1774">
        <v>79.900000000000006</v>
      </c>
      <c r="H101" s="1775">
        <f t="shared" ref="H101:H132" si="16">IF(E101="H",G101,TRUNC(G101*(1-$K$7),2))</f>
        <v>79.42</v>
      </c>
      <c r="I101" s="1776">
        <f t="shared" ref="I101:I176" si="17">TRUNC(H101*F101,2)</f>
        <v>2.76</v>
      </c>
      <c r="J101" s="1768"/>
    </row>
    <row r="102" spans="1:10" ht="24">
      <c r="A102" s="1770" t="s">
        <v>2407</v>
      </c>
      <c r="B102" s="1771" t="s">
        <v>2410</v>
      </c>
      <c r="C102" s="1771">
        <v>3659</v>
      </c>
      <c r="D102" s="1772" t="s">
        <v>2435</v>
      </c>
      <c r="E102" s="1773" t="s">
        <v>2432</v>
      </c>
      <c r="F102" s="1780">
        <v>1.7399999999999999E-2</v>
      </c>
      <c r="G102" s="1774">
        <v>23.15</v>
      </c>
      <c r="H102" s="1775">
        <f t="shared" si="16"/>
        <v>23.01</v>
      </c>
      <c r="I102" s="1776">
        <f t="shared" ref="I102:I165" si="18">TRUNC(H102*F102,2)</f>
        <v>0.4</v>
      </c>
      <c r="J102" s="1768"/>
    </row>
    <row r="103" spans="1:10" ht="24">
      <c r="A103" s="1770" t="s">
        <v>2407</v>
      </c>
      <c r="B103" s="1771" t="s">
        <v>2410</v>
      </c>
      <c r="C103" s="1771">
        <v>3670</v>
      </c>
      <c r="D103" s="1772" t="s">
        <v>2436</v>
      </c>
      <c r="E103" s="1773" t="s">
        <v>2432</v>
      </c>
      <c r="F103" s="1780">
        <v>3.4799999999999998E-2</v>
      </c>
      <c r="G103" s="1774">
        <v>30.8</v>
      </c>
      <c r="H103" s="1775">
        <f t="shared" si="16"/>
        <v>30.61</v>
      </c>
      <c r="I103" s="1776">
        <f t="shared" si="18"/>
        <v>1.06</v>
      </c>
      <c r="J103" s="1768"/>
    </row>
    <row r="104" spans="1:10" ht="36">
      <c r="A104" s="1770" t="s">
        <v>2407</v>
      </c>
      <c r="B104" s="1771" t="s">
        <v>2410</v>
      </c>
      <c r="C104" s="1771">
        <v>11587</v>
      </c>
      <c r="D104" s="1772" t="s">
        <v>2437</v>
      </c>
      <c r="E104" s="1773" t="s">
        <v>1137</v>
      </c>
      <c r="F104" s="1780">
        <v>0.97619999999999996</v>
      </c>
      <c r="G104" s="1774">
        <v>96.6</v>
      </c>
      <c r="H104" s="1775">
        <f t="shared" si="16"/>
        <v>96.02</v>
      </c>
      <c r="I104" s="1776">
        <f t="shared" si="18"/>
        <v>93.73</v>
      </c>
      <c r="J104" s="1768"/>
    </row>
    <row r="105" spans="1:10" ht="24">
      <c r="A105" s="1770" t="s">
        <v>2407</v>
      </c>
      <c r="B105" s="1771" t="s">
        <v>2410</v>
      </c>
      <c r="C105" s="1771">
        <v>11697</v>
      </c>
      <c r="D105" s="1772" t="s">
        <v>2438</v>
      </c>
      <c r="E105" s="1773" t="s">
        <v>2432</v>
      </c>
      <c r="F105" s="1780">
        <v>1.7399999999999999E-2</v>
      </c>
      <c r="G105" s="1774">
        <v>882.72</v>
      </c>
      <c r="H105" s="1775">
        <f t="shared" si="16"/>
        <v>877.42</v>
      </c>
      <c r="I105" s="1776">
        <f t="shared" si="18"/>
        <v>15.26</v>
      </c>
      <c r="J105" s="1768"/>
    </row>
    <row r="106" spans="1:10" ht="24">
      <c r="A106" s="1770" t="s">
        <v>2407</v>
      </c>
      <c r="B106" s="1771" t="s">
        <v>2410</v>
      </c>
      <c r="C106" s="1771">
        <v>11712</v>
      </c>
      <c r="D106" s="1772" t="s">
        <v>2439</v>
      </c>
      <c r="E106" s="1773" t="s">
        <v>2432</v>
      </c>
      <c r="F106" s="1780">
        <v>3.4799999999999998E-2</v>
      </c>
      <c r="G106" s="1774">
        <v>49.95</v>
      </c>
      <c r="H106" s="1775">
        <f t="shared" si="16"/>
        <v>49.65</v>
      </c>
      <c r="I106" s="1776">
        <f t="shared" si="18"/>
        <v>1.72</v>
      </c>
      <c r="J106" s="1768"/>
    </row>
    <row r="107" spans="1:10" ht="36">
      <c r="A107" s="1770" t="s">
        <v>2407</v>
      </c>
      <c r="B107" s="1771" t="s">
        <v>2410</v>
      </c>
      <c r="C107" s="1771">
        <v>21112</v>
      </c>
      <c r="D107" s="1772" t="s">
        <v>2440</v>
      </c>
      <c r="E107" s="1773" t="s">
        <v>2432</v>
      </c>
      <c r="F107" s="1780">
        <v>1.7399999999999999E-2</v>
      </c>
      <c r="G107" s="1774">
        <v>135.06</v>
      </c>
      <c r="H107" s="1775">
        <f t="shared" si="16"/>
        <v>134.24</v>
      </c>
      <c r="I107" s="1776">
        <f t="shared" si="18"/>
        <v>2.33</v>
      </c>
      <c r="J107" s="1768"/>
    </row>
    <row r="108" spans="1:10" ht="36">
      <c r="A108" s="1770" t="s">
        <v>2407</v>
      </c>
      <c r="B108" s="1771" t="s">
        <v>2410</v>
      </c>
      <c r="C108" s="1771">
        <v>43777</v>
      </c>
      <c r="D108" s="1772" t="s">
        <v>2441</v>
      </c>
      <c r="E108" s="1773" t="s">
        <v>2442</v>
      </c>
      <c r="F108" s="1780">
        <v>4.4761799999999997E-2</v>
      </c>
      <c r="G108" s="1774">
        <v>289.63</v>
      </c>
      <c r="H108" s="1775">
        <f t="shared" si="16"/>
        <v>287.89</v>
      </c>
      <c r="I108" s="1776">
        <f t="shared" si="18"/>
        <v>12.88</v>
      </c>
      <c r="J108" s="1768"/>
    </row>
    <row r="109" spans="1:10" ht="36">
      <c r="A109" s="1770" t="s">
        <v>2407</v>
      </c>
      <c r="B109" s="1771" t="s">
        <v>7</v>
      </c>
      <c r="C109" s="1771">
        <v>86888</v>
      </c>
      <c r="D109" s="1772" t="s">
        <v>2443</v>
      </c>
      <c r="E109" s="1773" t="s">
        <v>2432</v>
      </c>
      <c r="F109" s="1780">
        <v>5.2200000000000003E-2</v>
      </c>
      <c r="G109" s="1774">
        <v>484.71</v>
      </c>
      <c r="H109" s="1775">
        <f t="shared" si="16"/>
        <v>481.8</v>
      </c>
      <c r="I109" s="1776">
        <f t="shared" si="18"/>
        <v>25.14</v>
      </c>
      <c r="J109" s="1768"/>
    </row>
    <row r="110" spans="1:10" ht="60">
      <c r="A110" s="1770" t="s">
        <v>2407</v>
      </c>
      <c r="B110" s="1771" t="s">
        <v>7</v>
      </c>
      <c r="C110" s="1771">
        <v>86943</v>
      </c>
      <c r="D110" s="1772" t="s">
        <v>1771</v>
      </c>
      <c r="E110" s="1773" t="s">
        <v>2432</v>
      </c>
      <c r="F110" s="1780">
        <v>5.2200000000000003E-2</v>
      </c>
      <c r="G110" s="1774">
        <v>262.18</v>
      </c>
      <c r="H110" s="1775">
        <f t="shared" si="16"/>
        <v>260.60000000000002</v>
      </c>
      <c r="I110" s="1776">
        <f t="shared" si="18"/>
        <v>13.6</v>
      </c>
      <c r="J110" s="1768"/>
    </row>
    <row r="111" spans="1:10" ht="60">
      <c r="A111" s="1770" t="s">
        <v>2407</v>
      </c>
      <c r="B111" s="1771" t="s">
        <v>7</v>
      </c>
      <c r="C111" s="1771">
        <v>87548</v>
      </c>
      <c r="D111" s="1772" t="s">
        <v>2444</v>
      </c>
      <c r="E111" s="1773" t="s">
        <v>1137</v>
      </c>
      <c r="F111" s="1780">
        <v>0.18940000000000001</v>
      </c>
      <c r="G111" s="1774">
        <v>26.03</v>
      </c>
      <c r="H111" s="1775">
        <f t="shared" si="16"/>
        <v>25.87</v>
      </c>
      <c r="I111" s="1776">
        <f t="shared" si="18"/>
        <v>4.8899999999999997</v>
      </c>
      <c r="J111" s="1768"/>
    </row>
    <row r="112" spans="1:10" ht="48">
      <c r="A112" s="1770" t="s">
        <v>2407</v>
      </c>
      <c r="B112" s="1771" t="s">
        <v>7</v>
      </c>
      <c r="C112" s="1771">
        <v>87777</v>
      </c>
      <c r="D112" s="1772" t="s">
        <v>2445</v>
      </c>
      <c r="E112" s="1773" t="s">
        <v>1137</v>
      </c>
      <c r="F112" s="1780">
        <v>0.1681</v>
      </c>
      <c r="G112" s="1774">
        <v>55.64</v>
      </c>
      <c r="H112" s="1775">
        <f t="shared" si="16"/>
        <v>55.3</v>
      </c>
      <c r="I112" s="1776">
        <f t="shared" si="18"/>
        <v>9.2899999999999991</v>
      </c>
      <c r="J112" s="1768"/>
    </row>
    <row r="113" spans="1:10" ht="36">
      <c r="A113" s="1770" t="s">
        <v>2407</v>
      </c>
      <c r="B113" s="1771" t="s">
        <v>7</v>
      </c>
      <c r="C113" s="1771">
        <v>87885</v>
      </c>
      <c r="D113" s="1772" t="s">
        <v>2446</v>
      </c>
      <c r="E113" s="1773" t="s">
        <v>1137</v>
      </c>
      <c r="F113" s="1780">
        <v>0.76790000000000003</v>
      </c>
      <c r="G113" s="1774">
        <v>11.11</v>
      </c>
      <c r="H113" s="1775">
        <f t="shared" si="16"/>
        <v>11.04</v>
      </c>
      <c r="I113" s="1776">
        <f t="shared" si="18"/>
        <v>8.4700000000000006</v>
      </c>
      <c r="J113" s="1768"/>
    </row>
    <row r="114" spans="1:10" ht="60">
      <c r="A114" s="1770" t="s">
        <v>2407</v>
      </c>
      <c r="B114" s="1771" t="s">
        <v>7</v>
      </c>
      <c r="C114" s="1771">
        <v>87903</v>
      </c>
      <c r="D114" s="1772" t="s">
        <v>2447</v>
      </c>
      <c r="E114" s="1773" t="s">
        <v>1137</v>
      </c>
      <c r="F114" s="1780">
        <v>0.1681</v>
      </c>
      <c r="G114" s="1774">
        <v>13.21</v>
      </c>
      <c r="H114" s="1775">
        <f t="shared" si="16"/>
        <v>13.13</v>
      </c>
      <c r="I114" s="1776">
        <f t="shared" si="18"/>
        <v>2.2000000000000002</v>
      </c>
      <c r="J114" s="1768"/>
    </row>
    <row r="115" spans="1:10" ht="24">
      <c r="A115" s="1770" t="s">
        <v>2407</v>
      </c>
      <c r="B115" s="1771" t="s">
        <v>7</v>
      </c>
      <c r="C115" s="1771">
        <v>88489</v>
      </c>
      <c r="D115" s="1772" t="s">
        <v>117</v>
      </c>
      <c r="E115" s="1773" t="s">
        <v>1137</v>
      </c>
      <c r="F115" s="1780">
        <v>2.4441999999999999</v>
      </c>
      <c r="G115" s="1774">
        <v>14.99</v>
      </c>
      <c r="H115" s="1775">
        <f t="shared" si="16"/>
        <v>14.9</v>
      </c>
      <c r="I115" s="1776">
        <f t="shared" si="18"/>
        <v>36.409999999999997</v>
      </c>
      <c r="J115" s="1768"/>
    </row>
    <row r="116" spans="1:10" ht="60">
      <c r="A116" s="1770" t="s">
        <v>2407</v>
      </c>
      <c r="B116" s="1771" t="s">
        <v>7</v>
      </c>
      <c r="C116" s="1771">
        <v>89171</v>
      </c>
      <c r="D116" s="1772" t="s">
        <v>2448</v>
      </c>
      <c r="E116" s="1773" t="s">
        <v>1137</v>
      </c>
      <c r="F116" s="1780">
        <v>0.46279999999999999</v>
      </c>
      <c r="G116" s="1774">
        <v>54.07</v>
      </c>
      <c r="H116" s="1775">
        <f t="shared" si="16"/>
        <v>53.74</v>
      </c>
      <c r="I116" s="1776">
        <f t="shared" si="18"/>
        <v>24.87</v>
      </c>
      <c r="J116" s="1768"/>
    </row>
    <row r="117" spans="1:10" ht="72">
      <c r="A117" s="1770" t="s">
        <v>2407</v>
      </c>
      <c r="B117" s="1771" t="s">
        <v>7</v>
      </c>
      <c r="C117" s="1771">
        <v>89173</v>
      </c>
      <c r="D117" s="1772" t="s">
        <v>118</v>
      </c>
      <c r="E117" s="1773" t="s">
        <v>1137</v>
      </c>
      <c r="F117" s="1780">
        <v>0.76790000000000003</v>
      </c>
      <c r="G117" s="1774">
        <v>36.79</v>
      </c>
      <c r="H117" s="1775">
        <f t="shared" si="16"/>
        <v>36.56</v>
      </c>
      <c r="I117" s="1776">
        <f t="shared" si="18"/>
        <v>28.07</v>
      </c>
      <c r="J117" s="1768"/>
    </row>
    <row r="118" spans="1:10" ht="48">
      <c r="A118" s="1770" t="s">
        <v>2407</v>
      </c>
      <c r="B118" s="1771" t="s">
        <v>7</v>
      </c>
      <c r="C118" s="1771">
        <v>89709</v>
      </c>
      <c r="D118" s="1772" t="s">
        <v>2449</v>
      </c>
      <c r="E118" s="1773" t="s">
        <v>2432</v>
      </c>
      <c r="F118" s="1780">
        <v>6.9599999999999995E-2</v>
      </c>
      <c r="G118" s="1774">
        <v>21.9</v>
      </c>
      <c r="H118" s="1775">
        <f t="shared" si="16"/>
        <v>21.76</v>
      </c>
      <c r="I118" s="1776">
        <f t="shared" si="18"/>
        <v>1.51</v>
      </c>
      <c r="J118" s="1768"/>
    </row>
    <row r="119" spans="1:10" ht="36">
      <c r="A119" s="1770" t="s">
        <v>2407</v>
      </c>
      <c r="B119" s="1771" t="s">
        <v>7</v>
      </c>
      <c r="C119" s="1771">
        <v>89711</v>
      </c>
      <c r="D119" s="1772" t="s">
        <v>2450</v>
      </c>
      <c r="E119" s="1773" t="s">
        <v>158</v>
      </c>
      <c r="F119" s="1780">
        <v>0.16309999999999999</v>
      </c>
      <c r="G119" s="1774">
        <v>21.07</v>
      </c>
      <c r="H119" s="1775">
        <f t="shared" si="16"/>
        <v>20.94</v>
      </c>
      <c r="I119" s="1776">
        <f t="shared" si="18"/>
        <v>3.41</v>
      </c>
      <c r="J119" s="1768"/>
    </row>
    <row r="120" spans="1:10" ht="36">
      <c r="A120" s="1770" t="s">
        <v>2407</v>
      </c>
      <c r="B120" s="1771" t="s">
        <v>7</v>
      </c>
      <c r="C120" s="1771">
        <v>89712</v>
      </c>
      <c r="D120" s="1772" t="s">
        <v>2451</v>
      </c>
      <c r="E120" s="1773" t="s">
        <v>158</v>
      </c>
      <c r="F120" s="1780">
        <v>0.2235</v>
      </c>
      <c r="G120" s="1774">
        <v>27.77</v>
      </c>
      <c r="H120" s="1775">
        <f t="shared" si="16"/>
        <v>27.6</v>
      </c>
      <c r="I120" s="1776">
        <f t="shared" si="18"/>
        <v>6.16</v>
      </c>
      <c r="J120" s="1768"/>
    </row>
    <row r="121" spans="1:10" ht="36">
      <c r="A121" s="1770" t="s">
        <v>2407</v>
      </c>
      <c r="B121" s="1771" t="s">
        <v>7</v>
      </c>
      <c r="C121" s="1771">
        <v>89714</v>
      </c>
      <c r="D121" s="1772" t="s">
        <v>2452</v>
      </c>
      <c r="E121" s="1773" t="s">
        <v>158</v>
      </c>
      <c r="F121" s="1780">
        <v>4.7E-2</v>
      </c>
      <c r="G121" s="1774">
        <v>41.92</v>
      </c>
      <c r="H121" s="1775">
        <f t="shared" si="16"/>
        <v>41.66</v>
      </c>
      <c r="I121" s="1776">
        <f t="shared" si="18"/>
        <v>1.95</v>
      </c>
      <c r="J121" s="1768"/>
    </row>
    <row r="122" spans="1:10" ht="48">
      <c r="A122" s="1770" t="s">
        <v>2407</v>
      </c>
      <c r="B122" s="1771" t="s">
        <v>7</v>
      </c>
      <c r="C122" s="1771">
        <v>89724</v>
      </c>
      <c r="D122" s="1772" t="s">
        <v>2453</v>
      </c>
      <c r="E122" s="1773" t="s">
        <v>2432</v>
      </c>
      <c r="F122" s="1780">
        <v>0.17399999999999999</v>
      </c>
      <c r="G122" s="1774">
        <v>12.96</v>
      </c>
      <c r="H122" s="1775">
        <f t="shared" si="16"/>
        <v>12.88</v>
      </c>
      <c r="I122" s="1776">
        <f t="shared" si="18"/>
        <v>2.2400000000000002</v>
      </c>
      <c r="J122" s="1768"/>
    </row>
    <row r="123" spans="1:10" ht="48">
      <c r="A123" s="1770" t="s">
        <v>2407</v>
      </c>
      <c r="B123" s="1771" t="s">
        <v>7</v>
      </c>
      <c r="C123" s="1771">
        <v>89731</v>
      </c>
      <c r="D123" s="1772" t="s">
        <v>2454</v>
      </c>
      <c r="E123" s="1773" t="s">
        <v>2432</v>
      </c>
      <c r="F123" s="1780">
        <v>1.7399999999999999E-2</v>
      </c>
      <c r="G123" s="1774">
        <v>15.29</v>
      </c>
      <c r="H123" s="1775">
        <f t="shared" si="16"/>
        <v>15.19</v>
      </c>
      <c r="I123" s="1776">
        <f t="shared" si="18"/>
        <v>0.26</v>
      </c>
      <c r="J123" s="1768"/>
    </row>
    <row r="124" spans="1:10" ht="48">
      <c r="A124" s="1770" t="s">
        <v>2407</v>
      </c>
      <c r="B124" s="1771" t="s">
        <v>7</v>
      </c>
      <c r="C124" s="1771">
        <v>89748</v>
      </c>
      <c r="D124" s="1772" t="s">
        <v>2455</v>
      </c>
      <c r="E124" s="1773" t="s">
        <v>2432</v>
      </c>
      <c r="F124" s="1780">
        <v>5.2200000000000003E-2</v>
      </c>
      <c r="G124" s="1774">
        <v>50.6</v>
      </c>
      <c r="H124" s="1775">
        <f t="shared" si="16"/>
        <v>50.29</v>
      </c>
      <c r="I124" s="1776">
        <f t="shared" si="18"/>
        <v>2.62</v>
      </c>
      <c r="J124" s="1768"/>
    </row>
    <row r="125" spans="1:10" ht="48">
      <c r="A125" s="1770" t="s">
        <v>2407</v>
      </c>
      <c r="B125" s="1771" t="s">
        <v>7</v>
      </c>
      <c r="C125" s="1771">
        <v>89784</v>
      </c>
      <c r="D125" s="1772" t="s">
        <v>2456</v>
      </c>
      <c r="E125" s="1773" t="s">
        <v>2432</v>
      </c>
      <c r="F125" s="1780">
        <v>1.7399999999999999E-2</v>
      </c>
      <c r="G125" s="1774">
        <v>26.64</v>
      </c>
      <c r="H125" s="1775">
        <f t="shared" si="16"/>
        <v>26.48</v>
      </c>
      <c r="I125" s="1776">
        <f t="shared" si="18"/>
        <v>0.46</v>
      </c>
      <c r="J125" s="1768"/>
    </row>
    <row r="126" spans="1:10" ht="48">
      <c r="A126" s="1770" t="s">
        <v>2407</v>
      </c>
      <c r="B126" s="1771" t="s">
        <v>7</v>
      </c>
      <c r="C126" s="1771">
        <v>89957</v>
      </c>
      <c r="D126" s="1772" t="s">
        <v>2457</v>
      </c>
      <c r="E126" s="1773" t="s">
        <v>2432</v>
      </c>
      <c r="F126" s="1780">
        <v>0.17399999999999999</v>
      </c>
      <c r="G126" s="1774">
        <v>145.26</v>
      </c>
      <c r="H126" s="1775">
        <f t="shared" si="16"/>
        <v>144.38</v>
      </c>
      <c r="I126" s="1776">
        <f t="shared" si="18"/>
        <v>25.12</v>
      </c>
      <c r="J126" s="1768"/>
    </row>
    <row r="127" spans="1:10" ht="48">
      <c r="A127" s="1770" t="s">
        <v>2407</v>
      </c>
      <c r="B127" s="1771" t="s">
        <v>7</v>
      </c>
      <c r="C127" s="1771">
        <v>89970</v>
      </c>
      <c r="D127" s="1772" t="s">
        <v>2458</v>
      </c>
      <c r="E127" s="1773" t="s">
        <v>2432</v>
      </c>
      <c r="F127" s="1780">
        <v>6.9599999999999995E-2</v>
      </c>
      <c r="G127" s="1774">
        <v>43.42</v>
      </c>
      <c r="H127" s="1775">
        <f t="shared" si="16"/>
        <v>43.15</v>
      </c>
      <c r="I127" s="1776">
        <f t="shared" si="18"/>
        <v>3</v>
      </c>
      <c r="J127" s="1768"/>
    </row>
    <row r="128" spans="1:10" ht="36">
      <c r="A128" s="1770" t="s">
        <v>2407</v>
      </c>
      <c r="B128" s="1771" t="s">
        <v>7</v>
      </c>
      <c r="C128" s="1771">
        <v>90443</v>
      </c>
      <c r="D128" s="1772" t="s">
        <v>2459</v>
      </c>
      <c r="E128" s="1773" t="s">
        <v>158</v>
      </c>
      <c r="F128" s="1780">
        <v>7.22E-2</v>
      </c>
      <c r="G128" s="1774">
        <v>12.47</v>
      </c>
      <c r="H128" s="1775">
        <f t="shared" si="16"/>
        <v>12.39</v>
      </c>
      <c r="I128" s="1776">
        <f t="shared" si="18"/>
        <v>0.89</v>
      </c>
      <c r="J128" s="1768"/>
    </row>
    <row r="129" spans="1:10" ht="36">
      <c r="A129" s="1770" t="s">
        <v>2407</v>
      </c>
      <c r="B129" s="1771" t="s">
        <v>7</v>
      </c>
      <c r="C129" s="1771">
        <v>90466</v>
      </c>
      <c r="D129" s="1772" t="s">
        <v>2460</v>
      </c>
      <c r="E129" s="1773" t="s">
        <v>158</v>
      </c>
      <c r="F129" s="1780">
        <v>7.22E-2</v>
      </c>
      <c r="G129" s="1774">
        <v>12.99</v>
      </c>
      <c r="H129" s="1775">
        <f t="shared" si="16"/>
        <v>12.91</v>
      </c>
      <c r="I129" s="1776">
        <f t="shared" si="18"/>
        <v>0.93</v>
      </c>
      <c r="J129" s="1768"/>
    </row>
    <row r="130" spans="1:10" ht="48">
      <c r="A130" s="1770" t="s">
        <v>2407</v>
      </c>
      <c r="B130" s="1771" t="s">
        <v>7</v>
      </c>
      <c r="C130" s="1771">
        <v>90822</v>
      </c>
      <c r="D130" s="1772" t="s">
        <v>2461</v>
      </c>
      <c r="E130" s="1773" t="s">
        <v>2432</v>
      </c>
      <c r="F130" s="1780">
        <v>3.4799999999999998E-2</v>
      </c>
      <c r="G130" s="1774">
        <v>396.29</v>
      </c>
      <c r="H130" s="1775">
        <f t="shared" si="16"/>
        <v>393.91</v>
      </c>
      <c r="I130" s="1776">
        <f t="shared" si="18"/>
        <v>13.7</v>
      </c>
      <c r="J130" s="1768"/>
    </row>
    <row r="131" spans="1:10" ht="60">
      <c r="A131" s="1770" t="s">
        <v>2407</v>
      </c>
      <c r="B131" s="1771" t="s">
        <v>7</v>
      </c>
      <c r="C131" s="1771">
        <v>91170</v>
      </c>
      <c r="D131" s="1772" t="s">
        <v>2462</v>
      </c>
      <c r="E131" s="1773" t="s">
        <v>158</v>
      </c>
      <c r="F131" s="1780">
        <v>0.4612</v>
      </c>
      <c r="G131" s="1774">
        <v>3.36</v>
      </c>
      <c r="H131" s="1775">
        <f t="shared" si="16"/>
        <v>3.33</v>
      </c>
      <c r="I131" s="1776">
        <f t="shared" si="18"/>
        <v>1.53</v>
      </c>
      <c r="J131" s="1768"/>
    </row>
    <row r="132" spans="1:10" ht="48">
      <c r="A132" s="1770" t="s">
        <v>2407</v>
      </c>
      <c r="B132" s="1771" t="s">
        <v>7</v>
      </c>
      <c r="C132" s="1771">
        <v>91173</v>
      </c>
      <c r="D132" s="1772" t="s">
        <v>2463</v>
      </c>
      <c r="E132" s="1773" t="s">
        <v>158</v>
      </c>
      <c r="F132" s="1780">
        <v>0.1827</v>
      </c>
      <c r="G132" s="1774">
        <v>1.71</v>
      </c>
      <c r="H132" s="1775">
        <f t="shared" si="16"/>
        <v>1.69</v>
      </c>
      <c r="I132" s="1776">
        <f t="shared" si="18"/>
        <v>0.3</v>
      </c>
      <c r="J132" s="1768"/>
    </row>
    <row r="133" spans="1:10" ht="48">
      <c r="A133" s="1770" t="s">
        <v>2407</v>
      </c>
      <c r="B133" s="1771" t="s">
        <v>7</v>
      </c>
      <c r="C133" s="1771">
        <v>91305</v>
      </c>
      <c r="D133" s="1772" t="s">
        <v>2464</v>
      </c>
      <c r="E133" s="1773" t="s">
        <v>2432</v>
      </c>
      <c r="F133" s="1780">
        <v>5.2200000000000003E-2</v>
      </c>
      <c r="G133" s="1774">
        <v>114.72</v>
      </c>
      <c r="H133" s="1775">
        <f t="shared" ref="H133:H164" si="19">IF(E133="H",G133,TRUNC(G133*(1-$K$7),2))</f>
        <v>114.03</v>
      </c>
      <c r="I133" s="1776">
        <f t="shared" si="18"/>
        <v>5.95</v>
      </c>
      <c r="J133" s="1768"/>
    </row>
    <row r="134" spans="1:10" ht="36">
      <c r="A134" s="1770" t="s">
        <v>2407</v>
      </c>
      <c r="B134" s="1771" t="s">
        <v>7</v>
      </c>
      <c r="C134" s="1771">
        <v>91862</v>
      </c>
      <c r="D134" s="1772" t="s">
        <v>2465</v>
      </c>
      <c r="E134" s="1773" t="s">
        <v>158</v>
      </c>
      <c r="F134" s="1780">
        <v>0.33069999999999999</v>
      </c>
      <c r="G134" s="1774">
        <v>10.33</v>
      </c>
      <c r="H134" s="1775">
        <f t="shared" si="19"/>
        <v>10.26</v>
      </c>
      <c r="I134" s="1776">
        <f t="shared" si="18"/>
        <v>3.39</v>
      </c>
      <c r="J134" s="1768"/>
    </row>
    <row r="135" spans="1:10" ht="36">
      <c r="A135" s="1770" t="s">
        <v>2407</v>
      </c>
      <c r="B135" s="1771" t="s">
        <v>7</v>
      </c>
      <c r="C135" s="1771">
        <v>91863</v>
      </c>
      <c r="D135" s="1772" t="s">
        <v>1504</v>
      </c>
      <c r="E135" s="1773" t="s">
        <v>158</v>
      </c>
      <c r="F135" s="1780">
        <v>0.1305</v>
      </c>
      <c r="G135" s="1774">
        <v>12.09</v>
      </c>
      <c r="H135" s="1775">
        <f t="shared" si="19"/>
        <v>12.01</v>
      </c>
      <c r="I135" s="1776">
        <f t="shared" si="18"/>
        <v>1.56</v>
      </c>
      <c r="J135" s="1768"/>
    </row>
    <row r="136" spans="1:10" ht="36">
      <c r="A136" s="1770" t="s">
        <v>2407</v>
      </c>
      <c r="B136" s="1771" t="s">
        <v>7</v>
      </c>
      <c r="C136" s="1771">
        <v>91870</v>
      </c>
      <c r="D136" s="1772" t="s">
        <v>2466</v>
      </c>
      <c r="E136" s="1773" t="s">
        <v>158</v>
      </c>
      <c r="F136" s="1780">
        <v>0.15659999999999999</v>
      </c>
      <c r="G136" s="1774">
        <v>11.02</v>
      </c>
      <c r="H136" s="1775">
        <f t="shared" si="19"/>
        <v>10.95</v>
      </c>
      <c r="I136" s="1776">
        <f t="shared" si="18"/>
        <v>1.71</v>
      </c>
      <c r="J136" s="1768"/>
    </row>
    <row r="137" spans="1:10" ht="36">
      <c r="A137" s="1770" t="s">
        <v>2407</v>
      </c>
      <c r="B137" s="1771" t="s">
        <v>7</v>
      </c>
      <c r="C137" s="1771">
        <v>91871</v>
      </c>
      <c r="D137" s="1772" t="s">
        <v>2467</v>
      </c>
      <c r="E137" s="1773" t="s">
        <v>158</v>
      </c>
      <c r="F137" s="1780">
        <v>2.6100000000000002E-2</v>
      </c>
      <c r="G137" s="1774">
        <v>12.83</v>
      </c>
      <c r="H137" s="1775">
        <f t="shared" si="19"/>
        <v>12.75</v>
      </c>
      <c r="I137" s="1776">
        <f t="shared" si="18"/>
        <v>0.33</v>
      </c>
      <c r="J137" s="1768"/>
    </row>
    <row r="138" spans="1:10" ht="36">
      <c r="A138" s="1770" t="s">
        <v>2407</v>
      </c>
      <c r="B138" s="1771" t="s">
        <v>7</v>
      </c>
      <c r="C138" s="1771">
        <v>91875</v>
      </c>
      <c r="D138" s="1772" t="s">
        <v>2468</v>
      </c>
      <c r="E138" s="1773" t="s">
        <v>2432</v>
      </c>
      <c r="F138" s="1780">
        <v>3.4799999999999998E-2</v>
      </c>
      <c r="G138" s="1774">
        <v>6.21</v>
      </c>
      <c r="H138" s="1775">
        <f t="shared" si="19"/>
        <v>6.17</v>
      </c>
      <c r="I138" s="1776">
        <f t="shared" si="18"/>
        <v>0.21</v>
      </c>
      <c r="J138" s="1768"/>
    </row>
    <row r="139" spans="1:10" ht="36">
      <c r="A139" s="1770" t="s">
        <v>2407</v>
      </c>
      <c r="B139" s="1771" t="s">
        <v>7</v>
      </c>
      <c r="C139" s="1771">
        <v>91882</v>
      </c>
      <c r="D139" s="1772" t="s">
        <v>2469</v>
      </c>
      <c r="E139" s="1773" t="s">
        <v>2432</v>
      </c>
      <c r="F139" s="1780">
        <v>3.4799999999999998E-2</v>
      </c>
      <c r="G139" s="1774">
        <v>7.49</v>
      </c>
      <c r="H139" s="1775">
        <f t="shared" si="19"/>
        <v>7.44</v>
      </c>
      <c r="I139" s="1776">
        <f t="shared" si="18"/>
        <v>0.25</v>
      </c>
      <c r="J139" s="1768"/>
    </row>
    <row r="140" spans="1:10" ht="48">
      <c r="A140" s="1770" t="s">
        <v>2407</v>
      </c>
      <c r="B140" s="1771" t="s">
        <v>7</v>
      </c>
      <c r="C140" s="1771">
        <v>91890</v>
      </c>
      <c r="D140" s="1772" t="s">
        <v>2470</v>
      </c>
      <c r="E140" s="1773" t="s">
        <v>2432</v>
      </c>
      <c r="F140" s="1780">
        <v>1.7399999999999999E-2</v>
      </c>
      <c r="G140" s="1774">
        <v>10.31</v>
      </c>
      <c r="H140" s="1775">
        <f t="shared" si="19"/>
        <v>10.24</v>
      </c>
      <c r="I140" s="1776">
        <f t="shared" si="18"/>
        <v>0.17</v>
      </c>
      <c r="J140" s="1768"/>
    </row>
    <row r="141" spans="1:10" ht="48">
      <c r="A141" s="1770" t="s">
        <v>2407</v>
      </c>
      <c r="B141" s="1771" t="s">
        <v>7</v>
      </c>
      <c r="C141" s="1771">
        <v>91911</v>
      </c>
      <c r="D141" s="1772" t="s">
        <v>2471</v>
      </c>
      <c r="E141" s="1773" t="s">
        <v>2432</v>
      </c>
      <c r="F141" s="1780">
        <v>6.9599999999999995E-2</v>
      </c>
      <c r="G141" s="1774">
        <v>12.83</v>
      </c>
      <c r="H141" s="1775">
        <f t="shared" si="19"/>
        <v>12.75</v>
      </c>
      <c r="I141" s="1776">
        <f t="shared" si="18"/>
        <v>0.88</v>
      </c>
      <c r="J141" s="1768"/>
    </row>
    <row r="142" spans="1:10" ht="36">
      <c r="A142" s="1770" t="s">
        <v>2407</v>
      </c>
      <c r="B142" s="1771" t="s">
        <v>7</v>
      </c>
      <c r="C142" s="1771">
        <v>91924</v>
      </c>
      <c r="D142" s="1772" t="s">
        <v>2472</v>
      </c>
      <c r="E142" s="1773" t="s">
        <v>158</v>
      </c>
      <c r="F142" s="1780">
        <v>1.2529999999999999</v>
      </c>
      <c r="G142" s="1774">
        <v>2.74</v>
      </c>
      <c r="H142" s="1775">
        <f t="shared" si="19"/>
        <v>2.72</v>
      </c>
      <c r="I142" s="1776">
        <f t="shared" si="18"/>
        <v>3.4</v>
      </c>
      <c r="J142" s="1768"/>
    </row>
    <row r="143" spans="1:10" ht="36">
      <c r="A143" s="1770" t="s">
        <v>2407</v>
      </c>
      <c r="B143" s="1771" t="s">
        <v>7</v>
      </c>
      <c r="C143" s="1771">
        <v>91926</v>
      </c>
      <c r="D143" s="1772" t="s">
        <v>2146</v>
      </c>
      <c r="E143" s="1773" t="s">
        <v>158</v>
      </c>
      <c r="F143" s="1780">
        <v>0.46989999999999998</v>
      </c>
      <c r="G143" s="1774">
        <v>3.97</v>
      </c>
      <c r="H143" s="1775">
        <f t="shared" si="19"/>
        <v>3.94</v>
      </c>
      <c r="I143" s="1776">
        <f t="shared" si="18"/>
        <v>1.85</v>
      </c>
      <c r="J143" s="1768"/>
    </row>
    <row r="144" spans="1:10" ht="36">
      <c r="A144" s="1770" t="s">
        <v>2407</v>
      </c>
      <c r="B144" s="1771" t="s">
        <v>7</v>
      </c>
      <c r="C144" s="1771">
        <v>91928</v>
      </c>
      <c r="D144" s="1772" t="s">
        <v>2473</v>
      </c>
      <c r="E144" s="1773" t="s">
        <v>158</v>
      </c>
      <c r="F144" s="1780">
        <v>1.0442</v>
      </c>
      <c r="G144" s="1774">
        <v>6.12</v>
      </c>
      <c r="H144" s="1775">
        <f t="shared" si="19"/>
        <v>6.08</v>
      </c>
      <c r="I144" s="1776">
        <f t="shared" si="18"/>
        <v>6.34</v>
      </c>
      <c r="J144" s="1768"/>
    </row>
    <row r="145" spans="1:10" ht="24">
      <c r="A145" s="1770" t="s">
        <v>2407</v>
      </c>
      <c r="B145" s="1771" t="s">
        <v>7</v>
      </c>
      <c r="C145" s="1771">
        <v>91937</v>
      </c>
      <c r="D145" s="1772" t="s">
        <v>2474</v>
      </c>
      <c r="E145" s="1773" t="s">
        <v>2432</v>
      </c>
      <c r="F145" s="1780">
        <v>0.13919999999999999</v>
      </c>
      <c r="G145" s="1774">
        <v>11.07</v>
      </c>
      <c r="H145" s="1775">
        <f t="shared" si="19"/>
        <v>11</v>
      </c>
      <c r="I145" s="1776">
        <f t="shared" si="18"/>
        <v>1.53</v>
      </c>
      <c r="J145" s="1768"/>
    </row>
    <row r="146" spans="1:10" ht="36">
      <c r="A146" s="1770" t="s">
        <v>2407</v>
      </c>
      <c r="B146" s="1771" t="s">
        <v>7</v>
      </c>
      <c r="C146" s="1771">
        <v>91959</v>
      </c>
      <c r="D146" s="1772" t="s">
        <v>165</v>
      </c>
      <c r="E146" s="1773" t="s">
        <v>2432</v>
      </c>
      <c r="F146" s="1780">
        <v>1.7399999999999999E-2</v>
      </c>
      <c r="G146" s="1774">
        <v>37.909999999999997</v>
      </c>
      <c r="H146" s="1775">
        <f t="shared" si="19"/>
        <v>37.68</v>
      </c>
      <c r="I146" s="1776">
        <f t="shared" si="18"/>
        <v>0.65</v>
      </c>
      <c r="J146" s="1768"/>
    </row>
    <row r="147" spans="1:10" ht="36">
      <c r="A147" s="1770" t="s">
        <v>2407</v>
      </c>
      <c r="B147" s="1771" t="s">
        <v>7</v>
      </c>
      <c r="C147" s="1771">
        <v>91967</v>
      </c>
      <c r="D147" s="1772" t="s">
        <v>1539</v>
      </c>
      <c r="E147" s="1773" t="s">
        <v>2432</v>
      </c>
      <c r="F147" s="1780">
        <v>1.7399999999999999E-2</v>
      </c>
      <c r="G147" s="1774">
        <v>51.86</v>
      </c>
      <c r="H147" s="1775">
        <f t="shared" si="19"/>
        <v>51.54</v>
      </c>
      <c r="I147" s="1776">
        <f t="shared" si="18"/>
        <v>0.89</v>
      </c>
      <c r="J147" s="1768"/>
    </row>
    <row r="148" spans="1:10" ht="36">
      <c r="A148" s="1770" t="s">
        <v>2407</v>
      </c>
      <c r="B148" s="1771" t="s">
        <v>7</v>
      </c>
      <c r="C148" s="1771">
        <v>92000</v>
      </c>
      <c r="D148" s="1772" t="s">
        <v>2475</v>
      </c>
      <c r="E148" s="1773" t="s">
        <v>2432</v>
      </c>
      <c r="F148" s="1780">
        <v>3.4799999999999998E-2</v>
      </c>
      <c r="G148" s="1774">
        <v>25.28</v>
      </c>
      <c r="H148" s="1775">
        <f t="shared" si="19"/>
        <v>25.12</v>
      </c>
      <c r="I148" s="1776">
        <f t="shared" si="18"/>
        <v>0.87</v>
      </c>
      <c r="J148" s="1768"/>
    </row>
    <row r="149" spans="1:10" ht="60">
      <c r="A149" s="1770" t="s">
        <v>2407</v>
      </c>
      <c r="B149" s="1771" t="s">
        <v>7</v>
      </c>
      <c r="C149" s="1771">
        <v>92543</v>
      </c>
      <c r="D149" s="1772" t="s">
        <v>2476</v>
      </c>
      <c r="E149" s="1773" t="s">
        <v>1137</v>
      </c>
      <c r="F149" s="1780">
        <v>1.3566</v>
      </c>
      <c r="G149" s="1774">
        <v>22.25</v>
      </c>
      <c r="H149" s="1775">
        <f t="shared" si="19"/>
        <v>22.11</v>
      </c>
      <c r="I149" s="1776">
        <f t="shared" si="18"/>
        <v>29.99</v>
      </c>
      <c r="J149" s="1768"/>
    </row>
    <row r="150" spans="1:10" ht="36">
      <c r="A150" s="1770" t="s">
        <v>2407</v>
      </c>
      <c r="B150" s="1771" t="s">
        <v>7</v>
      </c>
      <c r="C150" s="1771">
        <v>92981</v>
      </c>
      <c r="D150" s="1772" t="s">
        <v>2477</v>
      </c>
      <c r="E150" s="1773" t="s">
        <v>158</v>
      </c>
      <c r="F150" s="1780">
        <v>0.2611</v>
      </c>
      <c r="G150" s="1774">
        <v>14.98</v>
      </c>
      <c r="H150" s="1775">
        <f t="shared" si="19"/>
        <v>14.89</v>
      </c>
      <c r="I150" s="1776">
        <f t="shared" si="18"/>
        <v>3.88</v>
      </c>
      <c r="J150" s="1768"/>
    </row>
    <row r="151" spans="1:10" ht="24">
      <c r="A151" s="1770" t="s">
        <v>2407</v>
      </c>
      <c r="B151" s="1771" t="s">
        <v>7</v>
      </c>
      <c r="C151" s="1771">
        <v>93358</v>
      </c>
      <c r="D151" s="1772" t="s">
        <v>2478</v>
      </c>
      <c r="E151" s="1773" t="s">
        <v>1132</v>
      </c>
      <c r="F151" s="1780">
        <v>2.7900000000000001E-2</v>
      </c>
      <c r="G151" s="1774">
        <v>76.94</v>
      </c>
      <c r="H151" s="1775">
        <f t="shared" si="19"/>
        <v>76.47</v>
      </c>
      <c r="I151" s="1776">
        <f t="shared" si="18"/>
        <v>2.13</v>
      </c>
      <c r="J151" s="1768"/>
    </row>
    <row r="152" spans="1:10" ht="60">
      <c r="A152" s="1770" t="s">
        <v>2407</v>
      </c>
      <c r="B152" s="1771" t="s">
        <v>7</v>
      </c>
      <c r="C152" s="1771">
        <v>94210</v>
      </c>
      <c r="D152" s="1772" t="s">
        <v>2479</v>
      </c>
      <c r="E152" s="1773" t="s">
        <v>1137</v>
      </c>
      <c r="F152" s="1780">
        <v>1.3566</v>
      </c>
      <c r="G152" s="1774">
        <v>55.58</v>
      </c>
      <c r="H152" s="1775">
        <f t="shared" si="19"/>
        <v>55.24</v>
      </c>
      <c r="I152" s="1776">
        <f t="shared" si="18"/>
        <v>74.930000000000007</v>
      </c>
      <c r="J152" s="1768"/>
    </row>
    <row r="153" spans="1:10" ht="60">
      <c r="A153" s="1770" t="s">
        <v>2407</v>
      </c>
      <c r="B153" s="1771" t="s">
        <v>7</v>
      </c>
      <c r="C153" s="1771">
        <v>94559</v>
      </c>
      <c r="D153" s="1772" t="s">
        <v>2480</v>
      </c>
      <c r="E153" s="1773" t="s">
        <v>1137</v>
      </c>
      <c r="F153" s="1780">
        <v>9.0499999999999997E-2</v>
      </c>
      <c r="G153" s="1774">
        <v>809.19</v>
      </c>
      <c r="H153" s="1775">
        <f t="shared" si="19"/>
        <v>804.33</v>
      </c>
      <c r="I153" s="1776">
        <f t="shared" si="18"/>
        <v>72.790000000000006</v>
      </c>
      <c r="J153" s="1768"/>
    </row>
    <row r="154" spans="1:10" ht="36">
      <c r="A154" s="1770" t="s">
        <v>2407</v>
      </c>
      <c r="B154" s="1771" t="s">
        <v>7</v>
      </c>
      <c r="C154" s="1771">
        <v>95240</v>
      </c>
      <c r="D154" s="1772" t="s">
        <v>2481</v>
      </c>
      <c r="E154" s="1773" t="s">
        <v>1137</v>
      </c>
      <c r="F154" s="1780">
        <v>6.4000000000000003E-3</v>
      </c>
      <c r="G154" s="1774">
        <v>19.690000000000001</v>
      </c>
      <c r="H154" s="1775">
        <f t="shared" si="19"/>
        <v>19.57</v>
      </c>
      <c r="I154" s="1776">
        <f t="shared" si="18"/>
        <v>0.12</v>
      </c>
      <c r="J154" s="1768"/>
    </row>
    <row r="155" spans="1:10" ht="36">
      <c r="A155" s="1770" t="s">
        <v>2407</v>
      </c>
      <c r="B155" s="1771" t="s">
        <v>7</v>
      </c>
      <c r="C155" s="1771">
        <v>95241</v>
      </c>
      <c r="D155" s="1772" t="s">
        <v>2482</v>
      </c>
      <c r="E155" s="1773" t="s">
        <v>1137</v>
      </c>
      <c r="F155" s="1780">
        <v>1.3328</v>
      </c>
      <c r="G155" s="1774">
        <v>32.82</v>
      </c>
      <c r="H155" s="1775">
        <f t="shared" si="19"/>
        <v>32.619999999999997</v>
      </c>
      <c r="I155" s="1776">
        <f t="shared" si="18"/>
        <v>43.47</v>
      </c>
      <c r="J155" s="1768"/>
    </row>
    <row r="156" spans="1:10" ht="36">
      <c r="A156" s="1770" t="s">
        <v>2407</v>
      </c>
      <c r="B156" s="1771" t="s">
        <v>7</v>
      </c>
      <c r="C156" s="1771">
        <v>95805</v>
      </c>
      <c r="D156" s="1772" t="s">
        <v>2483</v>
      </c>
      <c r="E156" s="1773" t="s">
        <v>2432</v>
      </c>
      <c r="F156" s="1780">
        <v>1.7399999999999999E-2</v>
      </c>
      <c r="G156" s="1774">
        <v>21.95</v>
      </c>
      <c r="H156" s="1775">
        <f t="shared" si="19"/>
        <v>21.81</v>
      </c>
      <c r="I156" s="1776">
        <f t="shared" si="18"/>
        <v>0.37</v>
      </c>
      <c r="J156" s="1768"/>
    </row>
    <row r="157" spans="1:10" ht="36">
      <c r="A157" s="1770" t="s">
        <v>2407</v>
      </c>
      <c r="B157" s="1771" t="s">
        <v>7</v>
      </c>
      <c r="C157" s="1771">
        <v>95811</v>
      </c>
      <c r="D157" s="1772" t="s">
        <v>2484</v>
      </c>
      <c r="E157" s="1773" t="s">
        <v>2432</v>
      </c>
      <c r="F157" s="1780">
        <v>5.2200000000000003E-2</v>
      </c>
      <c r="G157" s="1774">
        <v>18.739999999999998</v>
      </c>
      <c r="H157" s="1775">
        <f t="shared" si="19"/>
        <v>18.62</v>
      </c>
      <c r="I157" s="1776">
        <f t="shared" si="18"/>
        <v>0.97</v>
      </c>
      <c r="J157" s="1768"/>
    </row>
    <row r="158" spans="1:10" ht="24">
      <c r="A158" s="1770" t="s">
        <v>2407</v>
      </c>
      <c r="B158" s="1771" t="s">
        <v>7</v>
      </c>
      <c r="C158" s="1771">
        <v>96985</v>
      </c>
      <c r="D158" s="1772" t="s">
        <v>2485</v>
      </c>
      <c r="E158" s="1773" t="s">
        <v>2432</v>
      </c>
      <c r="F158" s="1780">
        <v>5.2200000000000003E-2</v>
      </c>
      <c r="G158" s="1774">
        <v>76.36</v>
      </c>
      <c r="H158" s="1775">
        <f t="shared" si="19"/>
        <v>75.900000000000006</v>
      </c>
      <c r="I158" s="1776">
        <f t="shared" si="18"/>
        <v>3.96</v>
      </c>
      <c r="J158" s="1768"/>
    </row>
    <row r="159" spans="1:10" ht="24">
      <c r="A159" s="1770" t="s">
        <v>2407</v>
      </c>
      <c r="B159" s="1771" t="s">
        <v>7</v>
      </c>
      <c r="C159" s="1771">
        <v>96995</v>
      </c>
      <c r="D159" s="1772" t="s">
        <v>390</v>
      </c>
      <c r="E159" s="1773" t="s">
        <v>1132</v>
      </c>
      <c r="F159" s="1780">
        <v>7.1999999999999998E-3</v>
      </c>
      <c r="G159" s="1774">
        <v>46.65</v>
      </c>
      <c r="H159" s="1775">
        <f t="shared" si="19"/>
        <v>46.37</v>
      </c>
      <c r="I159" s="1776">
        <f t="shared" si="18"/>
        <v>0.33</v>
      </c>
      <c r="J159" s="1768"/>
    </row>
    <row r="160" spans="1:10" ht="48">
      <c r="A160" s="1770" t="s">
        <v>2407</v>
      </c>
      <c r="B160" s="1771" t="s">
        <v>7</v>
      </c>
      <c r="C160" s="1771">
        <v>97586</v>
      </c>
      <c r="D160" s="1772" t="s">
        <v>2486</v>
      </c>
      <c r="E160" s="1773" t="s">
        <v>2432</v>
      </c>
      <c r="F160" s="1780">
        <v>0.13919999999999999</v>
      </c>
      <c r="G160" s="1774">
        <v>153.35</v>
      </c>
      <c r="H160" s="1775">
        <f t="shared" si="19"/>
        <v>152.41999999999999</v>
      </c>
      <c r="I160" s="1776">
        <f t="shared" si="18"/>
        <v>21.21</v>
      </c>
      <c r="J160" s="1768"/>
    </row>
    <row r="161" spans="1:10" ht="48">
      <c r="A161" s="1770" t="s">
        <v>2407</v>
      </c>
      <c r="B161" s="1771" t="s">
        <v>7</v>
      </c>
      <c r="C161" s="1771">
        <v>97886</v>
      </c>
      <c r="D161" s="1772" t="s">
        <v>2487</v>
      </c>
      <c r="E161" s="1773" t="s">
        <v>2432</v>
      </c>
      <c r="F161" s="1780">
        <v>5.2200000000000003E-2</v>
      </c>
      <c r="G161" s="1774">
        <v>173.06</v>
      </c>
      <c r="H161" s="1775">
        <f t="shared" si="19"/>
        <v>172.02</v>
      </c>
      <c r="I161" s="1776">
        <f t="shared" si="18"/>
        <v>8.9700000000000006</v>
      </c>
      <c r="J161" s="1768"/>
    </row>
    <row r="162" spans="1:10" ht="48">
      <c r="A162" s="1770" t="s">
        <v>2407</v>
      </c>
      <c r="B162" s="1771" t="s">
        <v>7</v>
      </c>
      <c r="C162" s="1771">
        <v>97906</v>
      </c>
      <c r="D162" s="1772" t="s">
        <v>2488</v>
      </c>
      <c r="E162" s="1773" t="s">
        <v>2432</v>
      </c>
      <c r="F162" s="1780">
        <v>3.4799999999999998E-2</v>
      </c>
      <c r="G162" s="1774">
        <v>441.77</v>
      </c>
      <c r="H162" s="1775">
        <f t="shared" si="19"/>
        <v>439.11</v>
      </c>
      <c r="I162" s="1776">
        <f t="shared" si="18"/>
        <v>15.28</v>
      </c>
      <c r="J162" s="1768"/>
    </row>
    <row r="163" spans="1:10" ht="48">
      <c r="A163" s="1770" t="s">
        <v>2407</v>
      </c>
      <c r="B163" s="1771" t="s">
        <v>7</v>
      </c>
      <c r="C163" s="1771">
        <v>98441</v>
      </c>
      <c r="D163" s="1772" t="s">
        <v>2489</v>
      </c>
      <c r="E163" s="1773" t="s">
        <v>1137</v>
      </c>
      <c r="F163" s="1780">
        <v>0.26119999999999999</v>
      </c>
      <c r="G163" s="1774">
        <v>159.15</v>
      </c>
      <c r="H163" s="1775">
        <f t="shared" si="19"/>
        <v>158.19</v>
      </c>
      <c r="I163" s="1776">
        <f t="shared" si="18"/>
        <v>41.31</v>
      </c>
      <c r="J163" s="1768"/>
    </row>
    <row r="164" spans="1:10" ht="36">
      <c r="A164" s="1770" t="s">
        <v>2407</v>
      </c>
      <c r="B164" s="1771" t="s">
        <v>7</v>
      </c>
      <c r="C164" s="1771">
        <v>98442</v>
      </c>
      <c r="D164" s="1772" t="s">
        <v>2490</v>
      </c>
      <c r="E164" s="1773" t="s">
        <v>1137</v>
      </c>
      <c r="F164" s="1780">
        <v>0.30070000000000002</v>
      </c>
      <c r="G164" s="1774">
        <v>162.19</v>
      </c>
      <c r="H164" s="1775">
        <f t="shared" si="19"/>
        <v>161.21</v>
      </c>
      <c r="I164" s="1776">
        <f t="shared" si="18"/>
        <v>48.47</v>
      </c>
      <c r="J164" s="1768"/>
    </row>
    <row r="165" spans="1:10" ht="48">
      <c r="A165" s="1770" t="s">
        <v>2407</v>
      </c>
      <c r="B165" s="1771" t="s">
        <v>7</v>
      </c>
      <c r="C165" s="1771">
        <v>98443</v>
      </c>
      <c r="D165" s="1772" t="s">
        <v>2491</v>
      </c>
      <c r="E165" s="1773" t="s">
        <v>1137</v>
      </c>
      <c r="F165" s="1780">
        <v>8.3000000000000004E-2</v>
      </c>
      <c r="G165" s="1774">
        <v>141.4</v>
      </c>
      <c r="H165" s="1775">
        <f t="shared" ref="H165:H176" si="20">IF(E165="H",G165,TRUNC(G165*(1-$K$7),2))</f>
        <v>140.55000000000001</v>
      </c>
      <c r="I165" s="1776">
        <f t="shared" si="18"/>
        <v>11.66</v>
      </c>
      <c r="J165" s="1768"/>
    </row>
    <row r="166" spans="1:10" ht="36">
      <c r="A166" s="1770" t="s">
        <v>2407</v>
      </c>
      <c r="B166" s="1771" t="s">
        <v>7</v>
      </c>
      <c r="C166" s="1771">
        <v>98444</v>
      </c>
      <c r="D166" s="1772" t="s">
        <v>2492</v>
      </c>
      <c r="E166" s="1773" t="s">
        <v>1137</v>
      </c>
      <c r="F166" s="1780">
        <v>9.5600000000000004E-2</v>
      </c>
      <c r="G166" s="1774">
        <v>143.59</v>
      </c>
      <c r="H166" s="1775">
        <f t="shared" si="20"/>
        <v>142.72</v>
      </c>
      <c r="I166" s="1776">
        <f t="shared" ref="I166:I170" si="21">TRUNC(H166*F166,2)</f>
        <v>13.64</v>
      </c>
      <c r="J166" s="1768"/>
    </row>
    <row r="167" spans="1:10" ht="48">
      <c r="A167" s="1770" t="s">
        <v>2407</v>
      </c>
      <c r="B167" s="1771" t="s">
        <v>7</v>
      </c>
      <c r="C167" s="1771">
        <v>98445</v>
      </c>
      <c r="D167" s="1772" t="s">
        <v>2493</v>
      </c>
      <c r="E167" s="1773" t="s">
        <v>1137</v>
      </c>
      <c r="F167" s="1780">
        <v>0.40810000000000002</v>
      </c>
      <c r="G167" s="1774">
        <v>188.28</v>
      </c>
      <c r="H167" s="1775">
        <f t="shared" si="20"/>
        <v>187.15</v>
      </c>
      <c r="I167" s="1776">
        <f t="shared" si="21"/>
        <v>76.37</v>
      </c>
      <c r="J167" s="1768"/>
    </row>
    <row r="168" spans="1:10" ht="36">
      <c r="A168" s="1770" t="s">
        <v>2407</v>
      </c>
      <c r="B168" s="1771" t="s">
        <v>7</v>
      </c>
      <c r="C168" s="1771">
        <v>98446</v>
      </c>
      <c r="D168" s="1772" t="s">
        <v>2494</v>
      </c>
      <c r="E168" s="1773" t="s">
        <v>1137</v>
      </c>
      <c r="F168" s="1780">
        <v>0.31819999999999998</v>
      </c>
      <c r="G168" s="1774">
        <v>236.73</v>
      </c>
      <c r="H168" s="1775">
        <f t="shared" si="20"/>
        <v>235.3</v>
      </c>
      <c r="I168" s="1776">
        <f t="shared" si="21"/>
        <v>74.87</v>
      </c>
      <c r="J168" s="1768"/>
    </row>
    <row r="169" spans="1:10" ht="48">
      <c r="A169" s="1770" t="s">
        <v>2407</v>
      </c>
      <c r="B169" s="1771" t="s">
        <v>7</v>
      </c>
      <c r="C169" s="1771">
        <v>98447</v>
      </c>
      <c r="D169" s="1772" t="s">
        <v>2495</v>
      </c>
      <c r="E169" s="1773" t="s">
        <v>1137</v>
      </c>
      <c r="F169" s="1780">
        <v>0.12970000000000001</v>
      </c>
      <c r="G169" s="1774">
        <v>163.54</v>
      </c>
      <c r="H169" s="1775">
        <f t="shared" si="20"/>
        <v>162.55000000000001</v>
      </c>
      <c r="I169" s="1776">
        <f t="shared" si="21"/>
        <v>21.08</v>
      </c>
      <c r="J169" s="1768"/>
    </row>
    <row r="170" spans="1:10" ht="36">
      <c r="A170" s="1770" t="s">
        <v>2407</v>
      </c>
      <c r="B170" s="1771" t="s">
        <v>7</v>
      </c>
      <c r="C170" s="1771">
        <v>98448</v>
      </c>
      <c r="D170" s="1772" t="s">
        <v>2496</v>
      </c>
      <c r="E170" s="1773" t="s">
        <v>1137</v>
      </c>
      <c r="F170" s="1780">
        <v>0.1011</v>
      </c>
      <c r="G170" s="1774">
        <v>201.14</v>
      </c>
      <c r="H170" s="1775">
        <f t="shared" si="20"/>
        <v>199.93</v>
      </c>
      <c r="I170" s="1776">
        <f t="shared" si="21"/>
        <v>20.21</v>
      </c>
      <c r="J170" s="1768"/>
    </row>
    <row r="171" spans="1:10" ht="36">
      <c r="A171" s="1770" t="s">
        <v>2407</v>
      </c>
      <c r="B171" s="1771" t="s">
        <v>7</v>
      </c>
      <c r="C171" s="1771">
        <v>98679</v>
      </c>
      <c r="D171" s="1772" t="s">
        <v>2497</v>
      </c>
      <c r="E171" s="1773" t="s">
        <v>1137</v>
      </c>
      <c r="F171" s="1780">
        <v>0.51339999999999997</v>
      </c>
      <c r="G171" s="1774">
        <v>38.99</v>
      </c>
      <c r="H171" s="1775">
        <f t="shared" si="20"/>
        <v>38.75</v>
      </c>
      <c r="I171" s="1776">
        <f t="shared" si="17"/>
        <v>19.89</v>
      </c>
      <c r="J171" s="1768"/>
    </row>
    <row r="172" spans="1:10" ht="24">
      <c r="A172" s="1770" t="s">
        <v>2407</v>
      </c>
      <c r="B172" s="1771" t="s">
        <v>7</v>
      </c>
      <c r="C172" s="1771">
        <v>100860</v>
      </c>
      <c r="D172" s="1772" t="s">
        <v>2498</v>
      </c>
      <c r="E172" s="1773" t="s">
        <v>2432</v>
      </c>
      <c r="F172" s="1780">
        <v>6.9599999999999995E-2</v>
      </c>
      <c r="G172" s="1774">
        <v>101</v>
      </c>
      <c r="H172" s="1775">
        <f t="shared" si="20"/>
        <v>100.39</v>
      </c>
      <c r="I172" s="1776">
        <f t="shared" si="17"/>
        <v>6.98</v>
      </c>
      <c r="J172" s="1768"/>
    </row>
    <row r="173" spans="1:10" ht="48">
      <c r="A173" s="1770" t="s">
        <v>2407</v>
      </c>
      <c r="B173" s="1771" t="s">
        <v>7</v>
      </c>
      <c r="C173" s="1771">
        <v>101165</v>
      </c>
      <c r="D173" s="1772" t="s">
        <v>2499</v>
      </c>
      <c r="E173" s="1773" t="s">
        <v>1132</v>
      </c>
      <c r="F173" s="1780">
        <v>2.86E-2</v>
      </c>
      <c r="G173" s="1774">
        <v>929.85</v>
      </c>
      <c r="H173" s="1775">
        <f t="shared" si="20"/>
        <v>924.27</v>
      </c>
      <c r="I173" s="1776">
        <f t="shared" si="17"/>
        <v>26.43</v>
      </c>
      <c r="J173" s="1768"/>
    </row>
    <row r="174" spans="1:10" ht="36">
      <c r="A174" s="1770" t="s">
        <v>2407</v>
      </c>
      <c r="B174" s="1771" t="s">
        <v>7</v>
      </c>
      <c r="C174" s="1771">
        <v>101876</v>
      </c>
      <c r="D174" s="1772" t="s">
        <v>2500</v>
      </c>
      <c r="E174" s="1773" t="s">
        <v>2432</v>
      </c>
      <c r="F174" s="1780">
        <v>1.7399999999999999E-2</v>
      </c>
      <c r="G174" s="1774">
        <v>79.739999999999995</v>
      </c>
      <c r="H174" s="1775">
        <f t="shared" si="20"/>
        <v>79.260000000000005</v>
      </c>
      <c r="I174" s="1776">
        <f t="shared" si="17"/>
        <v>1.37</v>
      </c>
      <c r="J174" s="1768"/>
    </row>
    <row r="175" spans="1:10" ht="36">
      <c r="A175" s="1770" t="s">
        <v>2407</v>
      </c>
      <c r="B175" s="1771" t="s">
        <v>7</v>
      </c>
      <c r="C175" s="1771">
        <v>101891</v>
      </c>
      <c r="D175" s="1772" t="s">
        <v>2501</v>
      </c>
      <c r="E175" s="1773" t="s">
        <v>2432</v>
      </c>
      <c r="F175" s="1780">
        <v>0.10440000000000001</v>
      </c>
      <c r="G175" s="1774">
        <v>29.68</v>
      </c>
      <c r="H175" s="1775">
        <f t="shared" si="20"/>
        <v>29.5</v>
      </c>
      <c r="I175" s="1776">
        <f t="shared" si="17"/>
        <v>3.07</v>
      </c>
      <c r="J175" s="1768"/>
    </row>
    <row r="176" spans="1:10" ht="48">
      <c r="A176" s="1770" t="s">
        <v>2407</v>
      </c>
      <c r="B176" s="1771" t="s">
        <v>7</v>
      </c>
      <c r="C176" s="1771">
        <v>103328</v>
      </c>
      <c r="D176" s="1772" t="s">
        <v>2502</v>
      </c>
      <c r="E176" s="1773" t="s">
        <v>1137</v>
      </c>
      <c r="F176" s="1780">
        <v>0.46750000000000003</v>
      </c>
      <c r="G176" s="1774">
        <v>92.79</v>
      </c>
      <c r="H176" s="1775">
        <f t="shared" si="20"/>
        <v>92.23</v>
      </c>
      <c r="I176" s="1776">
        <f t="shared" si="17"/>
        <v>43.11</v>
      </c>
      <c r="J176" s="1768"/>
    </row>
    <row r="177" spans="1:10">
      <c r="A177" s="1917" t="s">
        <v>2408</v>
      </c>
      <c r="B177" s="1918"/>
      <c r="C177" s="1918"/>
      <c r="D177" s="1918"/>
      <c r="E177" s="1918"/>
      <c r="F177" s="1918"/>
      <c r="G177" s="1918"/>
      <c r="H177" s="1919"/>
      <c r="I177" s="1778">
        <f>SUM(I101:I176)</f>
        <v>1064</v>
      </c>
      <c r="J177" s="1768"/>
    </row>
    <row r="178" spans="1:10">
      <c r="A178" s="1920"/>
      <c r="B178" s="1921"/>
      <c r="C178" s="1921"/>
      <c r="D178" s="1921"/>
      <c r="E178" s="1921"/>
      <c r="F178" s="1921"/>
      <c r="G178" s="1921"/>
      <c r="H178" s="1921"/>
      <c r="I178" s="1922"/>
      <c r="J178" s="1768"/>
    </row>
    <row r="179" spans="1:10" ht="23.25" customHeight="1">
      <c r="A179" s="1757">
        <f>'PLANILHA SEM DESON'!B28</f>
        <v>93208</v>
      </c>
      <c r="B179" s="1923" t="str">
        <f>VLOOKUP(A179,'PLANILHA SEM DESON'!$B$17:$D$1699,2,FALSE)</f>
        <v>EXECUÇÃO DE ALMOXARIFADO EM CANTEIRO DE OBRA EM CHAPA DE MADEIRA COMPENSADA, INCLUSO PRATELEIRAS. AF_02/2016</v>
      </c>
      <c r="C179" s="1924"/>
      <c r="D179" s="1924"/>
      <c r="E179" s="1924"/>
      <c r="F179" s="1924"/>
      <c r="G179" s="1924"/>
      <c r="H179" s="1925"/>
      <c r="I179" s="1758" t="str">
        <f>VLOOKUP(A179,'PLANILHA SEM DESON'!$B$17:$D$1699,3,FALSE)</f>
        <v>m²</v>
      </c>
      <c r="J179" s="1759">
        <f>I223</f>
        <v>956.89000000000021</v>
      </c>
    </row>
    <row r="180" spans="1:10" ht="24">
      <c r="A180" s="1761" t="s">
        <v>2401</v>
      </c>
      <c r="B180" s="1762" t="s">
        <v>2402</v>
      </c>
      <c r="C180" s="1763" t="s">
        <v>2399</v>
      </c>
      <c r="D180" s="1764" t="s">
        <v>284</v>
      </c>
      <c r="E180" s="1763" t="s">
        <v>193</v>
      </c>
      <c r="F180" s="1765" t="s">
        <v>2403</v>
      </c>
      <c r="G180" s="1763" t="s">
        <v>2404</v>
      </c>
      <c r="H180" s="1766" t="s">
        <v>2405</v>
      </c>
      <c r="I180" s="1767" t="s">
        <v>2406</v>
      </c>
      <c r="J180" s="1768"/>
    </row>
    <row r="181" spans="1:10" ht="24">
      <c r="A181" s="1770" t="s">
        <v>2407</v>
      </c>
      <c r="B181" s="1771" t="s">
        <v>2410</v>
      </c>
      <c r="C181" s="1771">
        <v>4513</v>
      </c>
      <c r="D181" s="1772" t="s">
        <v>2503</v>
      </c>
      <c r="E181" s="1773" t="s">
        <v>158</v>
      </c>
      <c r="F181" s="1780">
        <v>3.4843999999999999</v>
      </c>
      <c r="G181" s="1774">
        <v>8.2100000000000009</v>
      </c>
      <c r="H181" s="1775">
        <f t="shared" ref="H181:H222" si="22">IF(E181="H",G181,TRUNC(G181*(1-$K$7),2))</f>
        <v>8.16</v>
      </c>
      <c r="I181" s="1776">
        <f t="shared" ref="I181:I222" si="23">TRUNC(H181*F181,2)</f>
        <v>28.43</v>
      </c>
      <c r="J181" s="1768"/>
    </row>
    <row r="182" spans="1:10" ht="36">
      <c r="A182" s="1770" t="s">
        <v>2407</v>
      </c>
      <c r="B182" s="1771" t="s">
        <v>2410</v>
      </c>
      <c r="C182" s="1771">
        <v>6193</v>
      </c>
      <c r="D182" s="1772" t="s">
        <v>2504</v>
      </c>
      <c r="E182" s="1773" t="s">
        <v>158</v>
      </c>
      <c r="F182" s="1780">
        <v>3.9174000000000002</v>
      </c>
      <c r="G182" s="1774">
        <v>18.010000000000002</v>
      </c>
      <c r="H182" s="1775">
        <f t="shared" si="22"/>
        <v>17.899999999999999</v>
      </c>
      <c r="I182" s="1776">
        <f t="shared" ref="I182:I216" si="24">TRUNC(H182*F182,2)</f>
        <v>70.12</v>
      </c>
      <c r="J182" s="1768"/>
    </row>
    <row r="183" spans="1:10" ht="24">
      <c r="A183" s="1770" t="s">
        <v>2407</v>
      </c>
      <c r="B183" s="1771" t="s">
        <v>2410</v>
      </c>
      <c r="C183" s="1771">
        <v>10886</v>
      </c>
      <c r="D183" s="1772" t="s">
        <v>2505</v>
      </c>
      <c r="E183" s="1773" t="s">
        <v>2432</v>
      </c>
      <c r="F183" s="1780">
        <v>2.52E-2</v>
      </c>
      <c r="G183" s="1774">
        <v>181.12</v>
      </c>
      <c r="H183" s="1775">
        <f t="shared" si="22"/>
        <v>180.03</v>
      </c>
      <c r="I183" s="1776">
        <f t="shared" si="24"/>
        <v>4.53</v>
      </c>
      <c r="J183" s="1768"/>
    </row>
    <row r="184" spans="1:10" ht="24">
      <c r="A184" s="1770" t="s">
        <v>2407</v>
      </c>
      <c r="B184" s="1771" t="s">
        <v>2410</v>
      </c>
      <c r="C184" s="1771">
        <v>10891</v>
      </c>
      <c r="D184" s="1772" t="s">
        <v>2506</v>
      </c>
      <c r="E184" s="1773" t="s">
        <v>2432</v>
      </c>
      <c r="F184" s="1780">
        <v>2.52E-2</v>
      </c>
      <c r="G184" s="1774">
        <v>175.15</v>
      </c>
      <c r="H184" s="1775">
        <f t="shared" si="22"/>
        <v>174.09</v>
      </c>
      <c r="I184" s="1776">
        <f t="shared" si="24"/>
        <v>4.38</v>
      </c>
      <c r="J184" s="1768"/>
    </row>
    <row r="185" spans="1:10" ht="48">
      <c r="A185" s="1770" t="s">
        <v>2407</v>
      </c>
      <c r="B185" s="1771" t="s">
        <v>2410</v>
      </c>
      <c r="C185" s="1771">
        <v>11455</v>
      </c>
      <c r="D185" s="1772" t="s">
        <v>2507</v>
      </c>
      <c r="E185" s="1773" t="s">
        <v>2432</v>
      </c>
      <c r="F185" s="1780">
        <v>2.52E-2</v>
      </c>
      <c r="G185" s="1774">
        <v>18</v>
      </c>
      <c r="H185" s="1775">
        <f t="shared" si="22"/>
        <v>17.89</v>
      </c>
      <c r="I185" s="1776">
        <f t="shared" si="24"/>
        <v>0.45</v>
      </c>
      <c r="J185" s="1768"/>
    </row>
    <row r="186" spans="1:10" ht="36">
      <c r="A186" s="1770" t="s">
        <v>2407</v>
      </c>
      <c r="B186" s="1771" t="s">
        <v>2410</v>
      </c>
      <c r="C186" s="1771">
        <v>11587</v>
      </c>
      <c r="D186" s="1772" t="s">
        <v>2437</v>
      </c>
      <c r="E186" s="1773" t="s">
        <v>1137</v>
      </c>
      <c r="F186" s="1780">
        <v>1</v>
      </c>
      <c r="G186" s="1774">
        <v>96.6</v>
      </c>
      <c r="H186" s="1775">
        <f t="shared" si="22"/>
        <v>96.02</v>
      </c>
      <c r="I186" s="1776">
        <f t="shared" si="24"/>
        <v>96.02</v>
      </c>
      <c r="J186" s="1768"/>
    </row>
    <row r="187" spans="1:10" ht="24">
      <c r="A187" s="1770" t="s">
        <v>2407</v>
      </c>
      <c r="B187" s="1771" t="s">
        <v>7</v>
      </c>
      <c r="C187" s="1771">
        <v>88262</v>
      </c>
      <c r="D187" s="1772" t="s">
        <v>411</v>
      </c>
      <c r="E187" s="1773" t="s">
        <v>387</v>
      </c>
      <c r="F187" s="1780">
        <v>0.97940000000000005</v>
      </c>
      <c r="G187" s="1774">
        <v>24.32</v>
      </c>
      <c r="H187" s="1775">
        <f t="shared" si="22"/>
        <v>24.32</v>
      </c>
      <c r="I187" s="1776">
        <f t="shared" si="24"/>
        <v>23.81</v>
      </c>
      <c r="J187" s="1768"/>
    </row>
    <row r="188" spans="1:10" ht="24">
      <c r="A188" s="1770" t="s">
        <v>2407</v>
      </c>
      <c r="B188" s="1771" t="s">
        <v>7</v>
      </c>
      <c r="C188" s="1771">
        <v>88489</v>
      </c>
      <c r="D188" s="1772" t="s">
        <v>117</v>
      </c>
      <c r="E188" s="1773" t="s">
        <v>1137</v>
      </c>
      <c r="F188" s="1780">
        <v>3.7456999999999998</v>
      </c>
      <c r="G188" s="1774">
        <v>14.99</v>
      </c>
      <c r="H188" s="1775">
        <f t="shared" si="22"/>
        <v>14.9</v>
      </c>
      <c r="I188" s="1776">
        <f t="shared" si="24"/>
        <v>55.81</v>
      </c>
      <c r="J188" s="1768"/>
    </row>
    <row r="189" spans="1:10" ht="60">
      <c r="A189" s="1770" t="s">
        <v>2407</v>
      </c>
      <c r="B189" s="1771" t="s">
        <v>7</v>
      </c>
      <c r="C189" s="1771">
        <v>91170</v>
      </c>
      <c r="D189" s="1772" t="s">
        <v>2462</v>
      </c>
      <c r="E189" s="1773" t="s">
        <v>158</v>
      </c>
      <c r="F189" s="1780">
        <v>0.25180000000000002</v>
      </c>
      <c r="G189" s="1774">
        <v>3.36</v>
      </c>
      <c r="H189" s="1775">
        <f t="shared" si="22"/>
        <v>3.33</v>
      </c>
      <c r="I189" s="1776">
        <f t="shared" si="24"/>
        <v>0.83</v>
      </c>
      <c r="J189" s="1768"/>
    </row>
    <row r="190" spans="1:10" ht="48">
      <c r="A190" s="1770" t="s">
        <v>2407</v>
      </c>
      <c r="B190" s="1771" t="s">
        <v>7</v>
      </c>
      <c r="C190" s="1771">
        <v>91173</v>
      </c>
      <c r="D190" s="1772" t="s">
        <v>2463</v>
      </c>
      <c r="E190" s="1773" t="s">
        <v>158</v>
      </c>
      <c r="F190" s="1780">
        <v>0.2266</v>
      </c>
      <c r="G190" s="1774">
        <v>1.71</v>
      </c>
      <c r="H190" s="1775">
        <f t="shared" si="22"/>
        <v>1.69</v>
      </c>
      <c r="I190" s="1776">
        <f t="shared" si="24"/>
        <v>0.38</v>
      </c>
      <c r="J190" s="1768"/>
    </row>
    <row r="191" spans="1:10" ht="36">
      <c r="A191" s="1770" t="s">
        <v>2407</v>
      </c>
      <c r="B191" s="1771" t="s">
        <v>7</v>
      </c>
      <c r="C191" s="1771">
        <v>91341</v>
      </c>
      <c r="D191" s="1772" t="s">
        <v>1395</v>
      </c>
      <c r="E191" s="1773" t="s">
        <v>1137</v>
      </c>
      <c r="F191" s="1780">
        <v>6.3399999999999998E-2</v>
      </c>
      <c r="G191" s="1774">
        <v>636.34</v>
      </c>
      <c r="H191" s="1775">
        <f t="shared" si="22"/>
        <v>632.52</v>
      </c>
      <c r="I191" s="1776">
        <f t="shared" si="24"/>
        <v>40.1</v>
      </c>
      <c r="J191" s="1768"/>
    </row>
    <row r="192" spans="1:10" ht="36">
      <c r="A192" s="1770" t="s">
        <v>2407</v>
      </c>
      <c r="B192" s="1771" t="s">
        <v>7</v>
      </c>
      <c r="C192" s="1771">
        <v>91862</v>
      </c>
      <c r="D192" s="1772" t="s">
        <v>2465</v>
      </c>
      <c r="E192" s="1773" t="s">
        <v>158</v>
      </c>
      <c r="F192" s="1780">
        <v>0.25180000000000002</v>
      </c>
      <c r="G192" s="1774">
        <v>10.33</v>
      </c>
      <c r="H192" s="1775">
        <f t="shared" si="22"/>
        <v>10.26</v>
      </c>
      <c r="I192" s="1776">
        <f t="shared" si="24"/>
        <v>2.58</v>
      </c>
      <c r="J192" s="1768"/>
    </row>
    <row r="193" spans="1:10" ht="36">
      <c r="A193" s="1770" t="s">
        <v>2407</v>
      </c>
      <c r="B193" s="1771" t="s">
        <v>7</v>
      </c>
      <c r="C193" s="1771">
        <v>91870</v>
      </c>
      <c r="D193" s="1772" t="s">
        <v>2466</v>
      </c>
      <c r="E193" s="1773" t="s">
        <v>158</v>
      </c>
      <c r="F193" s="1780">
        <v>0.2266</v>
      </c>
      <c r="G193" s="1774">
        <v>11.02</v>
      </c>
      <c r="H193" s="1775">
        <f t="shared" si="22"/>
        <v>10.95</v>
      </c>
      <c r="I193" s="1776">
        <f t="shared" si="24"/>
        <v>2.48</v>
      </c>
      <c r="J193" s="1768"/>
    </row>
    <row r="194" spans="1:10" ht="48">
      <c r="A194" s="1770" t="s">
        <v>2407</v>
      </c>
      <c r="B194" s="1771" t="s">
        <v>7</v>
      </c>
      <c r="C194" s="1771">
        <v>91911</v>
      </c>
      <c r="D194" s="1772" t="s">
        <v>2471</v>
      </c>
      <c r="E194" s="1773" t="s">
        <v>2432</v>
      </c>
      <c r="F194" s="1780">
        <v>7.5499999999999998E-2</v>
      </c>
      <c r="G194" s="1774">
        <v>12.83</v>
      </c>
      <c r="H194" s="1775">
        <f t="shared" si="22"/>
        <v>12.75</v>
      </c>
      <c r="I194" s="1776">
        <f t="shared" si="24"/>
        <v>0.96</v>
      </c>
      <c r="J194" s="1768"/>
    </row>
    <row r="195" spans="1:10" ht="36">
      <c r="A195" s="1770" t="s">
        <v>2407</v>
      </c>
      <c r="B195" s="1771" t="s">
        <v>7</v>
      </c>
      <c r="C195" s="1771">
        <v>91924</v>
      </c>
      <c r="D195" s="1772" t="s">
        <v>2472</v>
      </c>
      <c r="E195" s="1773" t="s">
        <v>158</v>
      </c>
      <c r="F195" s="1780">
        <v>0.62190000000000001</v>
      </c>
      <c r="G195" s="1774">
        <v>2.74</v>
      </c>
      <c r="H195" s="1775">
        <f t="shared" si="22"/>
        <v>2.72</v>
      </c>
      <c r="I195" s="1776">
        <f t="shared" si="24"/>
        <v>1.69</v>
      </c>
      <c r="J195" s="1768"/>
    </row>
    <row r="196" spans="1:10" ht="36">
      <c r="A196" s="1770" t="s">
        <v>2407</v>
      </c>
      <c r="B196" s="1771" t="s">
        <v>7</v>
      </c>
      <c r="C196" s="1771">
        <v>91926</v>
      </c>
      <c r="D196" s="1772" t="s">
        <v>2146</v>
      </c>
      <c r="E196" s="1773" t="s">
        <v>158</v>
      </c>
      <c r="F196" s="1780">
        <v>0.67979999999999996</v>
      </c>
      <c r="G196" s="1774">
        <v>3.97</v>
      </c>
      <c r="H196" s="1775">
        <f t="shared" si="22"/>
        <v>3.94</v>
      </c>
      <c r="I196" s="1776">
        <f t="shared" si="24"/>
        <v>2.67</v>
      </c>
      <c r="J196" s="1768"/>
    </row>
    <row r="197" spans="1:10" ht="24">
      <c r="A197" s="1770" t="s">
        <v>2407</v>
      </c>
      <c r="B197" s="1771" t="s">
        <v>7</v>
      </c>
      <c r="C197" s="1771">
        <v>91937</v>
      </c>
      <c r="D197" s="1772" t="s">
        <v>2474</v>
      </c>
      <c r="E197" s="1773" t="s">
        <v>2432</v>
      </c>
      <c r="F197" s="1780">
        <v>0.12590000000000001</v>
      </c>
      <c r="G197" s="1774">
        <v>11.07</v>
      </c>
      <c r="H197" s="1775">
        <f t="shared" si="22"/>
        <v>11</v>
      </c>
      <c r="I197" s="1776">
        <f t="shared" si="24"/>
        <v>1.38</v>
      </c>
      <c r="J197" s="1768"/>
    </row>
    <row r="198" spans="1:10" ht="36">
      <c r="A198" s="1770" t="s">
        <v>2407</v>
      </c>
      <c r="B198" s="1771" t="s">
        <v>7</v>
      </c>
      <c r="C198" s="1771">
        <v>92000</v>
      </c>
      <c r="D198" s="1772" t="s">
        <v>2475</v>
      </c>
      <c r="E198" s="1773" t="s">
        <v>2432</v>
      </c>
      <c r="F198" s="1780">
        <v>5.04E-2</v>
      </c>
      <c r="G198" s="1774">
        <v>25.28</v>
      </c>
      <c r="H198" s="1775">
        <f t="shared" si="22"/>
        <v>25.12</v>
      </c>
      <c r="I198" s="1776">
        <f t="shared" si="24"/>
        <v>1.26</v>
      </c>
      <c r="J198" s="1768"/>
    </row>
    <row r="199" spans="1:10" ht="36">
      <c r="A199" s="1770" t="s">
        <v>2407</v>
      </c>
      <c r="B199" s="1771" t="s">
        <v>7</v>
      </c>
      <c r="C199" s="1771">
        <v>92025</v>
      </c>
      <c r="D199" s="1772" t="s">
        <v>2508</v>
      </c>
      <c r="E199" s="1773" t="s">
        <v>2432</v>
      </c>
      <c r="F199" s="1780">
        <v>2.52E-2</v>
      </c>
      <c r="G199" s="1774">
        <v>61.28</v>
      </c>
      <c r="H199" s="1775">
        <f t="shared" si="22"/>
        <v>60.91</v>
      </c>
      <c r="I199" s="1776">
        <f t="shared" si="24"/>
        <v>1.53</v>
      </c>
      <c r="J199" s="1768"/>
    </row>
    <row r="200" spans="1:10" ht="60">
      <c r="A200" s="1770" t="s">
        <v>2407</v>
      </c>
      <c r="B200" s="1771" t="s">
        <v>7</v>
      </c>
      <c r="C200" s="1771">
        <v>92543</v>
      </c>
      <c r="D200" s="1772" t="s">
        <v>2476</v>
      </c>
      <c r="E200" s="1773" t="s">
        <v>1137</v>
      </c>
      <c r="F200" s="1780">
        <v>1.4396</v>
      </c>
      <c r="G200" s="1774">
        <v>22.25</v>
      </c>
      <c r="H200" s="1775">
        <f t="shared" si="22"/>
        <v>22.11</v>
      </c>
      <c r="I200" s="1776">
        <f t="shared" si="24"/>
        <v>31.82</v>
      </c>
      <c r="J200" s="1768"/>
    </row>
    <row r="201" spans="1:10" ht="24">
      <c r="A201" s="1770" t="s">
        <v>2407</v>
      </c>
      <c r="B201" s="1771" t="s">
        <v>7</v>
      </c>
      <c r="C201" s="1771">
        <v>93358</v>
      </c>
      <c r="D201" s="1772" t="s">
        <v>2478</v>
      </c>
      <c r="E201" s="1773" t="s">
        <v>1132</v>
      </c>
      <c r="F201" s="1780">
        <v>2.6200000000000001E-2</v>
      </c>
      <c r="G201" s="1774">
        <v>76.94</v>
      </c>
      <c r="H201" s="1775">
        <f t="shared" si="22"/>
        <v>76.47</v>
      </c>
      <c r="I201" s="1776">
        <f t="shared" si="24"/>
        <v>2</v>
      </c>
      <c r="J201" s="1768"/>
    </row>
    <row r="202" spans="1:10" ht="60">
      <c r="A202" s="1770" t="s">
        <v>2407</v>
      </c>
      <c r="B202" s="1771" t="s">
        <v>7</v>
      </c>
      <c r="C202" s="1771">
        <v>94210</v>
      </c>
      <c r="D202" s="1772" t="s">
        <v>2479</v>
      </c>
      <c r="E202" s="1773" t="s">
        <v>1137</v>
      </c>
      <c r="F202" s="1780">
        <v>1.4396</v>
      </c>
      <c r="G202" s="1774">
        <v>55.58</v>
      </c>
      <c r="H202" s="1775">
        <f t="shared" si="22"/>
        <v>55.24</v>
      </c>
      <c r="I202" s="1776">
        <f t="shared" si="24"/>
        <v>79.52</v>
      </c>
      <c r="J202" s="1768"/>
    </row>
    <row r="203" spans="1:10" ht="60">
      <c r="A203" s="1770" t="s">
        <v>2407</v>
      </c>
      <c r="B203" s="1771" t="s">
        <v>7</v>
      </c>
      <c r="C203" s="1771">
        <v>94559</v>
      </c>
      <c r="D203" s="1772" t="s">
        <v>2480</v>
      </c>
      <c r="E203" s="1773" t="s">
        <v>1137</v>
      </c>
      <c r="F203" s="1780">
        <v>7.5499999999999998E-2</v>
      </c>
      <c r="G203" s="1774">
        <v>809.19</v>
      </c>
      <c r="H203" s="1775">
        <f t="shared" si="22"/>
        <v>804.33</v>
      </c>
      <c r="I203" s="1776">
        <f t="shared" si="24"/>
        <v>60.72</v>
      </c>
      <c r="J203" s="1768"/>
    </row>
    <row r="204" spans="1:10" ht="36">
      <c r="A204" s="1770" t="s">
        <v>2407</v>
      </c>
      <c r="B204" s="1771" t="s">
        <v>7</v>
      </c>
      <c r="C204" s="1771">
        <v>95240</v>
      </c>
      <c r="D204" s="1772" t="s">
        <v>2481</v>
      </c>
      <c r="E204" s="1773" t="s">
        <v>1137</v>
      </c>
      <c r="F204" s="1780">
        <v>6.0000000000000001E-3</v>
      </c>
      <c r="G204" s="1774">
        <v>19.690000000000001</v>
      </c>
      <c r="H204" s="1775">
        <f t="shared" si="22"/>
        <v>19.57</v>
      </c>
      <c r="I204" s="1776">
        <f t="shared" si="24"/>
        <v>0.11</v>
      </c>
      <c r="J204" s="1768"/>
    </row>
    <row r="205" spans="1:10" ht="36">
      <c r="A205" s="1770" t="s">
        <v>2407</v>
      </c>
      <c r="B205" s="1771" t="s">
        <v>7</v>
      </c>
      <c r="C205" s="1771">
        <v>95241</v>
      </c>
      <c r="D205" s="1772" t="s">
        <v>2482</v>
      </c>
      <c r="E205" s="1773" t="s">
        <v>1137</v>
      </c>
      <c r="F205" s="1780">
        <v>1.4396</v>
      </c>
      <c r="G205" s="1774">
        <v>32.82</v>
      </c>
      <c r="H205" s="1775">
        <f t="shared" si="22"/>
        <v>32.619999999999997</v>
      </c>
      <c r="I205" s="1776">
        <f t="shared" si="24"/>
        <v>46.95</v>
      </c>
      <c r="J205" s="1768"/>
    </row>
    <row r="206" spans="1:10" ht="36">
      <c r="A206" s="1770" t="s">
        <v>2407</v>
      </c>
      <c r="B206" s="1771" t="s">
        <v>7</v>
      </c>
      <c r="C206" s="1771">
        <v>95805</v>
      </c>
      <c r="D206" s="1772" t="s">
        <v>2483</v>
      </c>
      <c r="E206" s="1773" t="s">
        <v>2432</v>
      </c>
      <c r="F206" s="1780">
        <v>5.04E-2</v>
      </c>
      <c r="G206" s="1774">
        <v>21.95</v>
      </c>
      <c r="H206" s="1775">
        <f t="shared" si="22"/>
        <v>21.81</v>
      </c>
      <c r="I206" s="1776">
        <f t="shared" si="24"/>
        <v>1.0900000000000001</v>
      </c>
      <c r="J206" s="1768"/>
    </row>
    <row r="207" spans="1:10" ht="36">
      <c r="A207" s="1770" t="s">
        <v>2407</v>
      </c>
      <c r="B207" s="1771" t="s">
        <v>7</v>
      </c>
      <c r="C207" s="1771">
        <v>95811</v>
      </c>
      <c r="D207" s="1772" t="s">
        <v>2484</v>
      </c>
      <c r="E207" s="1773" t="s">
        <v>2432</v>
      </c>
      <c r="F207" s="1780">
        <v>2.52E-2</v>
      </c>
      <c r="G207" s="1774">
        <v>18.739999999999998</v>
      </c>
      <c r="H207" s="1775">
        <f t="shared" si="22"/>
        <v>18.62</v>
      </c>
      <c r="I207" s="1776">
        <f t="shared" si="24"/>
        <v>0.46</v>
      </c>
      <c r="J207" s="1768"/>
    </row>
    <row r="208" spans="1:10" ht="24">
      <c r="A208" s="1770" t="s">
        <v>2407</v>
      </c>
      <c r="B208" s="1771" t="s">
        <v>7</v>
      </c>
      <c r="C208" s="1771">
        <v>96995</v>
      </c>
      <c r="D208" s="1772" t="s">
        <v>390</v>
      </c>
      <c r="E208" s="1773" t="s">
        <v>1132</v>
      </c>
      <c r="F208" s="1780">
        <v>6.7000000000000002E-3</v>
      </c>
      <c r="G208" s="1774">
        <v>46.65</v>
      </c>
      <c r="H208" s="1775">
        <f t="shared" si="22"/>
        <v>46.37</v>
      </c>
      <c r="I208" s="1776">
        <f t="shared" si="24"/>
        <v>0.31</v>
      </c>
      <c r="J208" s="1768"/>
    </row>
    <row r="209" spans="1:10" ht="48">
      <c r="A209" s="1770" t="s">
        <v>2407</v>
      </c>
      <c r="B209" s="1771" t="s">
        <v>7</v>
      </c>
      <c r="C209" s="1771">
        <v>97586</v>
      </c>
      <c r="D209" s="1772" t="s">
        <v>2486</v>
      </c>
      <c r="E209" s="1773" t="s">
        <v>2432</v>
      </c>
      <c r="F209" s="1780">
        <v>0.1007</v>
      </c>
      <c r="G209" s="1774">
        <v>153.35</v>
      </c>
      <c r="H209" s="1775">
        <f t="shared" si="22"/>
        <v>152.41999999999999</v>
      </c>
      <c r="I209" s="1776">
        <f t="shared" si="24"/>
        <v>15.34</v>
      </c>
      <c r="J209" s="1768"/>
    </row>
    <row r="210" spans="1:10" ht="36">
      <c r="A210" s="1770" t="s">
        <v>2407</v>
      </c>
      <c r="B210" s="1771" t="s">
        <v>7</v>
      </c>
      <c r="C210" s="1771">
        <v>97593</v>
      </c>
      <c r="D210" s="1772" t="s">
        <v>2509</v>
      </c>
      <c r="E210" s="1773" t="s">
        <v>2432</v>
      </c>
      <c r="F210" s="1780">
        <v>2.52E-2</v>
      </c>
      <c r="G210" s="1774">
        <v>134.5</v>
      </c>
      <c r="H210" s="1775">
        <f t="shared" si="22"/>
        <v>133.69</v>
      </c>
      <c r="I210" s="1776">
        <f t="shared" si="24"/>
        <v>3.36</v>
      </c>
      <c r="J210" s="1768"/>
    </row>
    <row r="211" spans="1:10" ht="24">
      <c r="A211" s="1770" t="s">
        <v>2407</v>
      </c>
      <c r="B211" s="1771" t="s">
        <v>7</v>
      </c>
      <c r="C211" s="1771">
        <v>97611</v>
      </c>
      <c r="D211" s="1772" t="s">
        <v>2510</v>
      </c>
      <c r="E211" s="1773" t="s">
        <v>2432</v>
      </c>
      <c r="F211" s="1780">
        <v>2.52E-2</v>
      </c>
      <c r="G211" s="1774">
        <v>18.77</v>
      </c>
      <c r="H211" s="1775">
        <f t="shared" si="22"/>
        <v>18.649999999999999</v>
      </c>
      <c r="I211" s="1776">
        <f t="shared" si="24"/>
        <v>0.46</v>
      </c>
      <c r="J211" s="1768"/>
    </row>
    <row r="212" spans="1:10" ht="48">
      <c r="A212" s="1770" t="s">
        <v>2407</v>
      </c>
      <c r="B212" s="1771" t="s">
        <v>7</v>
      </c>
      <c r="C212" s="1771">
        <v>98441</v>
      </c>
      <c r="D212" s="1772" t="s">
        <v>2489</v>
      </c>
      <c r="E212" s="1773" t="s">
        <v>1137</v>
      </c>
      <c r="F212" s="1780">
        <v>0.35170000000000001</v>
      </c>
      <c r="G212" s="1774">
        <v>159.15</v>
      </c>
      <c r="H212" s="1775">
        <f t="shared" si="22"/>
        <v>158.19</v>
      </c>
      <c r="I212" s="1776">
        <f t="shared" si="24"/>
        <v>55.63</v>
      </c>
      <c r="J212" s="1768"/>
    </row>
    <row r="213" spans="1:10" ht="36">
      <c r="A213" s="1770" t="s">
        <v>2407</v>
      </c>
      <c r="B213" s="1771" t="s">
        <v>7</v>
      </c>
      <c r="C213" s="1771">
        <v>98442</v>
      </c>
      <c r="D213" s="1772" t="s">
        <v>2490</v>
      </c>
      <c r="E213" s="1773" t="s">
        <v>1137</v>
      </c>
      <c r="F213" s="1780">
        <v>0.40479999999999999</v>
      </c>
      <c r="G213" s="1774">
        <v>162.19</v>
      </c>
      <c r="H213" s="1775">
        <f t="shared" si="22"/>
        <v>161.21</v>
      </c>
      <c r="I213" s="1776">
        <f t="shared" si="24"/>
        <v>65.25</v>
      </c>
      <c r="J213" s="1768"/>
    </row>
    <row r="214" spans="1:10" ht="48">
      <c r="A214" s="1770" t="s">
        <v>2407</v>
      </c>
      <c r="B214" s="1771" t="s">
        <v>7</v>
      </c>
      <c r="C214" s="1771">
        <v>98443</v>
      </c>
      <c r="D214" s="1772" t="s">
        <v>2491</v>
      </c>
      <c r="E214" s="1773" t="s">
        <v>1137</v>
      </c>
      <c r="F214" s="1780">
        <v>2.81E-2</v>
      </c>
      <c r="G214" s="1774">
        <v>141.4</v>
      </c>
      <c r="H214" s="1775">
        <f t="shared" si="22"/>
        <v>140.55000000000001</v>
      </c>
      <c r="I214" s="1776">
        <f t="shared" si="24"/>
        <v>3.94</v>
      </c>
      <c r="J214" s="1768"/>
    </row>
    <row r="215" spans="1:10" ht="36">
      <c r="A215" s="1770" t="s">
        <v>2407</v>
      </c>
      <c r="B215" s="1771" t="s">
        <v>7</v>
      </c>
      <c r="C215" s="1771">
        <v>98444</v>
      </c>
      <c r="D215" s="1772" t="s">
        <v>2492</v>
      </c>
      <c r="E215" s="1773" t="s">
        <v>1137</v>
      </c>
      <c r="F215" s="1780">
        <v>3.2300000000000002E-2</v>
      </c>
      <c r="G215" s="1774">
        <v>143.59</v>
      </c>
      <c r="H215" s="1775">
        <f t="shared" si="22"/>
        <v>142.72</v>
      </c>
      <c r="I215" s="1776">
        <f t="shared" si="24"/>
        <v>4.5999999999999996</v>
      </c>
      <c r="J215" s="1768"/>
    </row>
    <row r="216" spans="1:10" ht="48">
      <c r="A216" s="1770" t="s">
        <v>2407</v>
      </c>
      <c r="B216" s="1771" t="s">
        <v>7</v>
      </c>
      <c r="C216" s="1771">
        <v>98445</v>
      </c>
      <c r="D216" s="1772" t="s">
        <v>2493</v>
      </c>
      <c r="E216" s="1773" t="s">
        <v>1137</v>
      </c>
      <c r="F216" s="1780">
        <v>0.54949999999999999</v>
      </c>
      <c r="G216" s="1774">
        <v>188.28</v>
      </c>
      <c r="H216" s="1775">
        <f t="shared" si="22"/>
        <v>187.15</v>
      </c>
      <c r="I216" s="1776">
        <f t="shared" si="24"/>
        <v>102.83</v>
      </c>
      <c r="J216" s="1768"/>
    </row>
    <row r="217" spans="1:10" ht="36">
      <c r="A217" s="1770" t="s">
        <v>2407</v>
      </c>
      <c r="B217" s="1771" t="s">
        <v>7</v>
      </c>
      <c r="C217" s="1771">
        <v>98446</v>
      </c>
      <c r="D217" s="1772" t="s">
        <v>2494</v>
      </c>
      <c r="E217" s="1773" t="s">
        <v>1137</v>
      </c>
      <c r="F217" s="1780">
        <v>0.4284</v>
      </c>
      <c r="G217" s="1774">
        <v>236.73</v>
      </c>
      <c r="H217" s="1775">
        <f t="shared" si="22"/>
        <v>235.3</v>
      </c>
      <c r="I217" s="1776">
        <f t="shared" si="23"/>
        <v>100.8</v>
      </c>
      <c r="J217" s="1768"/>
    </row>
    <row r="218" spans="1:10" ht="48">
      <c r="A218" s="1770" t="s">
        <v>2407</v>
      </c>
      <c r="B218" s="1771" t="s">
        <v>7</v>
      </c>
      <c r="C218" s="1771">
        <v>98447</v>
      </c>
      <c r="D218" s="1772" t="s">
        <v>2495</v>
      </c>
      <c r="E218" s="1773" t="s">
        <v>1137</v>
      </c>
      <c r="F218" s="1780">
        <v>4.3900000000000002E-2</v>
      </c>
      <c r="G218" s="1774">
        <v>163.54</v>
      </c>
      <c r="H218" s="1775">
        <f t="shared" si="22"/>
        <v>162.55000000000001</v>
      </c>
      <c r="I218" s="1776">
        <f t="shared" si="23"/>
        <v>7.13</v>
      </c>
      <c r="J218" s="1768"/>
    </row>
    <row r="219" spans="1:10" ht="36">
      <c r="A219" s="1770" t="s">
        <v>2407</v>
      </c>
      <c r="B219" s="1771" t="s">
        <v>7</v>
      </c>
      <c r="C219" s="1771">
        <v>98448</v>
      </c>
      <c r="D219" s="1772" t="s">
        <v>2496</v>
      </c>
      <c r="E219" s="1773" t="s">
        <v>1137</v>
      </c>
      <c r="F219" s="1780">
        <v>3.4200000000000001E-2</v>
      </c>
      <c r="G219" s="1774">
        <v>201.14</v>
      </c>
      <c r="H219" s="1775">
        <f t="shared" si="22"/>
        <v>199.93</v>
      </c>
      <c r="I219" s="1776">
        <f t="shared" si="23"/>
        <v>6.83</v>
      </c>
      <c r="J219" s="1768"/>
    </row>
    <row r="220" spans="1:10" ht="48">
      <c r="A220" s="1770" t="s">
        <v>2407</v>
      </c>
      <c r="B220" s="1771" t="s">
        <v>7</v>
      </c>
      <c r="C220" s="1771">
        <v>101165</v>
      </c>
      <c r="D220" s="1772" t="s">
        <v>2499</v>
      </c>
      <c r="E220" s="1773" t="s">
        <v>1132</v>
      </c>
      <c r="F220" s="1780">
        <v>2.69E-2</v>
      </c>
      <c r="G220" s="1774">
        <v>929.85</v>
      </c>
      <c r="H220" s="1775">
        <f t="shared" si="22"/>
        <v>924.27</v>
      </c>
      <c r="I220" s="1776">
        <f t="shared" si="23"/>
        <v>24.86</v>
      </c>
      <c r="J220" s="1768"/>
    </row>
    <row r="221" spans="1:10" ht="36">
      <c r="A221" s="1770" t="s">
        <v>2407</v>
      </c>
      <c r="B221" s="1771" t="s">
        <v>7</v>
      </c>
      <c r="C221" s="1771">
        <v>101876</v>
      </c>
      <c r="D221" s="1772" t="s">
        <v>2500</v>
      </c>
      <c r="E221" s="1773" t="s">
        <v>2432</v>
      </c>
      <c r="F221" s="1780">
        <v>2.52E-2</v>
      </c>
      <c r="G221" s="1774">
        <v>79.739999999999995</v>
      </c>
      <c r="H221" s="1775">
        <f t="shared" si="22"/>
        <v>79.260000000000005</v>
      </c>
      <c r="I221" s="1776">
        <f t="shared" si="23"/>
        <v>1.99</v>
      </c>
      <c r="J221" s="1768"/>
    </row>
    <row r="222" spans="1:10" ht="36">
      <c r="A222" s="1770" t="s">
        <v>2407</v>
      </c>
      <c r="B222" s="1771" t="s">
        <v>7</v>
      </c>
      <c r="C222" s="1771">
        <v>101891</v>
      </c>
      <c r="D222" s="1772" t="s">
        <v>2501</v>
      </c>
      <c r="E222" s="1773" t="s">
        <v>2432</v>
      </c>
      <c r="F222" s="1780">
        <v>5.04E-2</v>
      </c>
      <c r="G222" s="1774">
        <v>29.68</v>
      </c>
      <c r="H222" s="1775">
        <f t="shared" si="22"/>
        <v>29.5</v>
      </c>
      <c r="I222" s="1776">
        <f t="shared" si="23"/>
        <v>1.48</v>
      </c>
      <c r="J222" s="1768"/>
    </row>
    <row r="223" spans="1:10">
      <c r="A223" s="1917" t="s">
        <v>2408</v>
      </c>
      <c r="B223" s="1918"/>
      <c r="C223" s="1918"/>
      <c r="D223" s="1918"/>
      <c r="E223" s="1918"/>
      <c r="F223" s="1918"/>
      <c r="G223" s="1918"/>
      <c r="H223" s="1919"/>
      <c r="I223" s="1778">
        <f>SUM(I181:I222)</f>
        <v>956.89000000000021</v>
      </c>
      <c r="J223" s="1768"/>
    </row>
    <row r="224" spans="1:10">
      <c r="A224" s="1920"/>
      <c r="B224" s="1921"/>
      <c r="C224" s="1921"/>
      <c r="D224" s="1921"/>
      <c r="E224" s="1921"/>
      <c r="F224" s="1921"/>
      <c r="G224" s="1921"/>
      <c r="H224" s="1921"/>
      <c r="I224" s="1922"/>
      <c r="J224" s="1768"/>
    </row>
    <row r="225" spans="1:10" ht="26.25" customHeight="1">
      <c r="A225" s="1757">
        <f>'PLANILHA SEM DESON'!B29</f>
        <v>93210</v>
      </c>
      <c r="B225" s="1923" t="str">
        <f>VLOOKUP(A225,'PLANILHA SEM DESON'!$B$17:$D$1699,2,FALSE)</f>
        <v>EXECUÇÃO DE REFEITÓRIO EM CANTEIRO DE OBRA EM CHAPA DE MADEIRA COMPENSADA, NÃO INCLUSO MOBILIÁRIO E EQUIPAMENTOS. AF_02/2016</v>
      </c>
      <c r="C225" s="1924"/>
      <c r="D225" s="1924"/>
      <c r="E225" s="1924"/>
      <c r="F225" s="1924"/>
      <c r="G225" s="1924"/>
      <c r="H225" s="1925"/>
      <c r="I225" s="1758" t="str">
        <f>VLOOKUP(A225,'PLANILHA SEM DESON'!$B$17:$D$1699,3,FALSE)</f>
        <v>m²</v>
      </c>
      <c r="J225" s="1759">
        <f>I270</f>
        <v>625.16</v>
      </c>
    </row>
    <row r="226" spans="1:10" ht="24">
      <c r="A226" s="1761" t="s">
        <v>2401</v>
      </c>
      <c r="B226" s="1762" t="s">
        <v>2402</v>
      </c>
      <c r="C226" s="1763" t="s">
        <v>2399</v>
      </c>
      <c r="D226" s="1764" t="s">
        <v>284</v>
      </c>
      <c r="E226" s="1763" t="s">
        <v>193</v>
      </c>
      <c r="F226" s="1765" t="s">
        <v>2403</v>
      </c>
      <c r="G226" s="1763" t="s">
        <v>2404</v>
      </c>
      <c r="H226" s="1766" t="s">
        <v>2405</v>
      </c>
      <c r="I226" s="1767" t="s">
        <v>2406</v>
      </c>
      <c r="J226" s="1768"/>
    </row>
    <row r="227" spans="1:10" ht="60">
      <c r="A227" s="1770" t="s">
        <v>2407</v>
      </c>
      <c r="B227" s="1771" t="s">
        <v>2410</v>
      </c>
      <c r="C227" s="1771">
        <v>3080</v>
      </c>
      <c r="D227" s="1772" t="s">
        <v>2433</v>
      </c>
      <c r="E227" s="1773" t="s">
        <v>2434</v>
      </c>
      <c r="F227" s="1780">
        <v>2.6800000000000001E-2</v>
      </c>
      <c r="G227" s="1774">
        <v>79.900000000000006</v>
      </c>
      <c r="H227" s="1775">
        <f t="shared" ref="H227:H269" si="25">IF(E227="H",G227,TRUNC(G227*(1-$K$7),2))</f>
        <v>79.42</v>
      </c>
      <c r="I227" s="1776">
        <f t="shared" ref="I227:I269" si="26">TRUNC(H227*F227,2)</f>
        <v>2.12</v>
      </c>
      <c r="J227" s="1768"/>
    </row>
    <row r="228" spans="1:10" ht="24">
      <c r="A228" s="1770" t="s">
        <v>2407</v>
      </c>
      <c r="B228" s="1771" t="s">
        <v>2410</v>
      </c>
      <c r="C228" s="1771">
        <v>10886</v>
      </c>
      <c r="D228" s="1772" t="s">
        <v>2505</v>
      </c>
      <c r="E228" s="1773" t="s">
        <v>2432</v>
      </c>
      <c r="F228" s="1780">
        <v>2.6800000000000001E-2</v>
      </c>
      <c r="G228" s="1774">
        <v>181.12</v>
      </c>
      <c r="H228" s="1775">
        <f t="shared" si="25"/>
        <v>180.03</v>
      </c>
      <c r="I228" s="1776">
        <f t="shared" ref="I228:I263" si="27">TRUNC(H228*F228,2)</f>
        <v>4.82</v>
      </c>
      <c r="J228" s="1768"/>
    </row>
    <row r="229" spans="1:10" ht="24">
      <c r="A229" s="1770" t="s">
        <v>2407</v>
      </c>
      <c r="B229" s="1771" t="s">
        <v>2410</v>
      </c>
      <c r="C229" s="1771">
        <v>10891</v>
      </c>
      <c r="D229" s="1772" t="s">
        <v>2506</v>
      </c>
      <c r="E229" s="1773" t="s">
        <v>2432</v>
      </c>
      <c r="F229" s="1780">
        <v>2.6800000000000001E-2</v>
      </c>
      <c r="G229" s="1774">
        <v>175.15</v>
      </c>
      <c r="H229" s="1775">
        <f t="shared" si="25"/>
        <v>174.09</v>
      </c>
      <c r="I229" s="1776">
        <f t="shared" si="27"/>
        <v>4.66</v>
      </c>
      <c r="J229" s="1768"/>
    </row>
    <row r="230" spans="1:10" ht="36">
      <c r="A230" s="1770" t="s">
        <v>2407</v>
      </c>
      <c r="B230" s="1771" t="s">
        <v>2410</v>
      </c>
      <c r="C230" s="1771">
        <v>11587</v>
      </c>
      <c r="D230" s="1772" t="s">
        <v>2437</v>
      </c>
      <c r="E230" s="1773" t="s">
        <v>1137</v>
      </c>
      <c r="F230" s="1780">
        <v>1</v>
      </c>
      <c r="G230" s="1774">
        <v>96.6</v>
      </c>
      <c r="H230" s="1775">
        <f t="shared" si="25"/>
        <v>96.02</v>
      </c>
      <c r="I230" s="1776">
        <f t="shared" si="27"/>
        <v>96.02</v>
      </c>
      <c r="J230" s="1768"/>
    </row>
    <row r="231" spans="1:10" ht="36">
      <c r="A231" s="1770" t="s">
        <v>2407</v>
      </c>
      <c r="B231" s="1771" t="s">
        <v>2410</v>
      </c>
      <c r="C231" s="1771">
        <v>37525</v>
      </c>
      <c r="D231" s="1772" t="s">
        <v>2511</v>
      </c>
      <c r="E231" s="1773" t="s">
        <v>158</v>
      </c>
      <c r="F231" s="1780">
        <v>1.2782</v>
      </c>
      <c r="G231" s="1774">
        <v>3.95</v>
      </c>
      <c r="H231" s="1775">
        <f t="shared" si="25"/>
        <v>3.92</v>
      </c>
      <c r="I231" s="1776">
        <f t="shared" si="27"/>
        <v>5.01</v>
      </c>
      <c r="J231" s="1768"/>
    </row>
    <row r="232" spans="1:10" ht="72">
      <c r="A232" s="1770" t="s">
        <v>2407</v>
      </c>
      <c r="B232" s="1771" t="s">
        <v>7</v>
      </c>
      <c r="C232" s="1771">
        <v>86934</v>
      </c>
      <c r="D232" s="1772" t="s">
        <v>2512</v>
      </c>
      <c r="E232" s="1773" t="s">
        <v>2432</v>
      </c>
      <c r="F232" s="1780">
        <v>2.6800000000000001E-2</v>
      </c>
      <c r="G232" s="1774">
        <v>450.05</v>
      </c>
      <c r="H232" s="1775">
        <f t="shared" si="25"/>
        <v>447.34</v>
      </c>
      <c r="I232" s="1776">
        <f t="shared" si="27"/>
        <v>11.98</v>
      </c>
      <c r="J232" s="1768"/>
    </row>
    <row r="233" spans="1:10" ht="60">
      <c r="A233" s="1770" t="s">
        <v>2407</v>
      </c>
      <c r="B233" s="1771" t="s">
        <v>7</v>
      </c>
      <c r="C233" s="1771">
        <v>86943</v>
      </c>
      <c r="D233" s="1772" t="s">
        <v>1771</v>
      </c>
      <c r="E233" s="1773" t="s">
        <v>2432</v>
      </c>
      <c r="F233" s="1780">
        <v>2.6800000000000001E-2</v>
      </c>
      <c r="G233" s="1774">
        <v>262.18</v>
      </c>
      <c r="H233" s="1775">
        <f t="shared" si="25"/>
        <v>260.60000000000002</v>
      </c>
      <c r="I233" s="1776">
        <f t="shared" si="27"/>
        <v>6.98</v>
      </c>
      <c r="J233" s="1768"/>
    </row>
    <row r="234" spans="1:10" ht="24">
      <c r="A234" s="1770" t="s">
        <v>2407</v>
      </c>
      <c r="B234" s="1771" t="s">
        <v>7</v>
      </c>
      <c r="C234" s="1771">
        <v>88262</v>
      </c>
      <c r="D234" s="1772" t="s">
        <v>411</v>
      </c>
      <c r="E234" s="1773" t="s">
        <v>387</v>
      </c>
      <c r="F234" s="1780">
        <v>1.1154999999999999</v>
      </c>
      <c r="G234" s="1774">
        <v>24.32</v>
      </c>
      <c r="H234" s="1775">
        <f t="shared" si="25"/>
        <v>24.32</v>
      </c>
      <c r="I234" s="1776">
        <f t="shared" si="27"/>
        <v>27.12</v>
      </c>
      <c r="J234" s="1768"/>
    </row>
    <row r="235" spans="1:10" ht="24">
      <c r="A235" s="1770" t="s">
        <v>2407</v>
      </c>
      <c r="B235" s="1771" t="s">
        <v>7</v>
      </c>
      <c r="C235" s="1771">
        <v>88489</v>
      </c>
      <c r="D235" s="1772" t="s">
        <v>117</v>
      </c>
      <c r="E235" s="1773" t="s">
        <v>1137</v>
      </c>
      <c r="F235" s="1780">
        <v>1.4293</v>
      </c>
      <c r="G235" s="1774">
        <v>14.99</v>
      </c>
      <c r="H235" s="1775">
        <f t="shared" si="25"/>
        <v>14.9</v>
      </c>
      <c r="I235" s="1776">
        <f t="shared" si="27"/>
        <v>21.29</v>
      </c>
      <c r="J235" s="1768"/>
    </row>
    <row r="236" spans="1:10" ht="36">
      <c r="A236" s="1770" t="s">
        <v>2407</v>
      </c>
      <c r="B236" s="1771" t="s">
        <v>7</v>
      </c>
      <c r="C236" s="1771">
        <v>89711</v>
      </c>
      <c r="D236" s="1772" t="s">
        <v>2450</v>
      </c>
      <c r="E236" s="1773" t="s">
        <v>158</v>
      </c>
      <c r="F236" s="1780">
        <v>8.8599999999999998E-2</v>
      </c>
      <c r="G236" s="1774">
        <v>21.07</v>
      </c>
      <c r="H236" s="1775">
        <f t="shared" si="25"/>
        <v>20.94</v>
      </c>
      <c r="I236" s="1776">
        <f t="shared" si="27"/>
        <v>1.85</v>
      </c>
      <c r="J236" s="1768"/>
    </row>
    <row r="237" spans="1:10" ht="36">
      <c r="A237" s="1770" t="s">
        <v>2407</v>
      </c>
      <c r="B237" s="1771" t="s">
        <v>7</v>
      </c>
      <c r="C237" s="1771">
        <v>89714</v>
      </c>
      <c r="D237" s="1772" t="s">
        <v>2452</v>
      </c>
      <c r="E237" s="1773" t="s">
        <v>158</v>
      </c>
      <c r="F237" s="1780">
        <v>0.14230000000000001</v>
      </c>
      <c r="G237" s="1774">
        <v>41.92</v>
      </c>
      <c r="H237" s="1775">
        <f t="shared" si="25"/>
        <v>41.66</v>
      </c>
      <c r="I237" s="1776">
        <f t="shared" si="27"/>
        <v>5.92</v>
      </c>
      <c r="J237" s="1768"/>
    </row>
    <row r="238" spans="1:10" ht="48">
      <c r="A238" s="1770" t="s">
        <v>2407</v>
      </c>
      <c r="B238" s="1771" t="s">
        <v>7</v>
      </c>
      <c r="C238" s="1771">
        <v>89724</v>
      </c>
      <c r="D238" s="1772" t="s">
        <v>2453</v>
      </c>
      <c r="E238" s="1773" t="s">
        <v>2432</v>
      </c>
      <c r="F238" s="1780">
        <v>5.3699999999999998E-2</v>
      </c>
      <c r="G238" s="1774">
        <v>12.96</v>
      </c>
      <c r="H238" s="1775">
        <f t="shared" si="25"/>
        <v>12.88</v>
      </c>
      <c r="I238" s="1776">
        <f t="shared" si="27"/>
        <v>0.69</v>
      </c>
      <c r="J238" s="1768"/>
    </row>
    <row r="239" spans="1:10" ht="48">
      <c r="A239" s="1770" t="s">
        <v>2407</v>
      </c>
      <c r="B239" s="1771" t="s">
        <v>7</v>
      </c>
      <c r="C239" s="1771">
        <v>89957</v>
      </c>
      <c r="D239" s="1772" t="s">
        <v>2457</v>
      </c>
      <c r="E239" s="1773" t="s">
        <v>2432</v>
      </c>
      <c r="F239" s="1780">
        <v>5.3699999999999998E-2</v>
      </c>
      <c r="G239" s="1774">
        <v>145.26</v>
      </c>
      <c r="H239" s="1775">
        <f t="shared" si="25"/>
        <v>144.38</v>
      </c>
      <c r="I239" s="1776">
        <f t="shared" si="27"/>
        <v>7.75</v>
      </c>
      <c r="J239" s="1768"/>
    </row>
    <row r="240" spans="1:10" ht="48">
      <c r="A240" s="1770" t="s">
        <v>2407</v>
      </c>
      <c r="B240" s="1771" t="s">
        <v>7</v>
      </c>
      <c r="C240" s="1771">
        <v>90822</v>
      </c>
      <c r="D240" s="1772" t="s">
        <v>2461</v>
      </c>
      <c r="E240" s="1773" t="s">
        <v>2432</v>
      </c>
      <c r="F240" s="1780">
        <v>2.6800000000000001E-2</v>
      </c>
      <c r="G240" s="1774">
        <v>396.29</v>
      </c>
      <c r="H240" s="1775">
        <f t="shared" si="25"/>
        <v>393.91</v>
      </c>
      <c r="I240" s="1776">
        <f t="shared" si="27"/>
        <v>10.55</v>
      </c>
      <c r="J240" s="1768"/>
    </row>
    <row r="241" spans="1:10" ht="60">
      <c r="A241" s="1770" t="s">
        <v>2407</v>
      </c>
      <c r="B241" s="1771" t="s">
        <v>7</v>
      </c>
      <c r="C241" s="1771">
        <v>91170</v>
      </c>
      <c r="D241" s="1772" t="s">
        <v>2462</v>
      </c>
      <c r="E241" s="1773" t="s">
        <v>158</v>
      </c>
      <c r="F241" s="1780">
        <v>0.3221</v>
      </c>
      <c r="G241" s="1774">
        <v>3.36</v>
      </c>
      <c r="H241" s="1775">
        <f t="shared" si="25"/>
        <v>3.33</v>
      </c>
      <c r="I241" s="1776">
        <f t="shared" si="27"/>
        <v>1.07</v>
      </c>
      <c r="J241" s="1768"/>
    </row>
    <row r="242" spans="1:10" ht="48">
      <c r="A242" s="1770" t="s">
        <v>2407</v>
      </c>
      <c r="B242" s="1771" t="s">
        <v>7</v>
      </c>
      <c r="C242" s="1771">
        <v>91173</v>
      </c>
      <c r="D242" s="1772" t="s">
        <v>2463</v>
      </c>
      <c r="E242" s="1773" t="s">
        <v>158</v>
      </c>
      <c r="F242" s="1780">
        <v>0.53690000000000004</v>
      </c>
      <c r="G242" s="1774">
        <v>1.71</v>
      </c>
      <c r="H242" s="1775">
        <f t="shared" si="25"/>
        <v>1.69</v>
      </c>
      <c r="I242" s="1776">
        <f t="shared" si="27"/>
        <v>0.9</v>
      </c>
      <c r="J242" s="1768"/>
    </row>
    <row r="243" spans="1:10" ht="36">
      <c r="A243" s="1770" t="s">
        <v>2407</v>
      </c>
      <c r="B243" s="1771" t="s">
        <v>7</v>
      </c>
      <c r="C243" s="1771">
        <v>91862</v>
      </c>
      <c r="D243" s="1772" t="s">
        <v>2465</v>
      </c>
      <c r="E243" s="1773" t="s">
        <v>158</v>
      </c>
      <c r="F243" s="1780">
        <v>0.3221</v>
      </c>
      <c r="G243" s="1774">
        <v>10.33</v>
      </c>
      <c r="H243" s="1775">
        <f t="shared" si="25"/>
        <v>10.26</v>
      </c>
      <c r="I243" s="1776">
        <f t="shared" si="27"/>
        <v>3.3</v>
      </c>
      <c r="J243" s="1768"/>
    </row>
    <row r="244" spans="1:10" ht="36">
      <c r="A244" s="1770" t="s">
        <v>2407</v>
      </c>
      <c r="B244" s="1771" t="s">
        <v>7</v>
      </c>
      <c r="C244" s="1771">
        <v>91870</v>
      </c>
      <c r="D244" s="1772" t="s">
        <v>2466</v>
      </c>
      <c r="E244" s="1773" t="s">
        <v>158</v>
      </c>
      <c r="F244" s="1780">
        <v>0.53690000000000004</v>
      </c>
      <c r="G244" s="1774">
        <v>11.02</v>
      </c>
      <c r="H244" s="1775">
        <f t="shared" si="25"/>
        <v>10.95</v>
      </c>
      <c r="I244" s="1776">
        <f t="shared" si="27"/>
        <v>5.87</v>
      </c>
      <c r="J244" s="1768"/>
    </row>
    <row r="245" spans="1:10" ht="48">
      <c r="A245" s="1770" t="s">
        <v>2407</v>
      </c>
      <c r="B245" s="1771" t="s">
        <v>7</v>
      </c>
      <c r="C245" s="1771">
        <v>91911</v>
      </c>
      <c r="D245" s="1772" t="s">
        <v>2471</v>
      </c>
      <c r="E245" s="1773" t="s">
        <v>2432</v>
      </c>
      <c r="F245" s="1780">
        <v>0.1074</v>
      </c>
      <c r="G245" s="1774">
        <v>12.83</v>
      </c>
      <c r="H245" s="1775">
        <f t="shared" si="25"/>
        <v>12.75</v>
      </c>
      <c r="I245" s="1776">
        <f t="shared" si="27"/>
        <v>1.36</v>
      </c>
      <c r="J245" s="1768"/>
    </row>
    <row r="246" spans="1:10" ht="36">
      <c r="A246" s="1770" t="s">
        <v>2407</v>
      </c>
      <c r="B246" s="1771" t="s">
        <v>7</v>
      </c>
      <c r="C246" s="1771">
        <v>91924</v>
      </c>
      <c r="D246" s="1772" t="s">
        <v>2472</v>
      </c>
      <c r="E246" s="1773" t="s">
        <v>158</v>
      </c>
      <c r="F246" s="1780">
        <v>0.85909999999999997</v>
      </c>
      <c r="G246" s="1774">
        <v>2.74</v>
      </c>
      <c r="H246" s="1775">
        <f t="shared" si="25"/>
        <v>2.72</v>
      </c>
      <c r="I246" s="1776">
        <f t="shared" si="27"/>
        <v>2.33</v>
      </c>
      <c r="J246" s="1768"/>
    </row>
    <row r="247" spans="1:10" ht="36">
      <c r="A247" s="1770" t="s">
        <v>2407</v>
      </c>
      <c r="B247" s="1771" t="s">
        <v>7</v>
      </c>
      <c r="C247" s="1771">
        <v>91926</v>
      </c>
      <c r="D247" s="1772" t="s">
        <v>2146</v>
      </c>
      <c r="E247" s="1773" t="s">
        <v>158</v>
      </c>
      <c r="F247" s="1780">
        <v>2.5503</v>
      </c>
      <c r="G247" s="1774">
        <v>3.97</v>
      </c>
      <c r="H247" s="1775">
        <f t="shared" si="25"/>
        <v>3.94</v>
      </c>
      <c r="I247" s="1776">
        <f t="shared" si="27"/>
        <v>10.039999999999999</v>
      </c>
      <c r="J247" s="1768"/>
    </row>
    <row r="248" spans="1:10" ht="24">
      <c r="A248" s="1770" t="s">
        <v>2407</v>
      </c>
      <c r="B248" s="1771" t="s">
        <v>7</v>
      </c>
      <c r="C248" s="1771">
        <v>91937</v>
      </c>
      <c r="D248" s="1772" t="s">
        <v>2474</v>
      </c>
      <c r="E248" s="1773" t="s">
        <v>2432</v>
      </c>
      <c r="F248" s="1780">
        <v>0.16109999999999999</v>
      </c>
      <c r="G248" s="1774">
        <v>11.07</v>
      </c>
      <c r="H248" s="1775">
        <f t="shared" si="25"/>
        <v>11</v>
      </c>
      <c r="I248" s="1776">
        <f t="shared" si="27"/>
        <v>1.77</v>
      </c>
      <c r="J248" s="1768"/>
    </row>
    <row r="249" spans="1:10" ht="36">
      <c r="A249" s="1770" t="s">
        <v>2407</v>
      </c>
      <c r="B249" s="1771" t="s">
        <v>7</v>
      </c>
      <c r="C249" s="1771">
        <v>92000</v>
      </c>
      <c r="D249" s="1772" t="s">
        <v>2475</v>
      </c>
      <c r="E249" s="1773" t="s">
        <v>2432</v>
      </c>
      <c r="F249" s="1780">
        <v>2.6800000000000001E-2</v>
      </c>
      <c r="G249" s="1774">
        <v>25.28</v>
      </c>
      <c r="H249" s="1775">
        <f t="shared" si="25"/>
        <v>25.12</v>
      </c>
      <c r="I249" s="1776">
        <f t="shared" si="27"/>
        <v>0.67</v>
      </c>
      <c r="J249" s="1768"/>
    </row>
    <row r="250" spans="1:10" ht="36">
      <c r="A250" s="1770" t="s">
        <v>2407</v>
      </c>
      <c r="B250" s="1771" t="s">
        <v>7</v>
      </c>
      <c r="C250" s="1771">
        <v>92008</v>
      </c>
      <c r="D250" s="1772" t="s">
        <v>2513</v>
      </c>
      <c r="E250" s="1773" t="s">
        <v>2432</v>
      </c>
      <c r="F250" s="1780">
        <v>0.13420000000000001</v>
      </c>
      <c r="G250" s="1774">
        <v>40.520000000000003</v>
      </c>
      <c r="H250" s="1775">
        <f t="shared" si="25"/>
        <v>40.270000000000003</v>
      </c>
      <c r="I250" s="1776">
        <f t="shared" si="27"/>
        <v>5.4</v>
      </c>
      <c r="J250" s="1768"/>
    </row>
    <row r="251" spans="1:10" ht="36">
      <c r="A251" s="1770" t="s">
        <v>2407</v>
      </c>
      <c r="B251" s="1771" t="s">
        <v>7</v>
      </c>
      <c r="C251" s="1771">
        <v>92023</v>
      </c>
      <c r="D251" s="1772" t="s">
        <v>2514</v>
      </c>
      <c r="E251" s="1773" t="s">
        <v>2432</v>
      </c>
      <c r="F251" s="1780">
        <v>2.6800000000000001E-2</v>
      </c>
      <c r="G251" s="1774">
        <v>42.59</v>
      </c>
      <c r="H251" s="1775">
        <f t="shared" si="25"/>
        <v>42.33</v>
      </c>
      <c r="I251" s="1776">
        <f t="shared" si="27"/>
        <v>1.1299999999999999</v>
      </c>
      <c r="J251" s="1768"/>
    </row>
    <row r="252" spans="1:10" ht="60">
      <c r="A252" s="1770" t="s">
        <v>2407</v>
      </c>
      <c r="B252" s="1771" t="s">
        <v>7</v>
      </c>
      <c r="C252" s="1771">
        <v>92543</v>
      </c>
      <c r="D252" s="1772" t="s">
        <v>2476</v>
      </c>
      <c r="E252" s="1773" t="s">
        <v>1137</v>
      </c>
      <c r="F252" s="1780">
        <v>1.4510000000000001</v>
      </c>
      <c r="G252" s="1774">
        <v>22.25</v>
      </c>
      <c r="H252" s="1775">
        <f t="shared" si="25"/>
        <v>22.11</v>
      </c>
      <c r="I252" s="1776">
        <f t="shared" si="27"/>
        <v>32.08</v>
      </c>
      <c r="J252" s="1768"/>
    </row>
    <row r="253" spans="1:10" ht="24">
      <c r="A253" s="1770" t="s">
        <v>2407</v>
      </c>
      <c r="B253" s="1771" t="s">
        <v>7</v>
      </c>
      <c r="C253" s="1771">
        <v>93358</v>
      </c>
      <c r="D253" s="1772" t="s">
        <v>2478</v>
      </c>
      <c r="E253" s="1773" t="s">
        <v>1132</v>
      </c>
      <c r="F253" s="1780">
        <v>3.9E-2</v>
      </c>
      <c r="G253" s="1774">
        <v>76.94</v>
      </c>
      <c r="H253" s="1775">
        <f t="shared" si="25"/>
        <v>76.47</v>
      </c>
      <c r="I253" s="1776">
        <f t="shared" si="27"/>
        <v>2.98</v>
      </c>
      <c r="J253" s="1768"/>
    </row>
    <row r="254" spans="1:10" ht="60">
      <c r="A254" s="1770" t="s">
        <v>2407</v>
      </c>
      <c r="B254" s="1771" t="s">
        <v>7</v>
      </c>
      <c r="C254" s="1771">
        <v>94210</v>
      </c>
      <c r="D254" s="1772" t="s">
        <v>2479</v>
      </c>
      <c r="E254" s="1773" t="s">
        <v>1137</v>
      </c>
      <c r="F254" s="1780">
        <v>1.4510000000000001</v>
      </c>
      <c r="G254" s="1774">
        <v>55.58</v>
      </c>
      <c r="H254" s="1775">
        <f t="shared" si="25"/>
        <v>55.24</v>
      </c>
      <c r="I254" s="1776">
        <f t="shared" si="27"/>
        <v>80.150000000000006</v>
      </c>
      <c r="J254" s="1768"/>
    </row>
    <row r="255" spans="1:10" ht="36">
      <c r="A255" s="1770" t="s">
        <v>2407</v>
      </c>
      <c r="B255" s="1771" t="s">
        <v>7</v>
      </c>
      <c r="C255" s="1771">
        <v>95240</v>
      </c>
      <c r="D255" s="1772" t="s">
        <v>2481</v>
      </c>
      <c r="E255" s="1773" t="s">
        <v>1137</v>
      </c>
      <c r="F255" s="1780">
        <v>8.9999999999999993E-3</v>
      </c>
      <c r="G255" s="1774">
        <v>19.690000000000001</v>
      </c>
      <c r="H255" s="1775">
        <f t="shared" si="25"/>
        <v>19.57</v>
      </c>
      <c r="I255" s="1776">
        <f t="shared" si="27"/>
        <v>0.17</v>
      </c>
      <c r="J255" s="1768"/>
    </row>
    <row r="256" spans="1:10" ht="36">
      <c r="A256" s="1770" t="s">
        <v>2407</v>
      </c>
      <c r="B256" s="1771" t="s">
        <v>7</v>
      </c>
      <c r="C256" s="1771">
        <v>95241</v>
      </c>
      <c r="D256" s="1772" t="s">
        <v>2482</v>
      </c>
      <c r="E256" s="1773" t="s">
        <v>1137</v>
      </c>
      <c r="F256" s="1780">
        <v>1.4510000000000001</v>
      </c>
      <c r="G256" s="1774">
        <v>32.82</v>
      </c>
      <c r="H256" s="1775">
        <f t="shared" si="25"/>
        <v>32.619999999999997</v>
      </c>
      <c r="I256" s="1776">
        <f t="shared" si="27"/>
        <v>47.33</v>
      </c>
      <c r="J256" s="1768"/>
    </row>
    <row r="257" spans="1:10" ht="36">
      <c r="A257" s="1770" t="s">
        <v>2407</v>
      </c>
      <c r="B257" s="1771" t="s">
        <v>7</v>
      </c>
      <c r="C257" s="1771">
        <v>95805</v>
      </c>
      <c r="D257" s="1772" t="s">
        <v>2483</v>
      </c>
      <c r="E257" s="1773" t="s">
        <v>2432</v>
      </c>
      <c r="F257" s="1780">
        <v>0.18790000000000001</v>
      </c>
      <c r="G257" s="1774">
        <v>21.95</v>
      </c>
      <c r="H257" s="1775">
        <f t="shared" si="25"/>
        <v>21.81</v>
      </c>
      <c r="I257" s="1776">
        <f t="shared" si="27"/>
        <v>4.09</v>
      </c>
      <c r="J257" s="1768"/>
    </row>
    <row r="258" spans="1:10" ht="36">
      <c r="A258" s="1770" t="s">
        <v>2407</v>
      </c>
      <c r="B258" s="1771" t="s">
        <v>7</v>
      </c>
      <c r="C258" s="1771">
        <v>95811</v>
      </c>
      <c r="D258" s="1772" t="s">
        <v>2484</v>
      </c>
      <c r="E258" s="1773" t="s">
        <v>2432</v>
      </c>
      <c r="F258" s="1780">
        <v>2.6800000000000001E-2</v>
      </c>
      <c r="G258" s="1774">
        <v>18.739999999999998</v>
      </c>
      <c r="H258" s="1775">
        <f t="shared" si="25"/>
        <v>18.62</v>
      </c>
      <c r="I258" s="1776">
        <f t="shared" si="27"/>
        <v>0.49</v>
      </c>
      <c r="J258" s="1768"/>
    </row>
    <row r="259" spans="1:10" ht="24">
      <c r="A259" s="1770" t="s">
        <v>2407</v>
      </c>
      <c r="B259" s="1771" t="s">
        <v>7</v>
      </c>
      <c r="C259" s="1771">
        <v>96995</v>
      </c>
      <c r="D259" s="1772" t="s">
        <v>390</v>
      </c>
      <c r="E259" s="1773" t="s">
        <v>1132</v>
      </c>
      <c r="F259" s="1780">
        <v>0.01</v>
      </c>
      <c r="G259" s="1774">
        <v>46.65</v>
      </c>
      <c r="H259" s="1775">
        <f t="shared" si="25"/>
        <v>46.37</v>
      </c>
      <c r="I259" s="1776">
        <f t="shared" si="27"/>
        <v>0.46</v>
      </c>
      <c r="J259" s="1768"/>
    </row>
    <row r="260" spans="1:10" ht="48">
      <c r="A260" s="1770" t="s">
        <v>2407</v>
      </c>
      <c r="B260" s="1771" t="s">
        <v>7</v>
      </c>
      <c r="C260" s="1771">
        <v>97586</v>
      </c>
      <c r="D260" s="1772" t="s">
        <v>2486</v>
      </c>
      <c r="E260" s="1773" t="s">
        <v>2432</v>
      </c>
      <c r="F260" s="1780">
        <v>0.16109999999999999</v>
      </c>
      <c r="G260" s="1774">
        <v>153.35</v>
      </c>
      <c r="H260" s="1775">
        <f t="shared" si="25"/>
        <v>152.41999999999999</v>
      </c>
      <c r="I260" s="1776">
        <f t="shared" si="27"/>
        <v>24.55</v>
      </c>
      <c r="J260" s="1768"/>
    </row>
    <row r="261" spans="1:10" ht="48">
      <c r="A261" s="1770" t="s">
        <v>2407</v>
      </c>
      <c r="B261" s="1771" t="s">
        <v>7</v>
      </c>
      <c r="C261" s="1771">
        <v>97906</v>
      </c>
      <c r="D261" s="1772" t="s">
        <v>2488</v>
      </c>
      <c r="E261" s="1773" t="s">
        <v>2432</v>
      </c>
      <c r="F261" s="1780">
        <v>2.6800000000000001E-2</v>
      </c>
      <c r="G261" s="1774">
        <v>441.77</v>
      </c>
      <c r="H261" s="1775">
        <f t="shared" si="25"/>
        <v>439.11</v>
      </c>
      <c r="I261" s="1776">
        <f t="shared" si="27"/>
        <v>11.76</v>
      </c>
      <c r="J261" s="1768"/>
    </row>
    <row r="262" spans="1:10" ht="36">
      <c r="A262" s="1770" t="s">
        <v>2407</v>
      </c>
      <c r="B262" s="1771" t="s">
        <v>7</v>
      </c>
      <c r="C262" s="1771">
        <v>98102</v>
      </c>
      <c r="D262" s="1772" t="s">
        <v>2515</v>
      </c>
      <c r="E262" s="1773" t="s">
        <v>2432</v>
      </c>
      <c r="F262" s="1780">
        <v>2.6800000000000001E-2</v>
      </c>
      <c r="G262" s="1774">
        <v>171.08</v>
      </c>
      <c r="H262" s="1775">
        <f t="shared" si="25"/>
        <v>170.05</v>
      </c>
      <c r="I262" s="1776">
        <f t="shared" si="27"/>
        <v>4.55</v>
      </c>
      <c r="J262" s="1768"/>
    </row>
    <row r="263" spans="1:10" ht="48">
      <c r="A263" s="1770" t="s">
        <v>2407</v>
      </c>
      <c r="B263" s="1771" t="s">
        <v>7</v>
      </c>
      <c r="C263" s="1771">
        <v>98441</v>
      </c>
      <c r="D263" s="1772" t="s">
        <v>2489</v>
      </c>
      <c r="E263" s="1773" t="s">
        <v>1137</v>
      </c>
      <c r="F263" s="1780">
        <v>0.1449</v>
      </c>
      <c r="G263" s="1774">
        <v>159.15</v>
      </c>
      <c r="H263" s="1775">
        <f t="shared" si="25"/>
        <v>158.19</v>
      </c>
      <c r="I263" s="1776">
        <f t="shared" si="27"/>
        <v>22.92</v>
      </c>
      <c r="J263" s="1768"/>
    </row>
    <row r="264" spans="1:10" ht="36">
      <c r="A264" s="1770" t="s">
        <v>2407</v>
      </c>
      <c r="B264" s="1771" t="s">
        <v>7</v>
      </c>
      <c r="C264" s="1771">
        <v>98442</v>
      </c>
      <c r="D264" s="1772" t="s">
        <v>2490</v>
      </c>
      <c r="E264" s="1773" t="s">
        <v>1137</v>
      </c>
      <c r="F264" s="1780">
        <v>0.1668</v>
      </c>
      <c r="G264" s="1774">
        <v>162.19</v>
      </c>
      <c r="H264" s="1775">
        <f t="shared" si="25"/>
        <v>161.21</v>
      </c>
      <c r="I264" s="1776">
        <f t="shared" si="26"/>
        <v>26.88</v>
      </c>
      <c r="J264" s="1768"/>
    </row>
    <row r="265" spans="1:10" ht="48">
      <c r="A265" s="1770" t="s">
        <v>2407</v>
      </c>
      <c r="B265" s="1771" t="s">
        <v>7</v>
      </c>
      <c r="C265" s="1771">
        <v>98445</v>
      </c>
      <c r="D265" s="1772" t="s">
        <v>2493</v>
      </c>
      <c r="E265" s="1773" t="s">
        <v>1137</v>
      </c>
      <c r="F265" s="1780">
        <v>0.22639999999999999</v>
      </c>
      <c r="G265" s="1774">
        <v>188.28</v>
      </c>
      <c r="H265" s="1775">
        <f t="shared" si="25"/>
        <v>187.15</v>
      </c>
      <c r="I265" s="1776">
        <f t="shared" si="26"/>
        <v>42.37</v>
      </c>
      <c r="J265" s="1768"/>
    </row>
    <row r="266" spans="1:10" ht="36">
      <c r="A266" s="1770" t="s">
        <v>2407</v>
      </c>
      <c r="B266" s="1771" t="s">
        <v>7</v>
      </c>
      <c r="C266" s="1771">
        <v>98446</v>
      </c>
      <c r="D266" s="1772" t="s">
        <v>2494</v>
      </c>
      <c r="E266" s="1773" t="s">
        <v>1137</v>
      </c>
      <c r="F266" s="1780">
        <v>0.17649999999999999</v>
      </c>
      <c r="G266" s="1774">
        <v>236.73</v>
      </c>
      <c r="H266" s="1775">
        <f t="shared" si="25"/>
        <v>235.3</v>
      </c>
      <c r="I266" s="1776">
        <f t="shared" si="26"/>
        <v>41.53</v>
      </c>
      <c r="J266" s="1768"/>
    </row>
    <row r="267" spans="1:10" ht="48">
      <c r="A267" s="1770" t="s">
        <v>2407</v>
      </c>
      <c r="B267" s="1771" t="s">
        <v>7</v>
      </c>
      <c r="C267" s="1771">
        <v>101165</v>
      </c>
      <c r="D267" s="1772" t="s">
        <v>2499</v>
      </c>
      <c r="E267" s="1773" t="s">
        <v>1132</v>
      </c>
      <c r="F267" s="1780">
        <v>0.04</v>
      </c>
      <c r="G267" s="1774">
        <v>929.85</v>
      </c>
      <c r="H267" s="1775">
        <f t="shared" si="25"/>
        <v>924.27</v>
      </c>
      <c r="I267" s="1776">
        <f t="shared" si="26"/>
        <v>36.97</v>
      </c>
      <c r="J267" s="1768"/>
    </row>
    <row r="268" spans="1:10" ht="36">
      <c r="A268" s="1770" t="s">
        <v>2407</v>
      </c>
      <c r="B268" s="1771" t="s">
        <v>7</v>
      </c>
      <c r="C268" s="1771">
        <v>101876</v>
      </c>
      <c r="D268" s="1772" t="s">
        <v>2500</v>
      </c>
      <c r="E268" s="1773" t="s">
        <v>2432</v>
      </c>
      <c r="F268" s="1780">
        <v>2.6800000000000001E-2</v>
      </c>
      <c r="G268" s="1774">
        <v>79.739999999999995</v>
      </c>
      <c r="H268" s="1775">
        <f t="shared" si="25"/>
        <v>79.260000000000005</v>
      </c>
      <c r="I268" s="1776">
        <f t="shared" si="26"/>
        <v>2.12</v>
      </c>
      <c r="J268" s="1768"/>
    </row>
    <row r="269" spans="1:10" ht="36">
      <c r="A269" s="1770" t="s">
        <v>2407</v>
      </c>
      <c r="B269" s="1771" t="s">
        <v>7</v>
      </c>
      <c r="C269" s="1771">
        <v>101891</v>
      </c>
      <c r="D269" s="1772" t="s">
        <v>2501</v>
      </c>
      <c r="E269" s="1773" t="s">
        <v>2432</v>
      </c>
      <c r="F269" s="1780">
        <v>0.1074</v>
      </c>
      <c r="G269" s="1774">
        <v>29.68</v>
      </c>
      <c r="H269" s="1775">
        <f t="shared" si="25"/>
        <v>29.5</v>
      </c>
      <c r="I269" s="1776">
        <f t="shared" si="26"/>
        <v>3.16</v>
      </c>
      <c r="J269" s="1768"/>
    </row>
    <row r="270" spans="1:10">
      <c r="A270" s="1917" t="s">
        <v>2408</v>
      </c>
      <c r="B270" s="1918"/>
      <c r="C270" s="1918"/>
      <c r="D270" s="1918"/>
      <c r="E270" s="1918"/>
      <c r="F270" s="1918"/>
      <c r="G270" s="1918"/>
      <c r="H270" s="1919"/>
      <c r="I270" s="1778">
        <f>SUM(I227:I269)</f>
        <v>625.16</v>
      </c>
      <c r="J270" s="1768"/>
    </row>
    <row r="271" spans="1:10">
      <c r="A271" s="1920"/>
      <c r="B271" s="1921"/>
      <c r="C271" s="1921"/>
      <c r="D271" s="1921"/>
      <c r="E271" s="1921"/>
      <c r="F271" s="1921"/>
      <c r="G271" s="1921"/>
      <c r="H271" s="1921"/>
      <c r="I271" s="1922"/>
      <c r="J271" s="1768"/>
    </row>
    <row r="272" spans="1:10" ht="25.5" customHeight="1">
      <c r="A272" s="1757">
        <f>'PLANILHA SEM DESON'!B30</f>
        <v>93207</v>
      </c>
      <c r="B272" s="1923" t="str">
        <f>VLOOKUP(A272,'PLANILHA SEM DESON'!$B$17:$D$1699,2,FALSE)</f>
        <v>EXECUÇÃO DE ESCRITÓRIO EM CANTEIRO DE OBRA EM CHAPA DE MADEIRA COMPENSADA, NÃO INCLUSO MOBILIÁRIO E EQUIPAMENTOS. AF_02/2016</v>
      </c>
      <c r="C272" s="1924"/>
      <c r="D272" s="1924"/>
      <c r="E272" s="1924"/>
      <c r="F272" s="1924"/>
      <c r="G272" s="1924"/>
      <c r="H272" s="1925"/>
      <c r="I272" s="1758" t="str">
        <f>VLOOKUP(A272,'PLANILHA SEM DESON'!$B$17:$D$1699,3,FALSE)</f>
        <v>m²</v>
      </c>
      <c r="J272" s="1759">
        <f>I348</f>
        <v>1186.6699999999998</v>
      </c>
    </row>
    <row r="273" spans="1:10" ht="24">
      <c r="A273" s="1761" t="s">
        <v>2401</v>
      </c>
      <c r="B273" s="1762" t="s">
        <v>2402</v>
      </c>
      <c r="C273" s="1763" t="s">
        <v>2399</v>
      </c>
      <c r="D273" s="1764" t="s">
        <v>284</v>
      </c>
      <c r="E273" s="1763" t="s">
        <v>193</v>
      </c>
      <c r="F273" s="1765" t="s">
        <v>2403</v>
      </c>
      <c r="G273" s="1763" t="s">
        <v>2404</v>
      </c>
      <c r="H273" s="1766" t="s">
        <v>2405</v>
      </c>
      <c r="I273" s="1767" t="s">
        <v>2406</v>
      </c>
      <c r="J273" s="1768"/>
    </row>
    <row r="274" spans="1:10" ht="60">
      <c r="A274" s="1770" t="s">
        <v>2407</v>
      </c>
      <c r="B274" s="1771" t="s">
        <v>2410</v>
      </c>
      <c r="C274" s="1771">
        <v>3080</v>
      </c>
      <c r="D274" s="1772" t="s">
        <v>2433</v>
      </c>
      <c r="E274" s="1773" t="s">
        <v>2434</v>
      </c>
      <c r="F274" s="1780">
        <v>5.7799999999999997E-2</v>
      </c>
      <c r="G274" s="1774">
        <v>79.900000000000006</v>
      </c>
      <c r="H274" s="1775">
        <f t="shared" ref="H274:H305" si="28">IF(E274="H",G274,TRUNC(G274*(1-$K$7),2))</f>
        <v>79.42</v>
      </c>
      <c r="I274" s="1776">
        <f t="shared" ref="I274:I347" si="29">TRUNC(H274*F274,2)</f>
        <v>4.59</v>
      </c>
      <c r="J274" s="1768"/>
    </row>
    <row r="275" spans="1:10" ht="60">
      <c r="A275" s="1770" t="s">
        <v>2407</v>
      </c>
      <c r="B275" s="1771" t="s">
        <v>2410</v>
      </c>
      <c r="C275" s="1771">
        <v>3097</v>
      </c>
      <c r="D275" s="1772" t="s">
        <v>2516</v>
      </c>
      <c r="E275" s="1773" t="s">
        <v>2434</v>
      </c>
      <c r="F275" s="1780">
        <v>3.85E-2</v>
      </c>
      <c r="G275" s="1774">
        <v>89.46</v>
      </c>
      <c r="H275" s="1775">
        <f t="shared" si="28"/>
        <v>88.92</v>
      </c>
      <c r="I275" s="1776">
        <f t="shared" ref="I275:I338" si="30">TRUNC(H275*F275,2)</f>
        <v>3.42</v>
      </c>
      <c r="J275" s="1768"/>
    </row>
    <row r="276" spans="1:10" ht="24">
      <c r="A276" s="1770" t="s">
        <v>2407</v>
      </c>
      <c r="B276" s="1771" t="s">
        <v>2410</v>
      </c>
      <c r="C276" s="1771">
        <v>10886</v>
      </c>
      <c r="D276" s="1772" t="s">
        <v>2505</v>
      </c>
      <c r="E276" s="1773" t="s">
        <v>2432</v>
      </c>
      <c r="F276" s="1780">
        <v>1.9300000000000001E-2</v>
      </c>
      <c r="G276" s="1774">
        <v>181.12</v>
      </c>
      <c r="H276" s="1775">
        <f t="shared" si="28"/>
        <v>180.03</v>
      </c>
      <c r="I276" s="1776">
        <f t="shared" si="30"/>
        <v>3.47</v>
      </c>
      <c r="J276" s="1768"/>
    </row>
    <row r="277" spans="1:10" ht="24">
      <c r="A277" s="1770" t="s">
        <v>2407</v>
      </c>
      <c r="B277" s="1771" t="s">
        <v>2410</v>
      </c>
      <c r="C277" s="1771">
        <v>10891</v>
      </c>
      <c r="D277" s="1772" t="s">
        <v>2506</v>
      </c>
      <c r="E277" s="1773" t="s">
        <v>2432</v>
      </c>
      <c r="F277" s="1780">
        <v>1.9300000000000001E-2</v>
      </c>
      <c r="G277" s="1774">
        <v>175.15</v>
      </c>
      <c r="H277" s="1775">
        <f t="shared" si="28"/>
        <v>174.09</v>
      </c>
      <c r="I277" s="1776">
        <f t="shared" si="30"/>
        <v>3.35</v>
      </c>
      <c r="J277" s="1768"/>
    </row>
    <row r="278" spans="1:10" ht="36">
      <c r="A278" s="1770" t="s">
        <v>2407</v>
      </c>
      <c r="B278" s="1771" t="s">
        <v>2410</v>
      </c>
      <c r="C278" s="1771">
        <v>11587</v>
      </c>
      <c r="D278" s="1772" t="s">
        <v>2437</v>
      </c>
      <c r="E278" s="1773" t="s">
        <v>1137</v>
      </c>
      <c r="F278" s="1780">
        <v>0.99380000000000002</v>
      </c>
      <c r="G278" s="1774">
        <v>96.6</v>
      </c>
      <c r="H278" s="1775">
        <f t="shared" si="28"/>
        <v>96.02</v>
      </c>
      <c r="I278" s="1776">
        <f t="shared" si="30"/>
        <v>95.42</v>
      </c>
      <c r="J278" s="1768"/>
    </row>
    <row r="279" spans="1:10" ht="36">
      <c r="A279" s="1770" t="s">
        <v>2407</v>
      </c>
      <c r="B279" s="1771" t="s">
        <v>7</v>
      </c>
      <c r="C279" s="1771">
        <v>86888</v>
      </c>
      <c r="D279" s="1772" t="s">
        <v>2443</v>
      </c>
      <c r="E279" s="1773" t="s">
        <v>2432</v>
      </c>
      <c r="F279" s="1780">
        <v>3.85E-2</v>
      </c>
      <c r="G279" s="1774">
        <v>484.71</v>
      </c>
      <c r="H279" s="1775">
        <f t="shared" si="28"/>
        <v>481.8</v>
      </c>
      <c r="I279" s="1776">
        <f t="shared" si="30"/>
        <v>18.54</v>
      </c>
      <c r="J279" s="1768"/>
    </row>
    <row r="280" spans="1:10" ht="72">
      <c r="A280" s="1770" t="s">
        <v>2407</v>
      </c>
      <c r="B280" s="1771" t="s">
        <v>7</v>
      </c>
      <c r="C280" s="1771">
        <v>86934</v>
      </c>
      <c r="D280" s="1772" t="s">
        <v>2512</v>
      </c>
      <c r="E280" s="1773" t="s">
        <v>2432</v>
      </c>
      <c r="F280" s="1780">
        <v>1.9300000000000001E-2</v>
      </c>
      <c r="G280" s="1774">
        <v>450.05</v>
      </c>
      <c r="H280" s="1775">
        <f t="shared" si="28"/>
        <v>447.34</v>
      </c>
      <c r="I280" s="1776">
        <f t="shared" si="30"/>
        <v>8.6300000000000008</v>
      </c>
      <c r="J280" s="1768"/>
    </row>
    <row r="281" spans="1:10" ht="60">
      <c r="A281" s="1770" t="s">
        <v>2407</v>
      </c>
      <c r="B281" s="1771" t="s">
        <v>7</v>
      </c>
      <c r="C281" s="1771">
        <v>86943</v>
      </c>
      <c r="D281" s="1772" t="s">
        <v>1771</v>
      </c>
      <c r="E281" s="1773" t="s">
        <v>2432</v>
      </c>
      <c r="F281" s="1780">
        <v>3.85E-2</v>
      </c>
      <c r="G281" s="1774">
        <v>262.18</v>
      </c>
      <c r="H281" s="1775">
        <f t="shared" si="28"/>
        <v>260.60000000000002</v>
      </c>
      <c r="I281" s="1776">
        <f t="shared" si="30"/>
        <v>10.029999999999999</v>
      </c>
      <c r="J281" s="1768"/>
    </row>
    <row r="282" spans="1:10" ht="60">
      <c r="A282" s="1770" t="s">
        <v>2407</v>
      </c>
      <c r="B282" s="1771" t="s">
        <v>7</v>
      </c>
      <c r="C282" s="1771">
        <v>87548</v>
      </c>
      <c r="D282" s="1772" t="s">
        <v>2444</v>
      </c>
      <c r="E282" s="1773" t="s">
        <v>1137</v>
      </c>
      <c r="F282" s="1780">
        <v>3.85E-2</v>
      </c>
      <c r="G282" s="1774">
        <v>26.03</v>
      </c>
      <c r="H282" s="1775">
        <f t="shared" si="28"/>
        <v>25.87</v>
      </c>
      <c r="I282" s="1776">
        <f t="shared" si="30"/>
        <v>0.99</v>
      </c>
      <c r="J282" s="1768"/>
    </row>
    <row r="283" spans="1:10" ht="36">
      <c r="A283" s="1770" t="s">
        <v>2407</v>
      </c>
      <c r="B283" s="1771" t="s">
        <v>7</v>
      </c>
      <c r="C283" s="1771">
        <v>87885</v>
      </c>
      <c r="D283" s="1772" t="s">
        <v>2446</v>
      </c>
      <c r="E283" s="1773" t="s">
        <v>1137</v>
      </c>
      <c r="F283" s="1780">
        <v>0.20469999999999999</v>
      </c>
      <c r="G283" s="1774">
        <v>11.11</v>
      </c>
      <c r="H283" s="1775">
        <f t="shared" si="28"/>
        <v>11.04</v>
      </c>
      <c r="I283" s="1776">
        <f t="shared" si="30"/>
        <v>2.25</v>
      </c>
      <c r="J283" s="1768"/>
    </row>
    <row r="284" spans="1:10" ht="24">
      <c r="A284" s="1770" t="s">
        <v>2407</v>
      </c>
      <c r="B284" s="1771" t="s">
        <v>7</v>
      </c>
      <c r="C284" s="1771">
        <v>88489</v>
      </c>
      <c r="D284" s="1772" t="s">
        <v>117</v>
      </c>
      <c r="E284" s="1773" t="s">
        <v>1137</v>
      </c>
      <c r="F284" s="1780">
        <v>4.4976000000000003</v>
      </c>
      <c r="G284" s="1774">
        <v>14.99</v>
      </c>
      <c r="H284" s="1775">
        <f t="shared" si="28"/>
        <v>14.9</v>
      </c>
      <c r="I284" s="1776">
        <f t="shared" si="30"/>
        <v>67.010000000000005</v>
      </c>
      <c r="J284" s="1768"/>
    </row>
    <row r="285" spans="1:10" ht="60">
      <c r="A285" s="1770" t="s">
        <v>2407</v>
      </c>
      <c r="B285" s="1771" t="s">
        <v>7</v>
      </c>
      <c r="C285" s="1771">
        <v>89171</v>
      </c>
      <c r="D285" s="1772" t="s">
        <v>2448</v>
      </c>
      <c r="E285" s="1773" t="s">
        <v>1137</v>
      </c>
      <c r="F285" s="1780">
        <v>8.0600000000000005E-2</v>
      </c>
      <c r="G285" s="1774">
        <v>54.07</v>
      </c>
      <c r="H285" s="1775">
        <f t="shared" si="28"/>
        <v>53.74</v>
      </c>
      <c r="I285" s="1776">
        <f t="shared" si="30"/>
        <v>4.33</v>
      </c>
      <c r="J285" s="1768"/>
    </row>
    <row r="286" spans="1:10" ht="72">
      <c r="A286" s="1770" t="s">
        <v>2407</v>
      </c>
      <c r="B286" s="1771" t="s">
        <v>7</v>
      </c>
      <c r="C286" s="1771">
        <v>89173</v>
      </c>
      <c r="D286" s="1772" t="s">
        <v>118</v>
      </c>
      <c r="E286" s="1773" t="s">
        <v>1137</v>
      </c>
      <c r="F286" s="1780">
        <v>0.20469999999999999</v>
      </c>
      <c r="G286" s="1774">
        <v>36.79</v>
      </c>
      <c r="H286" s="1775">
        <f t="shared" si="28"/>
        <v>36.56</v>
      </c>
      <c r="I286" s="1776">
        <f t="shared" si="30"/>
        <v>7.48</v>
      </c>
      <c r="J286" s="1768"/>
    </row>
    <row r="287" spans="1:10" ht="36">
      <c r="A287" s="1770" t="s">
        <v>2407</v>
      </c>
      <c r="B287" s="1771" t="s">
        <v>7</v>
      </c>
      <c r="C287" s="1771">
        <v>89482</v>
      </c>
      <c r="D287" s="1772" t="s">
        <v>2517</v>
      </c>
      <c r="E287" s="1773" t="s">
        <v>2432</v>
      </c>
      <c r="F287" s="1780">
        <v>3.85E-2</v>
      </c>
      <c r="G287" s="1774">
        <v>45.72</v>
      </c>
      <c r="H287" s="1775">
        <f t="shared" si="28"/>
        <v>45.44</v>
      </c>
      <c r="I287" s="1776">
        <f t="shared" si="30"/>
        <v>1.74</v>
      </c>
      <c r="J287" s="1768"/>
    </row>
    <row r="288" spans="1:10" ht="36">
      <c r="A288" s="1770" t="s">
        <v>2407</v>
      </c>
      <c r="B288" s="1771" t="s">
        <v>7</v>
      </c>
      <c r="C288" s="1771">
        <v>89711</v>
      </c>
      <c r="D288" s="1772" t="s">
        <v>2450</v>
      </c>
      <c r="E288" s="1773" t="s">
        <v>158</v>
      </c>
      <c r="F288" s="1780">
        <v>0.13880000000000001</v>
      </c>
      <c r="G288" s="1774">
        <v>21.07</v>
      </c>
      <c r="H288" s="1775">
        <f t="shared" si="28"/>
        <v>20.94</v>
      </c>
      <c r="I288" s="1776">
        <f t="shared" si="30"/>
        <v>2.9</v>
      </c>
      <c r="J288" s="1768"/>
    </row>
    <row r="289" spans="1:10" ht="36">
      <c r="A289" s="1770" t="s">
        <v>2407</v>
      </c>
      <c r="B289" s="1771" t="s">
        <v>7</v>
      </c>
      <c r="C289" s="1771">
        <v>89712</v>
      </c>
      <c r="D289" s="1772" t="s">
        <v>2451</v>
      </c>
      <c r="E289" s="1773" t="s">
        <v>158</v>
      </c>
      <c r="F289" s="1780">
        <v>0.12529999999999999</v>
      </c>
      <c r="G289" s="1774">
        <v>27.77</v>
      </c>
      <c r="H289" s="1775">
        <f t="shared" si="28"/>
        <v>27.6</v>
      </c>
      <c r="I289" s="1776">
        <f t="shared" si="30"/>
        <v>3.45</v>
      </c>
      <c r="J289" s="1768"/>
    </row>
    <row r="290" spans="1:10" ht="36">
      <c r="A290" s="1770" t="s">
        <v>2407</v>
      </c>
      <c r="B290" s="1771" t="s">
        <v>7</v>
      </c>
      <c r="C290" s="1771">
        <v>89714</v>
      </c>
      <c r="D290" s="1772" t="s">
        <v>2452</v>
      </c>
      <c r="E290" s="1773" t="s">
        <v>158</v>
      </c>
      <c r="F290" s="1780">
        <v>0.1472</v>
      </c>
      <c r="G290" s="1774">
        <v>41.92</v>
      </c>
      <c r="H290" s="1775">
        <f t="shared" si="28"/>
        <v>41.66</v>
      </c>
      <c r="I290" s="1776">
        <f t="shared" si="30"/>
        <v>6.13</v>
      </c>
      <c r="J290" s="1768"/>
    </row>
    <row r="291" spans="1:10" ht="48">
      <c r="A291" s="1770" t="s">
        <v>2407</v>
      </c>
      <c r="B291" s="1771" t="s">
        <v>7</v>
      </c>
      <c r="C291" s="1771">
        <v>89724</v>
      </c>
      <c r="D291" s="1772" t="s">
        <v>2453</v>
      </c>
      <c r="E291" s="1773" t="s">
        <v>2432</v>
      </c>
      <c r="F291" s="1780">
        <v>7.7100000000000002E-2</v>
      </c>
      <c r="G291" s="1774">
        <v>12.96</v>
      </c>
      <c r="H291" s="1775">
        <f t="shared" si="28"/>
        <v>12.88</v>
      </c>
      <c r="I291" s="1776">
        <f t="shared" si="30"/>
        <v>0.99</v>
      </c>
      <c r="J291" s="1768"/>
    </row>
    <row r="292" spans="1:10" ht="48">
      <c r="A292" s="1770" t="s">
        <v>2407</v>
      </c>
      <c r="B292" s="1771" t="s">
        <v>7</v>
      </c>
      <c r="C292" s="1771">
        <v>89726</v>
      </c>
      <c r="D292" s="1772" t="s">
        <v>2518</v>
      </c>
      <c r="E292" s="1773" t="s">
        <v>2432</v>
      </c>
      <c r="F292" s="1780">
        <v>5.7799999999999997E-2</v>
      </c>
      <c r="G292" s="1774">
        <v>9.24</v>
      </c>
      <c r="H292" s="1775">
        <f t="shared" si="28"/>
        <v>9.18</v>
      </c>
      <c r="I292" s="1776">
        <f t="shared" si="30"/>
        <v>0.53</v>
      </c>
      <c r="J292" s="1768"/>
    </row>
    <row r="293" spans="1:10" ht="48">
      <c r="A293" s="1770" t="s">
        <v>2407</v>
      </c>
      <c r="B293" s="1771" t="s">
        <v>7</v>
      </c>
      <c r="C293" s="1771">
        <v>89731</v>
      </c>
      <c r="D293" s="1772" t="s">
        <v>2454</v>
      </c>
      <c r="E293" s="1773" t="s">
        <v>2432</v>
      </c>
      <c r="F293" s="1780">
        <v>1.9300000000000001E-2</v>
      </c>
      <c r="G293" s="1774">
        <v>15.29</v>
      </c>
      <c r="H293" s="1775">
        <f t="shared" si="28"/>
        <v>15.19</v>
      </c>
      <c r="I293" s="1776">
        <f t="shared" si="30"/>
        <v>0.28999999999999998</v>
      </c>
      <c r="J293" s="1768"/>
    </row>
    <row r="294" spans="1:10" ht="48">
      <c r="A294" s="1770" t="s">
        <v>2407</v>
      </c>
      <c r="B294" s="1771" t="s">
        <v>7</v>
      </c>
      <c r="C294" s="1771">
        <v>89748</v>
      </c>
      <c r="D294" s="1772" t="s">
        <v>2455</v>
      </c>
      <c r="E294" s="1773" t="s">
        <v>2432</v>
      </c>
      <c r="F294" s="1780">
        <v>5.7799999999999997E-2</v>
      </c>
      <c r="G294" s="1774">
        <v>50.6</v>
      </c>
      <c r="H294" s="1775">
        <f t="shared" si="28"/>
        <v>50.29</v>
      </c>
      <c r="I294" s="1776">
        <f t="shared" si="30"/>
        <v>2.9</v>
      </c>
      <c r="J294" s="1768"/>
    </row>
    <row r="295" spans="1:10" ht="48">
      <c r="A295" s="1770" t="s">
        <v>2407</v>
      </c>
      <c r="B295" s="1771" t="s">
        <v>7</v>
      </c>
      <c r="C295" s="1771">
        <v>89784</v>
      </c>
      <c r="D295" s="1772" t="s">
        <v>2456</v>
      </c>
      <c r="E295" s="1773" t="s">
        <v>2432</v>
      </c>
      <c r="F295" s="1780">
        <v>5.7799999999999997E-2</v>
      </c>
      <c r="G295" s="1774">
        <v>26.64</v>
      </c>
      <c r="H295" s="1775">
        <f t="shared" si="28"/>
        <v>26.48</v>
      </c>
      <c r="I295" s="1776">
        <f t="shared" si="30"/>
        <v>1.53</v>
      </c>
      <c r="J295" s="1768"/>
    </row>
    <row r="296" spans="1:10" ht="48">
      <c r="A296" s="1770" t="s">
        <v>2407</v>
      </c>
      <c r="B296" s="1771" t="s">
        <v>7</v>
      </c>
      <c r="C296" s="1771">
        <v>89796</v>
      </c>
      <c r="D296" s="1772" t="s">
        <v>2519</v>
      </c>
      <c r="E296" s="1773" t="s">
        <v>2432</v>
      </c>
      <c r="F296" s="1780">
        <v>3.85E-2</v>
      </c>
      <c r="G296" s="1774">
        <v>50.19</v>
      </c>
      <c r="H296" s="1775">
        <f t="shared" si="28"/>
        <v>49.88</v>
      </c>
      <c r="I296" s="1776">
        <f t="shared" si="30"/>
        <v>1.92</v>
      </c>
      <c r="J296" s="1768"/>
    </row>
    <row r="297" spans="1:10" ht="48">
      <c r="A297" s="1770" t="s">
        <v>2407</v>
      </c>
      <c r="B297" s="1771" t="s">
        <v>7</v>
      </c>
      <c r="C297" s="1771">
        <v>89957</v>
      </c>
      <c r="D297" s="1772" t="s">
        <v>2457</v>
      </c>
      <c r="E297" s="1773" t="s">
        <v>2432</v>
      </c>
      <c r="F297" s="1780">
        <v>9.64E-2</v>
      </c>
      <c r="G297" s="1774">
        <v>145.26</v>
      </c>
      <c r="H297" s="1775">
        <f t="shared" si="28"/>
        <v>144.38</v>
      </c>
      <c r="I297" s="1776">
        <f t="shared" si="30"/>
        <v>13.91</v>
      </c>
      <c r="J297" s="1768"/>
    </row>
    <row r="298" spans="1:10" ht="36">
      <c r="A298" s="1770" t="s">
        <v>2407</v>
      </c>
      <c r="B298" s="1771" t="s">
        <v>7</v>
      </c>
      <c r="C298" s="1771">
        <v>90443</v>
      </c>
      <c r="D298" s="1772" t="s">
        <v>2459</v>
      </c>
      <c r="E298" s="1773" t="s">
        <v>158</v>
      </c>
      <c r="F298" s="1780">
        <v>0.1002</v>
      </c>
      <c r="G298" s="1774">
        <v>12.47</v>
      </c>
      <c r="H298" s="1775">
        <f t="shared" si="28"/>
        <v>12.39</v>
      </c>
      <c r="I298" s="1776">
        <f t="shared" si="30"/>
        <v>1.24</v>
      </c>
      <c r="J298" s="1768"/>
    </row>
    <row r="299" spans="1:10" ht="36">
      <c r="A299" s="1770" t="s">
        <v>2407</v>
      </c>
      <c r="B299" s="1771" t="s">
        <v>7</v>
      </c>
      <c r="C299" s="1771">
        <v>90466</v>
      </c>
      <c r="D299" s="1772" t="s">
        <v>2460</v>
      </c>
      <c r="E299" s="1773" t="s">
        <v>158</v>
      </c>
      <c r="F299" s="1780">
        <v>0.1002</v>
      </c>
      <c r="G299" s="1774">
        <v>12.99</v>
      </c>
      <c r="H299" s="1775">
        <f t="shared" si="28"/>
        <v>12.91</v>
      </c>
      <c r="I299" s="1776">
        <f t="shared" si="30"/>
        <v>1.29</v>
      </c>
      <c r="J299" s="1768"/>
    </row>
    <row r="300" spans="1:10" ht="48">
      <c r="A300" s="1770" t="s">
        <v>2407</v>
      </c>
      <c r="B300" s="1771" t="s">
        <v>7</v>
      </c>
      <c r="C300" s="1771">
        <v>90820</v>
      </c>
      <c r="D300" s="1772" t="s">
        <v>2520</v>
      </c>
      <c r="E300" s="1773" t="s">
        <v>2432</v>
      </c>
      <c r="F300" s="1780">
        <v>3.85E-2</v>
      </c>
      <c r="G300" s="1774">
        <v>363.13</v>
      </c>
      <c r="H300" s="1775">
        <f t="shared" si="28"/>
        <v>360.95</v>
      </c>
      <c r="I300" s="1776">
        <f t="shared" si="30"/>
        <v>13.89</v>
      </c>
      <c r="J300" s="1768"/>
    </row>
    <row r="301" spans="1:10" ht="48">
      <c r="A301" s="1770" t="s">
        <v>2407</v>
      </c>
      <c r="B301" s="1771" t="s">
        <v>7</v>
      </c>
      <c r="C301" s="1771">
        <v>90822</v>
      </c>
      <c r="D301" s="1772" t="s">
        <v>2461</v>
      </c>
      <c r="E301" s="1773" t="s">
        <v>2432</v>
      </c>
      <c r="F301" s="1780">
        <v>5.7799999999999997E-2</v>
      </c>
      <c r="G301" s="1774">
        <v>396.29</v>
      </c>
      <c r="H301" s="1775">
        <f t="shared" si="28"/>
        <v>393.91</v>
      </c>
      <c r="I301" s="1776">
        <f t="shared" si="30"/>
        <v>22.76</v>
      </c>
      <c r="J301" s="1768"/>
    </row>
    <row r="302" spans="1:10" ht="60">
      <c r="A302" s="1770" t="s">
        <v>2407</v>
      </c>
      <c r="B302" s="1771" t="s">
        <v>7</v>
      </c>
      <c r="C302" s="1771">
        <v>91170</v>
      </c>
      <c r="D302" s="1772" t="s">
        <v>2462</v>
      </c>
      <c r="E302" s="1773" t="s">
        <v>158</v>
      </c>
      <c r="F302" s="1780">
        <v>0.53</v>
      </c>
      <c r="G302" s="1774">
        <v>3.36</v>
      </c>
      <c r="H302" s="1775">
        <f t="shared" si="28"/>
        <v>3.33</v>
      </c>
      <c r="I302" s="1776">
        <f t="shared" si="30"/>
        <v>1.76</v>
      </c>
      <c r="J302" s="1768"/>
    </row>
    <row r="303" spans="1:10" ht="48">
      <c r="A303" s="1770" t="s">
        <v>2407</v>
      </c>
      <c r="B303" s="1771" t="s">
        <v>7</v>
      </c>
      <c r="C303" s="1771">
        <v>91173</v>
      </c>
      <c r="D303" s="1772" t="s">
        <v>2463</v>
      </c>
      <c r="E303" s="1773" t="s">
        <v>158</v>
      </c>
      <c r="F303" s="1780">
        <v>1.7343999999999999</v>
      </c>
      <c r="G303" s="1774">
        <v>1.71</v>
      </c>
      <c r="H303" s="1775">
        <f t="shared" si="28"/>
        <v>1.69</v>
      </c>
      <c r="I303" s="1776">
        <f t="shared" si="30"/>
        <v>2.93</v>
      </c>
      <c r="J303" s="1768"/>
    </row>
    <row r="304" spans="1:10" ht="36">
      <c r="A304" s="1770" t="s">
        <v>2407</v>
      </c>
      <c r="B304" s="1771" t="s">
        <v>7</v>
      </c>
      <c r="C304" s="1771">
        <v>91341</v>
      </c>
      <c r="D304" s="1772" t="s">
        <v>1395</v>
      </c>
      <c r="E304" s="1773" t="s">
        <v>1137</v>
      </c>
      <c r="F304" s="1780">
        <v>3.2399999999999998E-2</v>
      </c>
      <c r="G304" s="1774">
        <v>636.34</v>
      </c>
      <c r="H304" s="1775">
        <f t="shared" si="28"/>
        <v>632.52</v>
      </c>
      <c r="I304" s="1776">
        <f t="shared" si="30"/>
        <v>20.49</v>
      </c>
      <c r="J304" s="1768"/>
    </row>
    <row r="305" spans="1:10" ht="36">
      <c r="A305" s="1770" t="s">
        <v>2407</v>
      </c>
      <c r="B305" s="1771" t="s">
        <v>7</v>
      </c>
      <c r="C305" s="1771">
        <v>91862</v>
      </c>
      <c r="D305" s="1772" t="s">
        <v>2465</v>
      </c>
      <c r="E305" s="1773" t="s">
        <v>158</v>
      </c>
      <c r="F305" s="1780">
        <v>0.53</v>
      </c>
      <c r="G305" s="1774">
        <v>10.33</v>
      </c>
      <c r="H305" s="1775">
        <f t="shared" si="28"/>
        <v>10.26</v>
      </c>
      <c r="I305" s="1776">
        <f t="shared" si="30"/>
        <v>5.43</v>
      </c>
      <c r="J305" s="1768"/>
    </row>
    <row r="306" spans="1:10" ht="36">
      <c r="A306" s="1770" t="s">
        <v>2407</v>
      </c>
      <c r="B306" s="1771" t="s">
        <v>7</v>
      </c>
      <c r="C306" s="1771">
        <v>91870</v>
      </c>
      <c r="D306" s="1772" t="s">
        <v>2466</v>
      </c>
      <c r="E306" s="1773" t="s">
        <v>158</v>
      </c>
      <c r="F306" s="1780">
        <v>1.7343999999999999</v>
      </c>
      <c r="G306" s="1774">
        <v>11.02</v>
      </c>
      <c r="H306" s="1775">
        <f t="shared" ref="H306:H337" si="31">IF(E306="H",G306,TRUNC(G306*(1-$K$7),2))</f>
        <v>10.95</v>
      </c>
      <c r="I306" s="1776">
        <f t="shared" si="30"/>
        <v>18.989999999999998</v>
      </c>
      <c r="J306" s="1768"/>
    </row>
    <row r="307" spans="1:10" ht="48">
      <c r="A307" s="1770" t="s">
        <v>2407</v>
      </c>
      <c r="B307" s="1771" t="s">
        <v>7</v>
      </c>
      <c r="C307" s="1771">
        <v>91911</v>
      </c>
      <c r="D307" s="1772" t="s">
        <v>2471</v>
      </c>
      <c r="E307" s="1773" t="s">
        <v>2432</v>
      </c>
      <c r="F307" s="1780">
        <v>0.19270000000000001</v>
      </c>
      <c r="G307" s="1774">
        <v>12.83</v>
      </c>
      <c r="H307" s="1775">
        <f t="shared" si="31"/>
        <v>12.75</v>
      </c>
      <c r="I307" s="1776">
        <f t="shared" si="30"/>
        <v>2.4500000000000002</v>
      </c>
      <c r="J307" s="1768"/>
    </row>
    <row r="308" spans="1:10" ht="36">
      <c r="A308" s="1770" t="s">
        <v>2407</v>
      </c>
      <c r="B308" s="1771" t="s">
        <v>7</v>
      </c>
      <c r="C308" s="1771">
        <v>91924</v>
      </c>
      <c r="D308" s="1772" t="s">
        <v>2472</v>
      </c>
      <c r="E308" s="1773" t="s">
        <v>158</v>
      </c>
      <c r="F308" s="1780">
        <v>1.4165000000000001</v>
      </c>
      <c r="G308" s="1774">
        <v>2.74</v>
      </c>
      <c r="H308" s="1775">
        <f t="shared" si="31"/>
        <v>2.72</v>
      </c>
      <c r="I308" s="1776">
        <f t="shared" si="30"/>
        <v>3.85</v>
      </c>
      <c r="J308" s="1768"/>
    </row>
    <row r="309" spans="1:10" ht="36">
      <c r="A309" s="1770" t="s">
        <v>2407</v>
      </c>
      <c r="B309" s="1771" t="s">
        <v>7</v>
      </c>
      <c r="C309" s="1771">
        <v>91926</v>
      </c>
      <c r="D309" s="1772" t="s">
        <v>2146</v>
      </c>
      <c r="E309" s="1773" t="s">
        <v>158</v>
      </c>
      <c r="F309" s="1780">
        <v>3.4689000000000001</v>
      </c>
      <c r="G309" s="1774">
        <v>3.97</v>
      </c>
      <c r="H309" s="1775">
        <f t="shared" si="31"/>
        <v>3.94</v>
      </c>
      <c r="I309" s="1776">
        <f t="shared" si="30"/>
        <v>13.66</v>
      </c>
      <c r="J309" s="1768"/>
    </row>
    <row r="310" spans="1:10" ht="36">
      <c r="A310" s="1770" t="s">
        <v>2407</v>
      </c>
      <c r="B310" s="1771" t="s">
        <v>7</v>
      </c>
      <c r="C310" s="1771">
        <v>91928</v>
      </c>
      <c r="D310" s="1772" t="s">
        <v>2473</v>
      </c>
      <c r="E310" s="1773" t="s">
        <v>158</v>
      </c>
      <c r="F310" s="1780">
        <v>2.0234999999999999</v>
      </c>
      <c r="G310" s="1774">
        <v>6.12</v>
      </c>
      <c r="H310" s="1775">
        <f t="shared" si="31"/>
        <v>6.08</v>
      </c>
      <c r="I310" s="1776">
        <f t="shared" si="30"/>
        <v>12.3</v>
      </c>
      <c r="J310" s="1768"/>
    </row>
    <row r="311" spans="1:10" ht="24">
      <c r="A311" s="1770" t="s">
        <v>2407</v>
      </c>
      <c r="B311" s="1771" t="s">
        <v>7</v>
      </c>
      <c r="C311" s="1771">
        <v>91937</v>
      </c>
      <c r="D311" s="1772" t="s">
        <v>2474</v>
      </c>
      <c r="E311" s="1773" t="s">
        <v>2432</v>
      </c>
      <c r="F311" s="1780">
        <v>0.1734</v>
      </c>
      <c r="G311" s="1774">
        <v>11.07</v>
      </c>
      <c r="H311" s="1775">
        <f t="shared" si="31"/>
        <v>11</v>
      </c>
      <c r="I311" s="1776">
        <f t="shared" si="30"/>
        <v>1.9</v>
      </c>
      <c r="J311" s="1768"/>
    </row>
    <row r="312" spans="1:10" ht="36">
      <c r="A312" s="1770" t="s">
        <v>2407</v>
      </c>
      <c r="B312" s="1771" t="s">
        <v>7</v>
      </c>
      <c r="C312" s="1771">
        <v>91945</v>
      </c>
      <c r="D312" s="1772" t="s">
        <v>2521</v>
      </c>
      <c r="E312" s="1773" t="s">
        <v>2432</v>
      </c>
      <c r="F312" s="1780">
        <v>5.7799999999999997E-2</v>
      </c>
      <c r="G312" s="1774">
        <v>8.68</v>
      </c>
      <c r="H312" s="1775">
        <f t="shared" si="31"/>
        <v>8.6199999999999992</v>
      </c>
      <c r="I312" s="1776">
        <f t="shared" si="30"/>
        <v>0.49</v>
      </c>
      <c r="J312" s="1768"/>
    </row>
    <row r="313" spans="1:10" ht="36">
      <c r="A313" s="1770" t="s">
        <v>2407</v>
      </c>
      <c r="B313" s="1771" t="s">
        <v>7</v>
      </c>
      <c r="C313" s="1771">
        <v>92000</v>
      </c>
      <c r="D313" s="1772" t="s">
        <v>2475</v>
      </c>
      <c r="E313" s="1773" t="s">
        <v>2432</v>
      </c>
      <c r="F313" s="1780">
        <v>7.7100000000000002E-2</v>
      </c>
      <c r="G313" s="1774">
        <v>25.28</v>
      </c>
      <c r="H313" s="1775">
        <f t="shared" si="31"/>
        <v>25.12</v>
      </c>
      <c r="I313" s="1776">
        <f t="shared" si="30"/>
        <v>1.93</v>
      </c>
      <c r="J313" s="1768"/>
    </row>
    <row r="314" spans="1:10" ht="36">
      <c r="A314" s="1770" t="s">
        <v>2407</v>
      </c>
      <c r="B314" s="1771" t="s">
        <v>7</v>
      </c>
      <c r="C314" s="1771">
        <v>92008</v>
      </c>
      <c r="D314" s="1772" t="s">
        <v>2513</v>
      </c>
      <c r="E314" s="1773" t="s">
        <v>2432</v>
      </c>
      <c r="F314" s="1780">
        <v>0.1542</v>
      </c>
      <c r="G314" s="1774">
        <v>40.520000000000003</v>
      </c>
      <c r="H314" s="1775">
        <f t="shared" si="31"/>
        <v>40.270000000000003</v>
      </c>
      <c r="I314" s="1776">
        <f t="shared" si="30"/>
        <v>6.2</v>
      </c>
      <c r="J314" s="1768"/>
    </row>
    <row r="315" spans="1:10" ht="36">
      <c r="A315" s="1770" t="s">
        <v>2407</v>
      </c>
      <c r="B315" s="1771" t="s">
        <v>7</v>
      </c>
      <c r="C315" s="1771">
        <v>92023</v>
      </c>
      <c r="D315" s="1772" t="s">
        <v>2514</v>
      </c>
      <c r="E315" s="1773" t="s">
        <v>2432</v>
      </c>
      <c r="F315" s="1780">
        <v>0.13489999999999999</v>
      </c>
      <c r="G315" s="1774">
        <v>42.59</v>
      </c>
      <c r="H315" s="1775">
        <f t="shared" si="31"/>
        <v>42.33</v>
      </c>
      <c r="I315" s="1776">
        <f t="shared" si="30"/>
        <v>5.71</v>
      </c>
      <c r="J315" s="1768"/>
    </row>
    <row r="316" spans="1:10" ht="60">
      <c r="A316" s="1770" t="s">
        <v>2407</v>
      </c>
      <c r="B316" s="1771" t="s">
        <v>7</v>
      </c>
      <c r="C316" s="1771">
        <v>92543</v>
      </c>
      <c r="D316" s="1772" t="s">
        <v>2476</v>
      </c>
      <c r="E316" s="1773" t="s">
        <v>1137</v>
      </c>
      <c r="F316" s="1780">
        <v>1.3621000000000001</v>
      </c>
      <c r="G316" s="1774">
        <v>22.25</v>
      </c>
      <c r="H316" s="1775">
        <f t="shared" si="31"/>
        <v>22.11</v>
      </c>
      <c r="I316" s="1776">
        <f t="shared" si="30"/>
        <v>30.11</v>
      </c>
      <c r="J316" s="1768"/>
    </row>
    <row r="317" spans="1:10" ht="36">
      <c r="A317" s="1770" t="s">
        <v>2407</v>
      </c>
      <c r="B317" s="1771" t="s">
        <v>7</v>
      </c>
      <c r="C317" s="1771">
        <v>92981</v>
      </c>
      <c r="D317" s="1772" t="s">
        <v>2477</v>
      </c>
      <c r="E317" s="1773" t="s">
        <v>158</v>
      </c>
      <c r="F317" s="1780">
        <v>0.19270000000000001</v>
      </c>
      <c r="G317" s="1774">
        <v>14.98</v>
      </c>
      <c r="H317" s="1775">
        <f t="shared" si="31"/>
        <v>14.89</v>
      </c>
      <c r="I317" s="1776">
        <f t="shared" si="30"/>
        <v>2.86</v>
      </c>
      <c r="J317" s="1768"/>
    </row>
    <row r="318" spans="1:10" ht="24">
      <c r="A318" s="1770" t="s">
        <v>2407</v>
      </c>
      <c r="B318" s="1771" t="s">
        <v>7</v>
      </c>
      <c r="C318" s="1771">
        <v>93358</v>
      </c>
      <c r="D318" s="1772" t="s">
        <v>2478</v>
      </c>
      <c r="E318" s="1773" t="s">
        <v>1132</v>
      </c>
      <c r="F318" s="1780">
        <v>2.3300000000000001E-2</v>
      </c>
      <c r="G318" s="1774">
        <v>76.94</v>
      </c>
      <c r="H318" s="1775">
        <f t="shared" si="31"/>
        <v>76.47</v>
      </c>
      <c r="I318" s="1776">
        <f t="shared" si="30"/>
        <v>1.78</v>
      </c>
      <c r="J318" s="1768"/>
    </row>
    <row r="319" spans="1:10" ht="60">
      <c r="A319" s="1770" t="s">
        <v>2407</v>
      </c>
      <c r="B319" s="1771" t="s">
        <v>7</v>
      </c>
      <c r="C319" s="1771">
        <v>94210</v>
      </c>
      <c r="D319" s="1772" t="s">
        <v>2479</v>
      </c>
      <c r="E319" s="1773" t="s">
        <v>1137</v>
      </c>
      <c r="F319" s="1780">
        <v>1.3621000000000001</v>
      </c>
      <c r="G319" s="1774">
        <v>55.58</v>
      </c>
      <c r="H319" s="1775">
        <f t="shared" si="31"/>
        <v>55.24</v>
      </c>
      <c r="I319" s="1776">
        <f t="shared" si="30"/>
        <v>75.239999999999995</v>
      </c>
      <c r="J319" s="1768"/>
    </row>
    <row r="320" spans="1:10" ht="60">
      <c r="A320" s="1770" t="s">
        <v>2407</v>
      </c>
      <c r="B320" s="1771" t="s">
        <v>7</v>
      </c>
      <c r="C320" s="1771">
        <v>94559</v>
      </c>
      <c r="D320" s="1772" t="s">
        <v>2480</v>
      </c>
      <c r="E320" s="1773" t="s">
        <v>1137</v>
      </c>
      <c r="F320" s="1780">
        <v>2.8899999999999999E-2</v>
      </c>
      <c r="G320" s="1774">
        <v>809.19</v>
      </c>
      <c r="H320" s="1775">
        <f t="shared" si="31"/>
        <v>804.33</v>
      </c>
      <c r="I320" s="1776">
        <f t="shared" si="30"/>
        <v>23.24</v>
      </c>
      <c r="J320" s="1768"/>
    </row>
    <row r="321" spans="1:10" ht="36">
      <c r="A321" s="1770" t="s">
        <v>2407</v>
      </c>
      <c r="B321" s="1771" t="s">
        <v>7</v>
      </c>
      <c r="C321" s="1771">
        <v>95240</v>
      </c>
      <c r="D321" s="1772" t="s">
        <v>2481</v>
      </c>
      <c r="E321" s="1773" t="s">
        <v>1137</v>
      </c>
      <c r="F321" s="1780">
        <v>5.4000000000000003E-3</v>
      </c>
      <c r="G321" s="1774">
        <v>19.690000000000001</v>
      </c>
      <c r="H321" s="1775">
        <f t="shared" si="31"/>
        <v>19.57</v>
      </c>
      <c r="I321" s="1776">
        <f t="shared" si="30"/>
        <v>0.1</v>
      </c>
      <c r="J321" s="1768"/>
    </row>
    <row r="322" spans="1:10" ht="36">
      <c r="A322" s="1770" t="s">
        <v>2407</v>
      </c>
      <c r="B322" s="1771" t="s">
        <v>7</v>
      </c>
      <c r="C322" s="1771">
        <v>95241</v>
      </c>
      <c r="D322" s="1772" t="s">
        <v>2482</v>
      </c>
      <c r="E322" s="1773" t="s">
        <v>1137</v>
      </c>
      <c r="F322" s="1780">
        <v>1.3559000000000001</v>
      </c>
      <c r="G322" s="1774">
        <v>32.82</v>
      </c>
      <c r="H322" s="1775">
        <f t="shared" si="31"/>
        <v>32.619999999999997</v>
      </c>
      <c r="I322" s="1776">
        <f t="shared" si="30"/>
        <v>44.22</v>
      </c>
      <c r="J322" s="1768"/>
    </row>
    <row r="323" spans="1:10" ht="36">
      <c r="A323" s="1770" t="s">
        <v>2407</v>
      </c>
      <c r="B323" s="1771" t="s">
        <v>7</v>
      </c>
      <c r="C323" s="1771">
        <v>95805</v>
      </c>
      <c r="D323" s="1772" t="s">
        <v>2483</v>
      </c>
      <c r="E323" s="1773" t="s">
        <v>2432</v>
      </c>
      <c r="F323" s="1780">
        <v>0.28910000000000002</v>
      </c>
      <c r="G323" s="1774">
        <v>21.95</v>
      </c>
      <c r="H323" s="1775">
        <f t="shared" si="31"/>
        <v>21.81</v>
      </c>
      <c r="I323" s="1776">
        <f t="shared" si="30"/>
        <v>6.3</v>
      </c>
      <c r="J323" s="1768"/>
    </row>
    <row r="324" spans="1:10" ht="36">
      <c r="A324" s="1770" t="s">
        <v>2407</v>
      </c>
      <c r="B324" s="1771" t="s">
        <v>7</v>
      </c>
      <c r="C324" s="1771">
        <v>95811</v>
      </c>
      <c r="D324" s="1772" t="s">
        <v>2484</v>
      </c>
      <c r="E324" s="1773" t="s">
        <v>2432</v>
      </c>
      <c r="F324" s="1780">
        <v>0.13489999999999999</v>
      </c>
      <c r="G324" s="1774">
        <v>18.739999999999998</v>
      </c>
      <c r="H324" s="1775">
        <f t="shared" si="31"/>
        <v>18.62</v>
      </c>
      <c r="I324" s="1776">
        <f t="shared" si="30"/>
        <v>2.5099999999999998</v>
      </c>
      <c r="J324" s="1768"/>
    </row>
    <row r="325" spans="1:10" ht="24">
      <c r="A325" s="1770" t="s">
        <v>2407</v>
      </c>
      <c r="B325" s="1771" t="s">
        <v>7</v>
      </c>
      <c r="C325" s="1771">
        <v>96985</v>
      </c>
      <c r="D325" s="1772" t="s">
        <v>2485</v>
      </c>
      <c r="E325" s="1773" t="s">
        <v>2432</v>
      </c>
      <c r="F325" s="1780">
        <v>3.85E-2</v>
      </c>
      <c r="G325" s="1774">
        <v>76.36</v>
      </c>
      <c r="H325" s="1775">
        <f t="shared" si="31"/>
        <v>75.900000000000006</v>
      </c>
      <c r="I325" s="1776">
        <f t="shared" si="30"/>
        <v>2.92</v>
      </c>
      <c r="J325" s="1768"/>
    </row>
    <row r="326" spans="1:10" ht="24">
      <c r="A326" s="1770" t="s">
        <v>2407</v>
      </c>
      <c r="B326" s="1771" t="s">
        <v>7</v>
      </c>
      <c r="C326" s="1771">
        <v>96995</v>
      </c>
      <c r="D326" s="1772" t="s">
        <v>390</v>
      </c>
      <c r="E326" s="1773" t="s">
        <v>1132</v>
      </c>
      <c r="F326" s="1780">
        <v>6.0000000000000001E-3</v>
      </c>
      <c r="G326" s="1774">
        <v>46.65</v>
      </c>
      <c r="H326" s="1775">
        <f t="shared" si="31"/>
        <v>46.37</v>
      </c>
      <c r="I326" s="1776">
        <f t="shared" si="30"/>
        <v>0.27</v>
      </c>
      <c r="J326" s="1768"/>
    </row>
    <row r="327" spans="1:10" ht="48">
      <c r="A327" s="1770" t="s">
        <v>2407</v>
      </c>
      <c r="B327" s="1771" t="s">
        <v>7</v>
      </c>
      <c r="C327" s="1771">
        <v>97586</v>
      </c>
      <c r="D327" s="1772" t="s">
        <v>2486</v>
      </c>
      <c r="E327" s="1773" t="s">
        <v>2432</v>
      </c>
      <c r="F327" s="1780">
        <v>0.11559999999999999</v>
      </c>
      <c r="G327" s="1774">
        <v>153.35</v>
      </c>
      <c r="H327" s="1775">
        <f t="shared" si="31"/>
        <v>152.41999999999999</v>
      </c>
      <c r="I327" s="1776">
        <f t="shared" si="30"/>
        <v>17.61</v>
      </c>
      <c r="J327" s="1768"/>
    </row>
    <row r="328" spans="1:10" ht="36">
      <c r="A328" s="1770" t="s">
        <v>2407</v>
      </c>
      <c r="B328" s="1771" t="s">
        <v>7</v>
      </c>
      <c r="C328" s="1771">
        <v>97593</v>
      </c>
      <c r="D328" s="1772" t="s">
        <v>2509</v>
      </c>
      <c r="E328" s="1773" t="s">
        <v>2432</v>
      </c>
      <c r="F328" s="1780">
        <v>7.7100000000000002E-2</v>
      </c>
      <c r="G328" s="1774">
        <v>134.5</v>
      </c>
      <c r="H328" s="1775">
        <f t="shared" si="31"/>
        <v>133.69</v>
      </c>
      <c r="I328" s="1776">
        <f t="shared" si="30"/>
        <v>10.3</v>
      </c>
      <c r="J328" s="1768"/>
    </row>
    <row r="329" spans="1:10" ht="24">
      <c r="A329" s="1770" t="s">
        <v>2407</v>
      </c>
      <c r="B329" s="1771" t="s">
        <v>7</v>
      </c>
      <c r="C329" s="1771">
        <v>97611</v>
      </c>
      <c r="D329" s="1772" t="s">
        <v>2510</v>
      </c>
      <c r="E329" s="1773" t="s">
        <v>2432</v>
      </c>
      <c r="F329" s="1780">
        <v>3.85E-2</v>
      </c>
      <c r="G329" s="1774">
        <v>18.77</v>
      </c>
      <c r="H329" s="1775">
        <f t="shared" si="31"/>
        <v>18.649999999999999</v>
      </c>
      <c r="I329" s="1776">
        <f t="shared" si="30"/>
        <v>0.71</v>
      </c>
      <c r="J329" s="1768"/>
    </row>
    <row r="330" spans="1:10" ht="24">
      <c r="A330" s="1770" t="s">
        <v>2407</v>
      </c>
      <c r="B330" s="1771" t="s">
        <v>7</v>
      </c>
      <c r="C330" s="1771">
        <v>97612</v>
      </c>
      <c r="D330" s="1772" t="s">
        <v>2522</v>
      </c>
      <c r="E330" s="1773" t="s">
        <v>2432</v>
      </c>
      <c r="F330" s="1780">
        <v>3.85E-2</v>
      </c>
      <c r="G330" s="1774">
        <v>20.149999999999999</v>
      </c>
      <c r="H330" s="1775">
        <f t="shared" si="31"/>
        <v>20.02</v>
      </c>
      <c r="I330" s="1776">
        <f t="shared" si="30"/>
        <v>0.77</v>
      </c>
      <c r="J330" s="1768"/>
    </row>
    <row r="331" spans="1:10" ht="48">
      <c r="A331" s="1770" t="s">
        <v>2407</v>
      </c>
      <c r="B331" s="1771" t="s">
        <v>7</v>
      </c>
      <c r="C331" s="1771">
        <v>97886</v>
      </c>
      <c r="D331" s="1772" t="s">
        <v>2487</v>
      </c>
      <c r="E331" s="1773" t="s">
        <v>2432</v>
      </c>
      <c r="F331" s="1780">
        <v>3.85E-2</v>
      </c>
      <c r="G331" s="1774">
        <v>173.06</v>
      </c>
      <c r="H331" s="1775">
        <f t="shared" si="31"/>
        <v>172.02</v>
      </c>
      <c r="I331" s="1776">
        <f t="shared" si="30"/>
        <v>6.62</v>
      </c>
      <c r="J331" s="1768"/>
    </row>
    <row r="332" spans="1:10" ht="48">
      <c r="A332" s="1770" t="s">
        <v>2407</v>
      </c>
      <c r="B332" s="1771" t="s">
        <v>7</v>
      </c>
      <c r="C332" s="1771">
        <v>97906</v>
      </c>
      <c r="D332" s="1772" t="s">
        <v>2488</v>
      </c>
      <c r="E332" s="1773" t="s">
        <v>2432</v>
      </c>
      <c r="F332" s="1780">
        <v>1.9300000000000001E-2</v>
      </c>
      <c r="G332" s="1774">
        <v>441.77</v>
      </c>
      <c r="H332" s="1775">
        <f t="shared" si="31"/>
        <v>439.11</v>
      </c>
      <c r="I332" s="1776">
        <f t="shared" si="30"/>
        <v>8.4700000000000006</v>
      </c>
      <c r="J332" s="1768"/>
    </row>
    <row r="333" spans="1:10" ht="48">
      <c r="A333" s="1770" t="s">
        <v>2407</v>
      </c>
      <c r="B333" s="1771" t="s">
        <v>7</v>
      </c>
      <c r="C333" s="1771">
        <v>98283</v>
      </c>
      <c r="D333" s="1772" t="s">
        <v>2523</v>
      </c>
      <c r="E333" s="1773" t="s">
        <v>158</v>
      </c>
      <c r="F333" s="1780">
        <v>0.61670000000000003</v>
      </c>
      <c r="G333" s="1774">
        <v>8.75</v>
      </c>
      <c r="H333" s="1775">
        <f t="shared" si="31"/>
        <v>8.69</v>
      </c>
      <c r="I333" s="1776">
        <f t="shared" si="30"/>
        <v>5.35</v>
      </c>
      <c r="J333" s="1768"/>
    </row>
    <row r="334" spans="1:10" ht="48">
      <c r="A334" s="1770" t="s">
        <v>2407</v>
      </c>
      <c r="B334" s="1771" t="s">
        <v>7</v>
      </c>
      <c r="C334" s="1771">
        <v>98441</v>
      </c>
      <c r="D334" s="1772" t="s">
        <v>2489</v>
      </c>
      <c r="E334" s="1773" t="s">
        <v>1137</v>
      </c>
      <c r="F334" s="1780">
        <v>0.2979</v>
      </c>
      <c r="G334" s="1774">
        <v>159.15</v>
      </c>
      <c r="H334" s="1775">
        <f t="shared" si="31"/>
        <v>158.19</v>
      </c>
      <c r="I334" s="1776">
        <f t="shared" si="30"/>
        <v>47.12</v>
      </c>
      <c r="J334" s="1768"/>
    </row>
    <row r="335" spans="1:10" ht="36">
      <c r="A335" s="1770" t="s">
        <v>2407</v>
      </c>
      <c r="B335" s="1771" t="s">
        <v>7</v>
      </c>
      <c r="C335" s="1771">
        <v>98442</v>
      </c>
      <c r="D335" s="1772" t="s">
        <v>2490</v>
      </c>
      <c r="E335" s="1773" t="s">
        <v>1137</v>
      </c>
      <c r="F335" s="1780">
        <v>0.34289999999999998</v>
      </c>
      <c r="G335" s="1774">
        <v>162.19</v>
      </c>
      <c r="H335" s="1775">
        <f t="shared" si="31"/>
        <v>161.21</v>
      </c>
      <c r="I335" s="1776">
        <f t="shared" si="30"/>
        <v>55.27</v>
      </c>
      <c r="J335" s="1768"/>
    </row>
    <row r="336" spans="1:10" ht="48">
      <c r="A336" s="1770" t="s">
        <v>2407</v>
      </c>
      <c r="B336" s="1771" t="s">
        <v>7</v>
      </c>
      <c r="C336" s="1771">
        <v>98443</v>
      </c>
      <c r="D336" s="1772" t="s">
        <v>2491</v>
      </c>
      <c r="E336" s="1773" t="s">
        <v>1137</v>
      </c>
      <c r="F336" s="1780">
        <v>0.15809999999999999</v>
      </c>
      <c r="G336" s="1774">
        <v>141.4</v>
      </c>
      <c r="H336" s="1775">
        <f t="shared" si="31"/>
        <v>140.55000000000001</v>
      </c>
      <c r="I336" s="1776">
        <f t="shared" si="30"/>
        <v>22.22</v>
      </c>
      <c r="J336" s="1768"/>
    </row>
    <row r="337" spans="1:10" ht="36">
      <c r="A337" s="1770" t="s">
        <v>2407</v>
      </c>
      <c r="B337" s="1771" t="s">
        <v>7</v>
      </c>
      <c r="C337" s="1771">
        <v>98444</v>
      </c>
      <c r="D337" s="1772" t="s">
        <v>2492</v>
      </c>
      <c r="E337" s="1773" t="s">
        <v>1137</v>
      </c>
      <c r="F337" s="1780">
        <v>0.182</v>
      </c>
      <c r="G337" s="1774">
        <v>143.59</v>
      </c>
      <c r="H337" s="1775">
        <f t="shared" si="31"/>
        <v>142.72</v>
      </c>
      <c r="I337" s="1776">
        <f t="shared" si="30"/>
        <v>25.97</v>
      </c>
      <c r="J337" s="1768"/>
    </row>
    <row r="338" spans="1:10" ht="48">
      <c r="A338" s="1770" t="s">
        <v>2407</v>
      </c>
      <c r="B338" s="1771" t="s">
        <v>7</v>
      </c>
      <c r="C338" s="1771">
        <v>98445</v>
      </c>
      <c r="D338" s="1772" t="s">
        <v>2493</v>
      </c>
      <c r="E338" s="1773" t="s">
        <v>1137</v>
      </c>
      <c r="F338" s="1780">
        <v>0.46539999999999998</v>
      </c>
      <c r="G338" s="1774">
        <v>188.28</v>
      </c>
      <c r="H338" s="1775">
        <f t="shared" ref="H338:H347" si="32">IF(E338="H",G338,TRUNC(G338*(1-$K$7),2))</f>
        <v>187.15</v>
      </c>
      <c r="I338" s="1776">
        <f t="shared" si="30"/>
        <v>87.09</v>
      </c>
      <c r="J338" s="1768"/>
    </row>
    <row r="339" spans="1:10" ht="36">
      <c r="A339" s="1770" t="s">
        <v>2407</v>
      </c>
      <c r="B339" s="1771" t="s">
        <v>7</v>
      </c>
      <c r="C339" s="1771">
        <v>98446</v>
      </c>
      <c r="D339" s="1772" t="s">
        <v>2494</v>
      </c>
      <c r="E339" s="1773" t="s">
        <v>1137</v>
      </c>
      <c r="F339" s="1780">
        <v>0.3629</v>
      </c>
      <c r="G339" s="1774">
        <v>236.73</v>
      </c>
      <c r="H339" s="1775">
        <f t="shared" si="32"/>
        <v>235.3</v>
      </c>
      <c r="I339" s="1776">
        <f t="shared" ref="I339:I341" si="33">TRUNC(H339*F339,2)</f>
        <v>85.39</v>
      </c>
      <c r="J339" s="1768"/>
    </row>
    <row r="340" spans="1:10" ht="48">
      <c r="A340" s="1770" t="s">
        <v>2407</v>
      </c>
      <c r="B340" s="1771" t="s">
        <v>7</v>
      </c>
      <c r="C340" s="1771">
        <v>98447</v>
      </c>
      <c r="D340" s="1772" t="s">
        <v>2495</v>
      </c>
      <c r="E340" s="1773" t="s">
        <v>1137</v>
      </c>
      <c r="F340" s="1780">
        <v>0.247</v>
      </c>
      <c r="G340" s="1774">
        <v>163.54</v>
      </c>
      <c r="H340" s="1775">
        <f t="shared" si="32"/>
        <v>162.55000000000001</v>
      </c>
      <c r="I340" s="1776">
        <f t="shared" si="33"/>
        <v>40.14</v>
      </c>
      <c r="J340" s="1768"/>
    </row>
    <row r="341" spans="1:10" ht="36">
      <c r="A341" s="1770" t="s">
        <v>2407</v>
      </c>
      <c r="B341" s="1771" t="s">
        <v>7</v>
      </c>
      <c r="C341" s="1771">
        <v>98448</v>
      </c>
      <c r="D341" s="1772" t="s">
        <v>2496</v>
      </c>
      <c r="E341" s="1773" t="s">
        <v>1137</v>
      </c>
      <c r="F341" s="1780">
        <v>0.19259999999999999</v>
      </c>
      <c r="G341" s="1774">
        <v>201.14</v>
      </c>
      <c r="H341" s="1775">
        <f t="shared" si="32"/>
        <v>199.93</v>
      </c>
      <c r="I341" s="1776">
        <f t="shared" si="33"/>
        <v>38.5</v>
      </c>
      <c r="J341" s="1768"/>
    </row>
    <row r="342" spans="1:10" ht="36">
      <c r="A342" s="1770" t="s">
        <v>2407</v>
      </c>
      <c r="B342" s="1771" t="s">
        <v>7</v>
      </c>
      <c r="C342" s="1771">
        <v>100556</v>
      </c>
      <c r="D342" s="1772" t="s">
        <v>2524</v>
      </c>
      <c r="E342" s="1773" t="s">
        <v>2432</v>
      </c>
      <c r="F342" s="1780">
        <v>1.9300000000000001E-2</v>
      </c>
      <c r="G342" s="1774">
        <v>45.58</v>
      </c>
      <c r="H342" s="1775">
        <f t="shared" si="32"/>
        <v>45.3</v>
      </c>
      <c r="I342" s="1776">
        <f t="shared" si="29"/>
        <v>0.87</v>
      </c>
      <c r="J342" s="1768"/>
    </row>
    <row r="343" spans="1:10" ht="72">
      <c r="A343" s="1770" t="s">
        <v>2407</v>
      </c>
      <c r="B343" s="1771" t="s">
        <v>7</v>
      </c>
      <c r="C343" s="1771">
        <v>100665</v>
      </c>
      <c r="D343" s="1772" t="s">
        <v>2525</v>
      </c>
      <c r="E343" s="1773" t="s">
        <v>1137</v>
      </c>
      <c r="F343" s="1780">
        <v>9.64E-2</v>
      </c>
      <c r="G343" s="1774">
        <v>996.05</v>
      </c>
      <c r="H343" s="1775">
        <f t="shared" si="32"/>
        <v>990.07</v>
      </c>
      <c r="I343" s="1776">
        <f t="shared" si="29"/>
        <v>95.44</v>
      </c>
      <c r="J343" s="1768"/>
    </row>
    <row r="344" spans="1:10" ht="48">
      <c r="A344" s="1770" t="s">
        <v>2407</v>
      </c>
      <c r="B344" s="1771" t="s">
        <v>7</v>
      </c>
      <c r="C344" s="1771">
        <v>101165</v>
      </c>
      <c r="D344" s="1772" t="s">
        <v>2499</v>
      </c>
      <c r="E344" s="1773" t="s">
        <v>1132</v>
      </c>
      <c r="F344" s="1780">
        <v>2.3900000000000001E-2</v>
      </c>
      <c r="G344" s="1774">
        <v>929.85</v>
      </c>
      <c r="H344" s="1775">
        <f t="shared" si="32"/>
        <v>924.27</v>
      </c>
      <c r="I344" s="1776">
        <f t="shared" si="29"/>
        <v>22.09</v>
      </c>
      <c r="J344" s="1768"/>
    </row>
    <row r="345" spans="1:10" ht="48">
      <c r="A345" s="1770" t="s">
        <v>2407</v>
      </c>
      <c r="B345" s="1771" t="s">
        <v>7</v>
      </c>
      <c r="C345" s="1771">
        <v>101875</v>
      </c>
      <c r="D345" s="1772" t="s">
        <v>2526</v>
      </c>
      <c r="E345" s="1773" t="s">
        <v>2432</v>
      </c>
      <c r="F345" s="1780">
        <v>1.9300000000000001E-2</v>
      </c>
      <c r="G345" s="1774">
        <v>499.71</v>
      </c>
      <c r="H345" s="1775">
        <f t="shared" si="32"/>
        <v>496.71</v>
      </c>
      <c r="I345" s="1776">
        <f t="shared" si="29"/>
        <v>9.58</v>
      </c>
      <c r="J345" s="1768"/>
    </row>
    <row r="346" spans="1:10" ht="36">
      <c r="A346" s="1770" t="s">
        <v>2407</v>
      </c>
      <c r="B346" s="1771" t="s">
        <v>7</v>
      </c>
      <c r="C346" s="1771">
        <v>101891</v>
      </c>
      <c r="D346" s="1772" t="s">
        <v>2501</v>
      </c>
      <c r="E346" s="1773" t="s">
        <v>2432</v>
      </c>
      <c r="F346" s="1780">
        <v>0.1734</v>
      </c>
      <c r="G346" s="1774">
        <v>29.68</v>
      </c>
      <c r="H346" s="1775">
        <f t="shared" si="32"/>
        <v>29.5</v>
      </c>
      <c r="I346" s="1776">
        <f t="shared" si="29"/>
        <v>5.1100000000000003</v>
      </c>
      <c r="J346" s="1768"/>
    </row>
    <row r="347" spans="1:10" ht="48">
      <c r="A347" s="1770" t="s">
        <v>2407</v>
      </c>
      <c r="B347" s="1771" t="s">
        <v>7</v>
      </c>
      <c r="C347" s="1771">
        <v>103328</v>
      </c>
      <c r="D347" s="1772" t="s">
        <v>2502</v>
      </c>
      <c r="E347" s="1773" t="s">
        <v>1137</v>
      </c>
      <c r="F347" s="1780">
        <v>0.1023</v>
      </c>
      <c r="G347" s="1774">
        <v>92.79</v>
      </c>
      <c r="H347" s="1775">
        <f t="shared" si="32"/>
        <v>92.23</v>
      </c>
      <c r="I347" s="1776">
        <f t="shared" si="29"/>
        <v>9.43</v>
      </c>
      <c r="J347" s="1768"/>
    </row>
    <row r="348" spans="1:10">
      <c r="A348" s="1917" t="s">
        <v>2408</v>
      </c>
      <c r="B348" s="1918"/>
      <c r="C348" s="1918"/>
      <c r="D348" s="1918"/>
      <c r="E348" s="1918"/>
      <c r="F348" s="1918"/>
      <c r="G348" s="1918"/>
      <c r="H348" s="1919"/>
      <c r="I348" s="1778">
        <f>SUM(I274:I347)</f>
        <v>1186.6699999999998</v>
      </c>
      <c r="J348" s="1768"/>
    </row>
    <row r="349" spans="1:10">
      <c r="A349" s="1920"/>
      <c r="B349" s="1921"/>
      <c r="C349" s="1921"/>
      <c r="D349" s="1921"/>
      <c r="E349" s="1921"/>
      <c r="F349" s="1921"/>
      <c r="G349" s="1921"/>
      <c r="H349" s="1921"/>
      <c r="I349" s="1922"/>
      <c r="J349" s="1768"/>
    </row>
    <row r="350" spans="1:10" ht="27" customHeight="1">
      <c r="A350" s="1757">
        <f>'PLANILHA SEM DESON'!B31</f>
        <v>93214</v>
      </c>
      <c r="B350" s="1923" t="str">
        <f>VLOOKUP(A350,'PLANILHA SEM DESON'!$B$17:$D$1699,2,FALSE)</f>
        <v>EXECUÇÃO DE RESERVATÓRIO ELEVADO DE ÁGUA (1000 LITROS) EM CANTEIRO DE OBRA, APOIADO EM ESTRUTURA DE MADEIRA. AF_02/2016</v>
      </c>
      <c r="C350" s="1924"/>
      <c r="D350" s="1924"/>
      <c r="E350" s="1924"/>
      <c r="F350" s="1924"/>
      <c r="G350" s="1924"/>
      <c r="H350" s="1925"/>
      <c r="I350" s="1758" t="str">
        <f>VLOOKUP(A350,'PLANILHA SEM DESON'!$B$17:$D$1699,3,FALSE)</f>
        <v xml:space="preserve">un </v>
      </c>
      <c r="J350" s="1759">
        <f>I360</f>
        <v>6303.93</v>
      </c>
    </row>
    <row r="351" spans="1:10" ht="24">
      <c r="A351" s="1761" t="s">
        <v>2401</v>
      </c>
      <c r="B351" s="1762" t="s">
        <v>2402</v>
      </c>
      <c r="C351" s="1763" t="s">
        <v>2399</v>
      </c>
      <c r="D351" s="1764" t="s">
        <v>284</v>
      </c>
      <c r="E351" s="1763" t="s">
        <v>193</v>
      </c>
      <c r="F351" s="1765" t="s">
        <v>2403</v>
      </c>
      <c r="G351" s="1763" t="s">
        <v>2404</v>
      </c>
      <c r="H351" s="1766" t="s">
        <v>2405</v>
      </c>
      <c r="I351" s="1767" t="s">
        <v>2406</v>
      </c>
      <c r="J351" s="1768"/>
    </row>
    <row r="352" spans="1:10" ht="24">
      <c r="A352" s="1770" t="s">
        <v>2407</v>
      </c>
      <c r="B352" s="1771" t="s">
        <v>2410</v>
      </c>
      <c r="C352" s="1771">
        <v>34636</v>
      </c>
      <c r="D352" s="1772" t="s">
        <v>2527</v>
      </c>
      <c r="E352" s="1773" t="s">
        <v>2432</v>
      </c>
      <c r="F352" s="1780">
        <v>1</v>
      </c>
      <c r="G352" s="1774">
        <v>459</v>
      </c>
      <c r="H352" s="1775">
        <f t="shared" ref="H352:H359" si="34">IF(E352="H",G352,TRUNC(G352*(1-$K$7),2))</f>
        <v>456.24</v>
      </c>
      <c r="I352" s="1776">
        <f t="shared" ref="I352:I359" si="35">TRUNC(H352*F352,2)</f>
        <v>456.24</v>
      </c>
      <c r="J352" s="1768"/>
    </row>
    <row r="353" spans="1:10" ht="36">
      <c r="A353" s="1770" t="s">
        <v>2407</v>
      </c>
      <c r="B353" s="1771" t="s">
        <v>7</v>
      </c>
      <c r="C353" s="1771">
        <v>89408</v>
      </c>
      <c r="D353" s="1772" t="s">
        <v>2528</v>
      </c>
      <c r="E353" s="1773" t="s">
        <v>2432</v>
      </c>
      <c r="F353" s="1780">
        <v>3</v>
      </c>
      <c r="G353" s="1774">
        <v>8.39</v>
      </c>
      <c r="H353" s="1775">
        <f t="shared" si="34"/>
        <v>8.33</v>
      </c>
      <c r="I353" s="1776">
        <f t="shared" si="35"/>
        <v>24.99</v>
      </c>
      <c r="J353" s="1768"/>
    </row>
    <row r="354" spans="1:10" ht="48">
      <c r="A354" s="1770" t="s">
        <v>2407</v>
      </c>
      <c r="B354" s="1771" t="s">
        <v>7</v>
      </c>
      <c r="C354" s="1771">
        <v>89972</v>
      </c>
      <c r="D354" s="1772" t="s">
        <v>2529</v>
      </c>
      <c r="E354" s="1773" t="s">
        <v>2432</v>
      </c>
      <c r="F354" s="1780">
        <v>1</v>
      </c>
      <c r="G354" s="1774">
        <v>48.53</v>
      </c>
      <c r="H354" s="1775">
        <f t="shared" si="34"/>
        <v>48.23</v>
      </c>
      <c r="I354" s="1776">
        <f t="shared" ref="I354" si="36">TRUNC(H354*F354,2)</f>
        <v>48.23</v>
      </c>
      <c r="J354" s="1768"/>
    </row>
    <row r="355" spans="1:10" ht="48">
      <c r="A355" s="1770" t="s">
        <v>2407</v>
      </c>
      <c r="B355" s="1771" t="s">
        <v>7</v>
      </c>
      <c r="C355" s="1771">
        <v>94648</v>
      </c>
      <c r="D355" s="1772" t="s">
        <v>2530</v>
      </c>
      <c r="E355" s="1773" t="s">
        <v>158</v>
      </c>
      <c r="F355" s="1780">
        <v>19</v>
      </c>
      <c r="G355" s="1774">
        <v>12.02</v>
      </c>
      <c r="H355" s="1775">
        <f t="shared" si="34"/>
        <v>11.94</v>
      </c>
      <c r="I355" s="1776">
        <f t="shared" si="35"/>
        <v>226.86</v>
      </c>
      <c r="J355" s="1768"/>
    </row>
    <row r="356" spans="1:10" ht="48">
      <c r="A356" s="1770" t="s">
        <v>2407</v>
      </c>
      <c r="B356" s="1771" t="s">
        <v>7</v>
      </c>
      <c r="C356" s="1771">
        <v>94688</v>
      </c>
      <c r="D356" s="1772" t="s">
        <v>2531</v>
      </c>
      <c r="E356" s="1773" t="s">
        <v>2432</v>
      </c>
      <c r="F356" s="1780">
        <v>2</v>
      </c>
      <c r="G356" s="1774">
        <v>11.57</v>
      </c>
      <c r="H356" s="1775">
        <f t="shared" si="34"/>
        <v>11.5</v>
      </c>
      <c r="I356" s="1776">
        <f t="shared" si="35"/>
        <v>23</v>
      </c>
      <c r="J356" s="1768"/>
    </row>
    <row r="357" spans="1:10" ht="60">
      <c r="A357" s="1770" t="s">
        <v>2407</v>
      </c>
      <c r="B357" s="1771" t="s">
        <v>7</v>
      </c>
      <c r="C357" s="1771">
        <v>94703</v>
      </c>
      <c r="D357" s="1772" t="s">
        <v>2532</v>
      </c>
      <c r="E357" s="1773" t="s">
        <v>2432</v>
      </c>
      <c r="F357" s="1780">
        <v>1</v>
      </c>
      <c r="G357" s="1774">
        <v>25.49</v>
      </c>
      <c r="H357" s="1775">
        <f t="shared" si="34"/>
        <v>25.33</v>
      </c>
      <c r="I357" s="1776">
        <f t="shared" si="35"/>
        <v>25.33</v>
      </c>
      <c r="J357" s="1768"/>
    </row>
    <row r="358" spans="1:10" ht="24">
      <c r="A358" s="1770" t="s">
        <v>2407</v>
      </c>
      <c r="B358" s="1771" t="s">
        <v>7</v>
      </c>
      <c r="C358" s="1771">
        <v>94796</v>
      </c>
      <c r="D358" s="1772" t="s">
        <v>2533</v>
      </c>
      <c r="E358" s="1773" t="s">
        <v>2432</v>
      </c>
      <c r="F358" s="1780">
        <v>1</v>
      </c>
      <c r="G358" s="1774">
        <v>46.26</v>
      </c>
      <c r="H358" s="1775">
        <f t="shared" si="34"/>
        <v>45.98</v>
      </c>
      <c r="I358" s="1776">
        <f t="shared" si="35"/>
        <v>45.98</v>
      </c>
      <c r="J358" s="1768"/>
    </row>
    <row r="359" spans="1:10" ht="24">
      <c r="A359" s="1770" t="s">
        <v>2407</v>
      </c>
      <c r="B359" s="1771" t="s">
        <v>7</v>
      </c>
      <c r="C359" s="1771">
        <v>98461</v>
      </c>
      <c r="D359" s="1772" t="s">
        <v>2534</v>
      </c>
      <c r="E359" s="1773" t="s">
        <v>2432</v>
      </c>
      <c r="F359" s="1780">
        <v>1</v>
      </c>
      <c r="G359" s="1774">
        <v>5486.22</v>
      </c>
      <c r="H359" s="1775">
        <f t="shared" si="34"/>
        <v>5453.3</v>
      </c>
      <c r="I359" s="1776">
        <f t="shared" si="35"/>
        <v>5453.3</v>
      </c>
      <c r="J359" s="1768"/>
    </row>
    <row r="360" spans="1:10">
      <c r="A360" s="1917" t="s">
        <v>2408</v>
      </c>
      <c r="B360" s="1918"/>
      <c r="C360" s="1918"/>
      <c r="D360" s="1918"/>
      <c r="E360" s="1918"/>
      <c r="F360" s="1918"/>
      <c r="G360" s="1918"/>
      <c r="H360" s="1919"/>
      <c r="I360" s="1778">
        <f>SUM(I352:I359)</f>
        <v>6303.93</v>
      </c>
      <c r="J360" s="1768"/>
    </row>
    <row r="361" spans="1:10">
      <c r="A361" s="1920"/>
      <c r="B361" s="1921"/>
      <c r="C361" s="1921"/>
      <c r="D361" s="1921"/>
      <c r="E361" s="1921"/>
      <c r="F361" s="1921"/>
      <c r="G361" s="1921"/>
      <c r="H361" s="1921"/>
      <c r="I361" s="1922"/>
      <c r="J361" s="1768"/>
    </row>
    <row r="362" spans="1:10" ht="26.25" customHeight="1">
      <c r="A362" s="1757">
        <f>'PLANILHA SEM DESON'!B32</f>
        <v>95635</v>
      </c>
      <c r="B362" s="1923" t="str">
        <f>VLOOKUP(A362,'PLANILHA SEM DESON'!$B$17:$D$1699,2,FALSE)</f>
        <v>KIT CAVALETE PARA MEDIÇÃO DE ÁGUA - ENTRADA PRINCIPAL, EM PVC SOLDÁVEL DN 25 (¾")  FORNECIMENTO E INSTALAÇÃO (EXCLUSIVE HIDRÔMETRO). AF_11/2016</v>
      </c>
      <c r="C362" s="1924"/>
      <c r="D362" s="1924"/>
      <c r="E362" s="1924"/>
      <c r="F362" s="1924"/>
      <c r="G362" s="1924"/>
      <c r="H362" s="1925"/>
      <c r="I362" s="1758" t="str">
        <f>VLOOKUP(A362,'PLANILHA SEM DESON'!$B$17:$D$1699,3,FALSE)</f>
        <v xml:space="preserve">un </v>
      </c>
      <c r="J362" s="1759">
        <f>I370</f>
        <v>284.27999999999997</v>
      </c>
    </row>
    <row r="363" spans="1:10" ht="24">
      <c r="A363" s="1761" t="s">
        <v>2401</v>
      </c>
      <c r="B363" s="1762" t="s">
        <v>2402</v>
      </c>
      <c r="C363" s="1763" t="s">
        <v>2399</v>
      </c>
      <c r="D363" s="1764" t="s">
        <v>284</v>
      </c>
      <c r="E363" s="1763" t="s">
        <v>193</v>
      </c>
      <c r="F363" s="1765" t="s">
        <v>2403</v>
      </c>
      <c r="G363" s="1763" t="s">
        <v>2404</v>
      </c>
      <c r="H363" s="1766" t="s">
        <v>2405</v>
      </c>
      <c r="I363" s="1767" t="s">
        <v>2406</v>
      </c>
      <c r="J363" s="1768"/>
    </row>
    <row r="364" spans="1:10" ht="24">
      <c r="A364" s="1770" t="s">
        <v>2407</v>
      </c>
      <c r="B364" s="1771" t="s">
        <v>2410</v>
      </c>
      <c r="C364" s="1771">
        <v>3729</v>
      </c>
      <c r="D364" s="1772" t="s">
        <v>2535</v>
      </c>
      <c r="E364" s="1773" t="s">
        <v>2432</v>
      </c>
      <c r="F364" s="1780">
        <v>1</v>
      </c>
      <c r="G364" s="1774">
        <v>194.34</v>
      </c>
      <c r="H364" s="1775">
        <f t="shared" ref="H364:H369" si="37">IF(E364="H",G364,TRUNC(G364*(1-$K$7),2))</f>
        <v>193.17</v>
      </c>
      <c r="I364" s="1776">
        <f t="shared" ref="I364:I369" si="38">TRUNC(H364*F364,2)</f>
        <v>193.17</v>
      </c>
      <c r="J364" s="1768"/>
    </row>
    <row r="365" spans="1:10">
      <c r="A365" s="1770" t="s">
        <v>2407</v>
      </c>
      <c r="B365" s="1771" t="s">
        <v>2410</v>
      </c>
      <c r="C365" s="1771">
        <v>20080</v>
      </c>
      <c r="D365" s="1772" t="s">
        <v>2536</v>
      </c>
      <c r="E365" s="1773" t="s">
        <v>2432</v>
      </c>
      <c r="F365" s="1780">
        <v>0.30599999999999999</v>
      </c>
      <c r="G365" s="1774">
        <v>25.09</v>
      </c>
      <c r="H365" s="1775">
        <f t="shared" si="37"/>
        <v>24.93</v>
      </c>
      <c r="I365" s="1776">
        <f t="shared" si="38"/>
        <v>7.62</v>
      </c>
      <c r="J365" s="1768"/>
    </row>
    <row r="366" spans="1:10" ht="24">
      <c r="A366" s="1770" t="s">
        <v>2407</v>
      </c>
      <c r="B366" s="1771" t="s">
        <v>2410</v>
      </c>
      <c r="C366" s="1771">
        <v>20083</v>
      </c>
      <c r="D366" s="1772" t="s">
        <v>2537</v>
      </c>
      <c r="E366" s="1773" t="s">
        <v>2432</v>
      </c>
      <c r="F366" s="1780">
        <v>7.1999999999999995E-2</v>
      </c>
      <c r="G366" s="1774">
        <v>87.08</v>
      </c>
      <c r="H366" s="1775">
        <f t="shared" si="37"/>
        <v>86.55</v>
      </c>
      <c r="I366" s="1776">
        <f t="shared" si="38"/>
        <v>6.23</v>
      </c>
      <c r="J366" s="1768"/>
    </row>
    <row r="367" spans="1:10">
      <c r="A367" s="1770" t="s">
        <v>2407</v>
      </c>
      <c r="B367" s="1771" t="s">
        <v>2410</v>
      </c>
      <c r="C367" s="1771">
        <v>38383</v>
      </c>
      <c r="D367" s="1772" t="s">
        <v>2538</v>
      </c>
      <c r="E367" s="1773" t="s">
        <v>2432</v>
      </c>
      <c r="F367" s="1780">
        <v>0.39600000000000002</v>
      </c>
      <c r="G367" s="1774">
        <v>2.56</v>
      </c>
      <c r="H367" s="1775">
        <f t="shared" si="37"/>
        <v>2.54</v>
      </c>
      <c r="I367" s="1776">
        <f t="shared" si="38"/>
        <v>1</v>
      </c>
      <c r="J367" s="1768"/>
    </row>
    <row r="368" spans="1:10" ht="24">
      <c r="A368" s="1770" t="s">
        <v>2407</v>
      </c>
      <c r="B368" s="1771" t="s">
        <v>7</v>
      </c>
      <c r="C368" s="1771">
        <v>88248</v>
      </c>
      <c r="D368" s="1772" t="s">
        <v>101</v>
      </c>
      <c r="E368" s="1773" t="s">
        <v>387</v>
      </c>
      <c r="F368" s="1780">
        <v>1.7024999999999999</v>
      </c>
      <c r="G368" s="1774">
        <v>20.16</v>
      </c>
      <c r="H368" s="1775">
        <f t="shared" si="37"/>
        <v>20.16</v>
      </c>
      <c r="I368" s="1776">
        <f t="shared" si="38"/>
        <v>34.32</v>
      </c>
      <c r="J368" s="1768"/>
    </row>
    <row r="369" spans="1:10" ht="24">
      <c r="A369" s="1770" t="s">
        <v>2407</v>
      </c>
      <c r="B369" s="1771" t="s">
        <v>7</v>
      </c>
      <c r="C369" s="1771">
        <v>88267</v>
      </c>
      <c r="D369" s="1772" t="s">
        <v>102</v>
      </c>
      <c r="E369" s="1773" t="s">
        <v>387</v>
      </c>
      <c r="F369" s="1780">
        <v>1.7024999999999999</v>
      </c>
      <c r="G369" s="1774">
        <v>24.64</v>
      </c>
      <c r="H369" s="1775">
        <f t="shared" si="37"/>
        <v>24.64</v>
      </c>
      <c r="I369" s="1776">
        <f t="shared" si="38"/>
        <v>41.94</v>
      </c>
      <c r="J369" s="1768"/>
    </row>
    <row r="370" spans="1:10">
      <c r="A370" s="1917" t="s">
        <v>2408</v>
      </c>
      <c r="B370" s="1918"/>
      <c r="C370" s="1918"/>
      <c r="D370" s="1918"/>
      <c r="E370" s="1918"/>
      <c r="F370" s="1918"/>
      <c r="G370" s="1918"/>
      <c r="H370" s="1919"/>
      <c r="I370" s="1778">
        <f>SUM(I364:I369)</f>
        <v>284.27999999999997</v>
      </c>
      <c r="J370" s="1768"/>
    </row>
    <row r="371" spans="1:10">
      <c r="A371" s="1920"/>
      <c r="B371" s="1921"/>
      <c r="C371" s="1921"/>
      <c r="D371" s="1921"/>
      <c r="E371" s="1921"/>
      <c r="F371" s="1921"/>
      <c r="G371" s="1921"/>
      <c r="H371" s="1921"/>
      <c r="I371" s="1922"/>
      <c r="J371" s="1768"/>
    </row>
    <row r="372" spans="1:10">
      <c r="A372" s="1757">
        <f>'PLANILHA SEM DESON'!B33</f>
        <v>95675</v>
      </c>
      <c r="B372" s="1923" t="str">
        <f>VLOOKUP(A372,'PLANILHA SEM DESON'!$B$17:$D$1699,2,FALSE)</f>
        <v>HIDRÔMETRO DN 25 (¾ ), 5,0 M³/H FORNECIMENTO E INSTALAÇÃO. AF_11/2016</v>
      </c>
      <c r="C372" s="1924"/>
      <c r="D372" s="1924"/>
      <c r="E372" s="1924"/>
      <c r="F372" s="1924"/>
      <c r="G372" s="1924"/>
      <c r="H372" s="1925"/>
      <c r="I372" s="1758" t="str">
        <f>VLOOKUP(A372,'PLANILHA SEM DESON'!$B$17:$D$1699,3,FALSE)</f>
        <v xml:space="preserve">un </v>
      </c>
      <c r="J372" s="1759">
        <f>I378</f>
        <v>142.94999999999999</v>
      </c>
    </row>
    <row r="373" spans="1:10" ht="24">
      <c r="A373" s="1761" t="s">
        <v>2401</v>
      </c>
      <c r="B373" s="1762" t="s">
        <v>2402</v>
      </c>
      <c r="C373" s="1763" t="s">
        <v>2399</v>
      </c>
      <c r="D373" s="1764" t="s">
        <v>284</v>
      </c>
      <c r="E373" s="1763" t="s">
        <v>193</v>
      </c>
      <c r="F373" s="1765" t="s">
        <v>2403</v>
      </c>
      <c r="G373" s="1763" t="s">
        <v>2404</v>
      </c>
      <c r="H373" s="1766" t="s">
        <v>2405</v>
      </c>
      <c r="I373" s="1767" t="s">
        <v>2406</v>
      </c>
      <c r="J373" s="1768"/>
    </row>
    <row r="374" spans="1:10">
      <c r="A374" s="1770" t="s">
        <v>2407</v>
      </c>
      <c r="B374" s="1771" t="s">
        <v>2410</v>
      </c>
      <c r="C374" s="1771">
        <v>3148</v>
      </c>
      <c r="D374" s="1772" t="s">
        <v>2539</v>
      </c>
      <c r="E374" s="1773" t="s">
        <v>2432</v>
      </c>
      <c r="F374" s="1780">
        <v>1.9800000000000002E-2</v>
      </c>
      <c r="G374" s="1774">
        <v>17.989999999999998</v>
      </c>
      <c r="H374" s="1775">
        <f>IF(E374="H",G374,TRUNC(G374*(1-$K$7),2))</f>
        <v>17.88</v>
      </c>
      <c r="I374" s="1776">
        <f t="shared" ref="I374:I377" si="39">TRUNC(H374*F374,2)</f>
        <v>0.35</v>
      </c>
      <c r="J374" s="1768"/>
    </row>
    <row r="375" spans="1:10" ht="48">
      <c r="A375" s="1770" t="s">
        <v>2407</v>
      </c>
      <c r="B375" s="1771" t="s">
        <v>2410</v>
      </c>
      <c r="C375" s="1771">
        <v>12774</v>
      </c>
      <c r="D375" s="1772" t="s">
        <v>2540</v>
      </c>
      <c r="E375" s="1773" t="s">
        <v>2432</v>
      </c>
      <c r="F375" s="1780">
        <v>1</v>
      </c>
      <c r="G375" s="1774">
        <v>119.77</v>
      </c>
      <c r="H375" s="1775">
        <f>IF(E375="H",G375,TRUNC(G375*(1-$K$7),2))</f>
        <v>119.05</v>
      </c>
      <c r="I375" s="1776">
        <f t="shared" si="39"/>
        <v>119.05</v>
      </c>
      <c r="J375" s="1768"/>
    </row>
    <row r="376" spans="1:10" ht="24">
      <c r="A376" s="1770" t="s">
        <v>2407</v>
      </c>
      <c r="B376" s="1771" t="s">
        <v>7</v>
      </c>
      <c r="C376" s="1771">
        <v>88248</v>
      </c>
      <c r="D376" s="1772" t="s">
        <v>101</v>
      </c>
      <c r="E376" s="1773" t="s">
        <v>387</v>
      </c>
      <c r="F376" s="1780">
        <v>0.52590000000000003</v>
      </c>
      <c r="G376" s="1774">
        <v>20.16</v>
      </c>
      <c r="H376" s="1775">
        <f>IF(E376="H",G376,TRUNC(G376*(1-$K$7),2))</f>
        <v>20.16</v>
      </c>
      <c r="I376" s="1776">
        <f t="shared" si="39"/>
        <v>10.6</v>
      </c>
      <c r="J376" s="1768"/>
    </row>
    <row r="377" spans="1:10" ht="24">
      <c r="A377" s="1770" t="s">
        <v>2407</v>
      </c>
      <c r="B377" s="1771" t="s">
        <v>7</v>
      </c>
      <c r="C377" s="1771">
        <v>88267</v>
      </c>
      <c r="D377" s="1772" t="s">
        <v>102</v>
      </c>
      <c r="E377" s="1773" t="s">
        <v>387</v>
      </c>
      <c r="F377" s="1780">
        <v>0.52590000000000003</v>
      </c>
      <c r="G377" s="1774">
        <v>24.64</v>
      </c>
      <c r="H377" s="1775">
        <f>IF(E377="H",G377,TRUNC(G377*(1-$K$7),2))</f>
        <v>24.64</v>
      </c>
      <c r="I377" s="1776">
        <f t="shared" si="39"/>
        <v>12.95</v>
      </c>
      <c r="J377" s="1768"/>
    </row>
    <row r="378" spans="1:10">
      <c r="A378" s="1917" t="s">
        <v>2408</v>
      </c>
      <c r="B378" s="1918"/>
      <c r="C378" s="1918"/>
      <c r="D378" s="1918"/>
      <c r="E378" s="1918"/>
      <c r="F378" s="1918"/>
      <c r="G378" s="1918"/>
      <c r="H378" s="1919"/>
      <c r="I378" s="1778">
        <f>SUM(I374:I377)</f>
        <v>142.94999999999999</v>
      </c>
      <c r="J378" s="1768"/>
    </row>
    <row r="379" spans="1:10">
      <c r="A379" s="1920"/>
      <c r="B379" s="1921"/>
      <c r="C379" s="1921"/>
      <c r="D379" s="1921"/>
      <c r="E379" s="1921"/>
      <c r="F379" s="1921"/>
      <c r="G379" s="1921"/>
      <c r="H379" s="1921"/>
      <c r="I379" s="1922"/>
      <c r="J379" s="1768"/>
    </row>
    <row r="380" spans="1:10" ht="24" customHeight="1">
      <c r="A380" s="1757">
        <f>'PLANILHA SEM DESON'!B36</f>
        <v>101113</v>
      </c>
      <c r="B380" s="1923" t="str">
        <f>VLOOKUP(A380,'PLANILHA SEM DESON'!$B$17:$D$1699,2,FALSE)</f>
        <v>ALARGAMENTO DE BASE DE TUBULÃO A CÉU ABERTO, ESCAVAÇÃO MANUAL, CONCRETO USINADO E LANÇADO COM BOMBA OU DIRETAMENTE DO CAMINHÃO. AF_05/2020</v>
      </c>
      <c r="C380" s="1924"/>
      <c r="D380" s="1924"/>
      <c r="E380" s="1924"/>
      <c r="F380" s="1924"/>
      <c r="G380" s="1924"/>
      <c r="H380" s="1925"/>
      <c r="I380" s="1758" t="str">
        <f>VLOOKUP(A380,'PLANILHA SEM DESON'!$B$17:$D$1699,3,FALSE)</f>
        <v>m³</v>
      </c>
      <c r="J380" s="1759">
        <f>I391</f>
        <v>1015.5199999999999</v>
      </c>
    </row>
    <row r="381" spans="1:10" ht="24">
      <c r="A381" s="1761" t="s">
        <v>2401</v>
      </c>
      <c r="B381" s="1762" t="s">
        <v>2402</v>
      </c>
      <c r="C381" s="1763" t="s">
        <v>2399</v>
      </c>
      <c r="D381" s="1764" t="s">
        <v>284</v>
      </c>
      <c r="E381" s="1763" t="s">
        <v>193</v>
      </c>
      <c r="F381" s="1765" t="s">
        <v>2403</v>
      </c>
      <c r="G381" s="1763" t="s">
        <v>2404</v>
      </c>
      <c r="H381" s="1766" t="s">
        <v>2405</v>
      </c>
      <c r="I381" s="1767" t="s">
        <v>2406</v>
      </c>
      <c r="J381" s="1768"/>
    </row>
    <row r="382" spans="1:10" ht="36">
      <c r="A382" s="1770" t="s">
        <v>2407</v>
      </c>
      <c r="B382" s="1771" t="s">
        <v>2410</v>
      </c>
      <c r="C382" s="1771">
        <v>38405</v>
      </c>
      <c r="D382" s="1772" t="s">
        <v>2541</v>
      </c>
      <c r="E382" s="1773" t="s">
        <v>1132</v>
      </c>
      <c r="F382" s="1780">
        <v>1.24</v>
      </c>
      <c r="G382" s="1774">
        <v>635.30999999999995</v>
      </c>
      <c r="H382" s="1775">
        <f t="shared" ref="H382:H390" si="40">IF(E382="H",G382,TRUNC(G382*(1-$K$7),2))</f>
        <v>631.49</v>
      </c>
      <c r="I382" s="1776">
        <f t="shared" ref="I382:I390" si="41">TRUNC(H382*F382,2)</f>
        <v>783.04</v>
      </c>
      <c r="J382" s="1768"/>
    </row>
    <row r="383" spans="1:10">
      <c r="A383" s="1770" t="s">
        <v>2407</v>
      </c>
      <c r="B383" s="1771" t="s">
        <v>7</v>
      </c>
      <c r="C383" s="1771">
        <v>88309</v>
      </c>
      <c r="D383" s="1772" t="s">
        <v>103</v>
      </c>
      <c r="E383" s="1773" t="s">
        <v>387</v>
      </c>
      <c r="F383" s="1780">
        <v>0.377</v>
      </c>
      <c r="G383" s="1774">
        <v>24.59</v>
      </c>
      <c r="H383" s="1775">
        <f t="shared" si="40"/>
        <v>24.59</v>
      </c>
      <c r="I383" s="1776">
        <f t="shared" ref="I383:I384" si="42">TRUNC(H383*F383,2)</f>
        <v>9.27</v>
      </c>
      <c r="J383" s="1768"/>
    </row>
    <row r="384" spans="1:10">
      <c r="A384" s="1770" t="s">
        <v>2407</v>
      </c>
      <c r="B384" s="1771" t="s">
        <v>7</v>
      </c>
      <c r="C384" s="1771">
        <v>88313</v>
      </c>
      <c r="D384" s="1772" t="s">
        <v>2542</v>
      </c>
      <c r="E384" s="1773" t="s">
        <v>387</v>
      </c>
      <c r="F384" s="1780">
        <v>4.7530000000000001</v>
      </c>
      <c r="G384" s="1774">
        <v>17.98</v>
      </c>
      <c r="H384" s="1775">
        <f t="shared" si="40"/>
        <v>17.98</v>
      </c>
      <c r="I384" s="1776">
        <f t="shared" si="42"/>
        <v>85.45</v>
      </c>
      <c r="J384" s="1768"/>
    </row>
    <row r="385" spans="1:10">
      <c r="A385" s="1770" t="s">
        <v>2407</v>
      </c>
      <c r="B385" s="1771" t="s">
        <v>7</v>
      </c>
      <c r="C385" s="1771">
        <v>88316</v>
      </c>
      <c r="D385" s="1772" t="s">
        <v>66</v>
      </c>
      <c r="E385" s="1773" t="s">
        <v>387</v>
      </c>
      <c r="F385" s="1780">
        <v>0.56499999999999995</v>
      </c>
      <c r="G385" s="1774">
        <v>19.45</v>
      </c>
      <c r="H385" s="1775">
        <f t="shared" si="40"/>
        <v>19.45</v>
      </c>
      <c r="I385" s="1776">
        <f t="shared" si="41"/>
        <v>10.98</v>
      </c>
      <c r="J385" s="1768"/>
    </row>
    <row r="386" spans="1:10" ht="24">
      <c r="A386" s="1770" t="s">
        <v>2407</v>
      </c>
      <c r="B386" s="1771" t="s">
        <v>7</v>
      </c>
      <c r="C386" s="1771">
        <v>90776</v>
      </c>
      <c r="D386" s="1772" t="s">
        <v>119</v>
      </c>
      <c r="E386" s="1773" t="s">
        <v>387</v>
      </c>
      <c r="F386" s="1780">
        <v>1.1879999999999999</v>
      </c>
      <c r="G386" s="1774">
        <v>28.39</v>
      </c>
      <c r="H386" s="1775">
        <f t="shared" si="40"/>
        <v>28.39</v>
      </c>
      <c r="I386" s="1776">
        <f t="shared" si="41"/>
        <v>33.72</v>
      </c>
      <c r="J386" s="1768"/>
    </row>
    <row r="387" spans="1:10" ht="24">
      <c r="A387" s="1770" t="s">
        <v>2407</v>
      </c>
      <c r="B387" s="1771" t="s">
        <v>7</v>
      </c>
      <c r="C387" s="1771">
        <v>90778</v>
      </c>
      <c r="D387" s="1772" t="s">
        <v>2543</v>
      </c>
      <c r="E387" s="1773" t="s">
        <v>387</v>
      </c>
      <c r="F387" s="1780">
        <v>0.39600000000000002</v>
      </c>
      <c r="G387" s="1774">
        <v>117.21</v>
      </c>
      <c r="H387" s="1775">
        <f t="shared" si="40"/>
        <v>117.21</v>
      </c>
      <c r="I387" s="1776">
        <f t="shared" si="41"/>
        <v>46.41</v>
      </c>
      <c r="J387" s="1768"/>
    </row>
    <row r="388" spans="1:10" ht="36">
      <c r="A388" s="1770" t="s">
        <v>2407</v>
      </c>
      <c r="B388" s="1771" t="s">
        <v>7</v>
      </c>
      <c r="C388" s="1771">
        <v>97913</v>
      </c>
      <c r="D388" s="1772" t="s">
        <v>2544</v>
      </c>
      <c r="E388" s="1773" t="s">
        <v>2545</v>
      </c>
      <c r="F388" s="1780">
        <v>0.375</v>
      </c>
      <c r="G388" s="1774">
        <v>2.87</v>
      </c>
      <c r="H388" s="1775">
        <f t="shared" si="40"/>
        <v>2.85</v>
      </c>
      <c r="I388" s="1776">
        <f t="shared" si="41"/>
        <v>1.06</v>
      </c>
      <c r="J388" s="1768"/>
    </row>
    <row r="389" spans="1:10" ht="24">
      <c r="A389" s="1770" t="s">
        <v>2407</v>
      </c>
      <c r="B389" s="1771" t="s">
        <v>7</v>
      </c>
      <c r="C389" s="1771">
        <v>100206</v>
      </c>
      <c r="D389" s="1772" t="s">
        <v>2546</v>
      </c>
      <c r="E389" s="1773" t="s">
        <v>2545</v>
      </c>
      <c r="F389" s="1780">
        <v>3.7499999999999999E-2</v>
      </c>
      <c r="G389" s="1774">
        <v>960.32</v>
      </c>
      <c r="H389" s="1775">
        <f t="shared" si="40"/>
        <v>954.55</v>
      </c>
      <c r="I389" s="1776">
        <f t="shared" si="41"/>
        <v>35.79</v>
      </c>
      <c r="J389" s="1768"/>
    </row>
    <row r="390" spans="1:10" ht="60">
      <c r="A390" s="1770" t="s">
        <v>2407</v>
      </c>
      <c r="B390" s="1771" t="s">
        <v>7</v>
      </c>
      <c r="C390" s="1771">
        <v>100973</v>
      </c>
      <c r="D390" s="1772" t="s">
        <v>2547</v>
      </c>
      <c r="E390" s="1773" t="s">
        <v>1132</v>
      </c>
      <c r="F390" s="1780">
        <v>1.25</v>
      </c>
      <c r="G390" s="1774">
        <v>7.89</v>
      </c>
      <c r="H390" s="1775">
        <f t="shared" si="40"/>
        <v>7.84</v>
      </c>
      <c r="I390" s="1776">
        <f t="shared" si="41"/>
        <v>9.8000000000000007</v>
      </c>
      <c r="J390" s="1768"/>
    </row>
    <row r="391" spans="1:10">
      <c r="A391" s="1917" t="s">
        <v>2408</v>
      </c>
      <c r="B391" s="1918"/>
      <c r="C391" s="1918"/>
      <c r="D391" s="1918"/>
      <c r="E391" s="1918"/>
      <c r="F391" s="1918"/>
      <c r="G391" s="1918"/>
      <c r="H391" s="1919"/>
      <c r="I391" s="1778">
        <f>SUM(I382:I390)</f>
        <v>1015.5199999999999</v>
      </c>
      <c r="J391" s="1768"/>
    </row>
    <row r="392" spans="1:10">
      <c r="A392" s="1920"/>
      <c r="B392" s="1921"/>
      <c r="C392" s="1921"/>
      <c r="D392" s="1921"/>
      <c r="E392" s="1921"/>
      <c r="F392" s="1921"/>
      <c r="G392" s="1921"/>
      <c r="H392" s="1921"/>
      <c r="I392" s="1922"/>
      <c r="J392" s="1768"/>
    </row>
    <row r="393" spans="1:10">
      <c r="A393" s="1757">
        <f>'PLANILHA SEM DESON'!B37</f>
        <v>96527</v>
      </c>
      <c r="B393" s="1923" t="str">
        <f>VLOOKUP(A393,'PLANILHA SEM DESON'!$B$17:$D$1699,2,FALSE)</f>
        <v>ESCAVAÇÃO MANUAL DE VALA PARA VIGA BALDRAME, COM PREVISÃO DE FÔRMA. AF_06/2017</v>
      </c>
      <c r="C393" s="1924"/>
      <c r="D393" s="1924"/>
      <c r="E393" s="1924"/>
      <c r="F393" s="1924"/>
      <c r="G393" s="1924"/>
      <c r="H393" s="1925"/>
      <c r="I393" s="1758" t="str">
        <f>VLOOKUP(A393,'PLANILHA SEM DESON'!$B$17:$D$1699,3,FALSE)</f>
        <v>m³</v>
      </c>
      <c r="J393" s="1759">
        <f>I397</f>
        <v>116.35</v>
      </c>
    </row>
    <row r="394" spans="1:10" ht="24">
      <c r="A394" s="1761" t="s">
        <v>2401</v>
      </c>
      <c r="B394" s="1762" t="s">
        <v>2402</v>
      </c>
      <c r="C394" s="1763" t="s">
        <v>2399</v>
      </c>
      <c r="D394" s="1764" t="s">
        <v>284</v>
      </c>
      <c r="E394" s="1763" t="s">
        <v>193</v>
      </c>
      <c r="F394" s="1765" t="s">
        <v>2403</v>
      </c>
      <c r="G394" s="1763" t="s">
        <v>2404</v>
      </c>
      <c r="H394" s="1766" t="s">
        <v>2405</v>
      </c>
      <c r="I394" s="1767" t="s">
        <v>2406</v>
      </c>
      <c r="J394" s="1768"/>
    </row>
    <row r="395" spans="1:10">
      <c r="A395" s="1770" t="s">
        <v>2407</v>
      </c>
      <c r="B395" s="1771" t="s">
        <v>7</v>
      </c>
      <c r="C395" s="1771">
        <v>88309</v>
      </c>
      <c r="D395" s="1772" t="s">
        <v>103</v>
      </c>
      <c r="E395" s="1773" t="s">
        <v>387</v>
      </c>
      <c r="F395" s="1780">
        <v>1.4590000000000001</v>
      </c>
      <c r="G395" s="1774">
        <v>24.59</v>
      </c>
      <c r="H395" s="1775">
        <f>IF(E395="H",G395,TRUNC(G395*(1-$K$7),2))</f>
        <v>24.59</v>
      </c>
      <c r="I395" s="1776">
        <f t="shared" ref="I395:I396" si="43">TRUNC(H395*F395,2)</f>
        <v>35.869999999999997</v>
      </c>
      <c r="J395" s="1768"/>
    </row>
    <row r="396" spans="1:10">
      <c r="A396" s="1770" t="s">
        <v>2407</v>
      </c>
      <c r="B396" s="1771" t="s">
        <v>7</v>
      </c>
      <c r="C396" s="1771">
        <v>88316</v>
      </c>
      <c r="D396" s="1772" t="s">
        <v>66</v>
      </c>
      <c r="E396" s="1773" t="s">
        <v>387</v>
      </c>
      <c r="F396" s="1780">
        <v>4.1379999999999999</v>
      </c>
      <c r="G396" s="1774">
        <v>19.45</v>
      </c>
      <c r="H396" s="1775">
        <f>IF(E396="H",G396,TRUNC(G396*(1-$K$7),2))</f>
        <v>19.45</v>
      </c>
      <c r="I396" s="1776">
        <f t="shared" si="43"/>
        <v>80.48</v>
      </c>
      <c r="J396" s="1768"/>
    </row>
    <row r="397" spans="1:10">
      <c r="A397" s="1917" t="s">
        <v>2408</v>
      </c>
      <c r="B397" s="1918"/>
      <c r="C397" s="1918"/>
      <c r="D397" s="1918"/>
      <c r="E397" s="1918"/>
      <c r="F397" s="1918"/>
      <c r="G397" s="1918"/>
      <c r="H397" s="1919"/>
      <c r="I397" s="1778">
        <f>SUM(I395:I396)</f>
        <v>116.35</v>
      </c>
      <c r="J397" s="1768"/>
    </row>
    <row r="398" spans="1:10">
      <c r="A398" s="1920"/>
      <c r="B398" s="1921"/>
      <c r="C398" s="1921"/>
      <c r="D398" s="1921"/>
      <c r="E398" s="1921"/>
      <c r="F398" s="1921"/>
      <c r="G398" s="1921"/>
      <c r="H398" s="1921"/>
      <c r="I398" s="1922"/>
      <c r="J398" s="1768"/>
    </row>
    <row r="399" spans="1:10">
      <c r="A399" s="1757">
        <f>'PLANILHA SEM DESON'!B38</f>
        <v>96995</v>
      </c>
      <c r="B399" s="1923" t="str">
        <f>VLOOKUP(A399,'PLANILHA SEM DESON'!$B$17:$D$1699,2,FALSE)</f>
        <v>REATERRO MANUAL APILOADO COM SOQUETE. AF_10/2017</v>
      </c>
      <c r="C399" s="1924"/>
      <c r="D399" s="1924"/>
      <c r="E399" s="1924"/>
      <c r="F399" s="1924"/>
      <c r="G399" s="1924"/>
      <c r="H399" s="1925"/>
      <c r="I399" s="1758" t="str">
        <f>VLOOKUP(A399,'PLANILHA SEM DESON'!$B$17:$D$1699,3,FALSE)</f>
        <v>m³</v>
      </c>
      <c r="J399" s="1759">
        <f>I402</f>
        <v>46.65</v>
      </c>
    </row>
    <row r="400" spans="1:10" ht="24">
      <c r="A400" s="1761" t="s">
        <v>2401</v>
      </c>
      <c r="B400" s="1762" t="s">
        <v>2402</v>
      </c>
      <c r="C400" s="1763" t="s">
        <v>2399</v>
      </c>
      <c r="D400" s="1764" t="s">
        <v>284</v>
      </c>
      <c r="E400" s="1763" t="s">
        <v>193</v>
      </c>
      <c r="F400" s="1765" t="s">
        <v>2403</v>
      </c>
      <c r="G400" s="1763" t="s">
        <v>2404</v>
      </c>
      <c r="H400" s="1766" t="s">
        <v>2405</v>
      </c>
      <c r="I400" s="1767" t="s">
        <v>2406</v>
      </c>
      <c r="J400" s="1768"/>
    </row>
    <row r="401" spans="1:10">
      <c r="A401" s="1770" t="s">
        <v>2407</v>
      </c>
      <c r="B401" s="1771" t="s">
        <v>7</v>
      </c>
      <c r="C401" s="1771">
        <v>88316</v>
      </c>
      <c r="D401" s="1772" t="s">
        <v>66</v>
      </c>
      <c r="E401" s="1773" t="s">
        <v>387</v>
      </c>
      <c r="F401" s="1780">
        <v>2.3986000000000001</v>
      </c>
      <c r="G401" s="1774">
        <v>19.45</v>
      </c>
      <c r="H401" s="1775">
        <f>IF(E401="H",G401,TRUNC(G401*(1-$K$7),2))</f>
        <v>19.45</v>
      </c>
      <c r="I401" s="1776">
        <f t="shared" ref="I401" si="44">TRUNC(H401*F401,2)</f>
        <v>46.65</v>
      </c>
      <c r="J401" s="1768"/>
    </row>
    <row r="402" spans="1:10">
      <c r="A402" s="1917" t="s">
        <v>2408</v>
      </c>
      <c r="B402" s="1918"/>
      <c r="C402" s="1918"/>
      <c r="D402" s="1918"/>
      <c r="E402" s="1918"/>
      <c r="F402" s="1918"/>
      <c r="G402" s="1918"/>
      <c r="H402" s="1919"/>
      <c r="I402" s="1778">
        <f>SUM(I401:I401)</f>
        <v>46.65</v>
      </c>
      <c r="J402" s="1768"/>
    </row>
    <row r="403" spans="1:10">
      <c r="A403" s="1920"/>
      <c r="B403" s="1921"/>
      <c r="C403" s="1921"/>
      <c r="D403" s="1921"/>
      <c r="E403" s="1921"/>
      <c r="F403" s="1921"/>
      <c r="G403" s="1921"/>
      <c r="H403" s="1921"/>
      <c r="I403" s="1922"/>
      <c r="J403" s="1768"/>
    </row>
    <row r="404" spans="1:10" ht="24" customHeight="1">
      <c r="A404" s="1757">
        <f>'PLANILHA SEM DESON'!B42</f>
        <v>96536</v>
      </c>
      <c r="B404" s="1923" t="str">
        <f>VLOOKUP(A404,'PLANILHA SEM DESON'!$B$17:$D$1699,2,FALSE)</f>
        <v>FABRICAÇÃO, MONTAGEM E DESMONTAGEM DE FÔRMA PARA VIGA BALDRAME, EM MADEIRA SERRADA, E=25 MM, 4 UTILIZAÇÕES. AF_06/2017</v>
      </c>
      <c r="C404" s="1924"/>
      <c r="D404" s="1924"/>
      <c r="E404" s="1924"/>
      <c r="F404" s="1924"/>
      <c r="G404" s="1924"/>
      <c r="H404" s="1925"/>
      <c r="I404" s="1758" t="str">
        <f>VLOOKUP(A404,'PLANILHA SEM DESON'!$B$17:$D$1699,3,FALSE)</f>
        <v>m²</v>
      </c>
      <c r="J404" s="1759">
        <f>I416</f>
        <v>75.63000000000001</v>
      </c>
    </row>
    <row r="405" spans="1:10" ht="24">
      <c r="A405" s="1761" t="s">
        <v>2401</v>
      </c>
      <c r="B405" s="1762" t="s">
        <v>2402</v>
      </c>
      <c r="C405" s="1763" t="s">
        <v>2399</v>
      </c>
      <c r="D405" s="1764" t="s">
        <v>284</v>
      </c>
      <c r="E405" s="1763" t="s">
        <v>193</v>
      </c>
      <c r="F405" s="1765" t="s">
        <v>2403</v>
      </c>
      <c r="G405" s="1763" t="s">
        <v>2404</v>
      </c>
      <c r="H405" s="1766" t="s">
        <v>2405</v>
      </c>
      <c r="I405" s="1767" t="s">
        <v>2406</v>
      </c>
      <c r="J405" s="1768"/>
    </row>
    <row r="406" spans="1:10" ht="24">
      <c r="A406" s="1770" t="s">
        <v>2407</v>
      </c>
      <c r="B406" s="1771" t="s">
        <v>2410</v>
      </c>
      <c r="C406" s="1771">
        <v>2692</v>
      </c>
      <c r="D406" s="1772" t="s">
        <v>1679</v>
      </c>
      <c r="E406" s="1773" t="s">
        <v>424</v>
      </c>
      <c r="F406" s="1780">
        <v>1.7000000000000001E-2</v>
      </c>
      <c r="G406" s="1774">
        <v>8.84</v>
      </c>
      <c r="H406" s="1775">
        <f t="shared" ref="H406:H415" si="45">IF(E406="H",G406,TRUNC(G406*(1-$K$7),2))</f>
        <v>8.7799999999999994</v>
      </c>
      <c r="I406" s="1776">
        <f t="shared" ref="I406:I415" si="46">TRUNC(H406*F406,2)</f>
        <v>0.14000000000000001</v>
      </c>
      <c r="J406" s="1768"/>
    </row>
    <row r="407" spans="1:10" ht="24">
      <c r="A407" s="1770" t="s">
        <v>2407</v>
      </c>
      <c r="B407" s="1771" t="s">
        <v>2410</v>
      </c>
      <c r="C407" s="1771">
        <v>4491</v>
      </c>
      <c r="D407" s="1772" t="s">
        <v>1390</v>
      </c>
      <c r="E407" s="1773" t="s">
        <v>158</v>
      </c>
      <c r="F407" s="1780">
        <v>0.60499999999999998</v>
      </c>
      <c r="G407" s="1774">
        <v>11.67</v>
      </c>
      <c r="H407" s="1775">
        <f t="shared" si="45"/>
        <v>11.59</v>
      </c>
      <c r="I407" s="1776">
        <f t="shared" ref="I407:I409" si="47">TRUNC(H407*F407,2)</f>
        <v>7.01</v>
      </c>
      <c r="J407" s="1768"/>
    </row>
    <row r="408" spans="1:10" ht="24">
      <c r="A408" s="1770" t="s">
        <v>2407</v>
      </c>
      <c r="B408" s="1771" t="s">
        <v>2410</v>
      </c>
      <c r="C408" s="1771">
        <v>4517</v>
      </c>
      <c r="D408" s="1772" t="s">
        <v>1680</v>
      </c>
      <c r="E408" s="1773" t="s">
        <v>158</v>
      </c>
      <c r="F408" s="1780">
        <v>0.56699999999999995</v>
      </c>
      <c r="G408" s="1774">
        <v>4.08</v>
      </c>
      <c r="H408" s="1775">
        <f t="shared" si="45"/>
        <v>4.05</v>
      </c>
      <c r="I408" s="1776">
        <f t="shared" si="47"/>
        <v>2.29</v>
      </c>
      <c r="J408" s="1768"/>
    </row>
    <row r="409" spans="1:10" ht="24">
      <c r="A409" s="1770" t="s">
        <v>2407</v>
      </c>
      <c r="B409" s="1771" t="s">
        <v>2410</v>
      </c>
      <c r="C409" s="1771">
        <v>5073</v>
      </c>
      <c r="D409" s="1772" t="s">
        <v>2548</v>
      </c>
      <c r="E409" s="1773" t="s">
        <v>1145</v>
      </c>
      <c r="F409" s="1780">
        <v>2.5999999999999999E-2</v>
      </c>
      <c r="G409" s="1774">
        <v>26.39</v>
      </c>
      <c r="H409" s="1775">
        <f t="shared" si="45"/>
        <v>26.23</v>
      </c>
      <c r="I409" s="1776">
        <f t="shared" si="47"/>
        <v>0.68</v>
      </c>
      <c r="J409" s="1768"/>
    </row>
    <row r="410" spans="1:10" ht="36">
      <c r="A410" s="1770" t="s">
        <v>2407</v>
      </c>
      <c r="B410" s="1771" t="s">
        <v>2410</v>
      </c>
      <c r="C410" s="1771">
        <v>6189</v>
      </c>
      <c r="D410" s="1772" t="s">
        <v>1392</v>
      </c>
      <c r="E410" s="1773" t="s">
        <v>158</v>
      </c>
      <c r="F410" s="1780">
        <v>1.008</v>
      </c>
      <c r="G410" s="1774">
        <v>26.29</v>
      </c>
      <c r="H410" s="1775">
        <f t="shared" si="45"/>
        <v>26.13</v>
      </c>
      <c r="I410" s="1776">
        <f t="shared" si="46"/>
        <v>26.33</v>
      </c>
      <c r="J410" s="1768"/>
    </row>
    <row r="411" spans="1:10" ht="24">
      <c r="A411" s="1770" t="s">
        <v>2407</v>
      </c>
      <c r="B411" s="1771" t="s">
        <v>2410</v>
      </c>
      <c r="C411" s="1771">
        <v>40304</v>
      </c>
      <c r="D411" s="1772" t="s">
        <v>2549</v>
      </c>
      <c r="E411" s="1773" t="s">
        <v>1145</v>
      </c>
      <c r="F411" s="1780">
        <v>3.4000000000000002E-2</v>
      </c>
      <c r="G411" s="1774">
        <v>31.95</v>
      </c>
      <c r="H411" s="1775">
        <f t="shared" si="45"/>
        <v>31.75</v>
      </c>
      <c r="I411" s="1776">
        <f t="shared" si="46"/>
        <v>1.07</v>
      </c>
      <c r="J411" s="1768"/>
    </row>
    <row r="412" spans="1:10" ht="24">
      <c r="A412" s="1770" t="s">
        <v>2407</v>
      </c>
      <c r="B412" s="1771" t="s">
        <v>7</v>
      </c>
      <c r="C412" s="1771">
        <v>88239</v>
      </c>
      <c r="D412" s="1772" t="s">
        <v>423</v>
      </c>
      <c r="E412" s="1773" t="s">
        <v>387</v>
      </c>
      <c r="F412" s="1780">
        <v>0.47099999999999997</v>
      </c>
      <c r="G412" s="1774">
        <v>20.55</v>
      </c>
      <c r="H412" s="1775">
        <f t="shared" si="45"/>
        <v>20.55</v>
      </c>
      <c r="I412" s="1776">
        <f t="shared" si="46"/>
        <v>9.67</v>
      </c>
      <c r="J412" s="1768"/>
    </row>
    <row r="413" spans="1:10" ht="24">
      <c r="A413" s="1770" t="s">
        <v>2407</v>
      </c>
      <c r="B413" s="1771" t="s">
        <v>7</v>
      </c>
      <c r="C413" s="1771">
        <v>88262</v>
      </c>
      <c r="D413" s="1772" t="s">
        <v>411</v>
      </c>
      <c r="E413" s="1773" t="s">
        <v>387</v>
      </c>
      <c r="F413" s="1780">
        <v>1.145</v>
      </c>
      <c r="G413" s="1774">
        <v>24.32</v>
      </c>
      <c r="H413" s="1775">
        <f t="shared" si="45"/>
        <v>24.32</v>
      </c>
      <c r="I413" s="1776">
        <f t="shared" si="46"/>
        <v>27.84</v>
      </c>
      <c r="J413" s="1768"/>
    </row>
    <row r="414" spans="1:10" ht="36">
      <c r="A414" s="1770" t="s">
        <v>2407</v>
      </c>
      <c r="B414" s="1771" t="s">
        <v>7</v>
      </c>
      <c r="C414" s="1771">
        <v>91692</v>
      </c>
      <c r="D414" s="1772" t="s">
        <v>2424</v>
      </c>
      <c r="E414" s="1773" t="s">
        <v>425</v>
      </c>
      <c r="F414" s="1780">
        <v>1.7000000000000001E-2</v>
      </c>
      <c r="G414" s="1774">
        <v>20.41</v>
      </c>
      <c r="H414" s="1775">
        <f t="shared" si="45"/>
        <v>20.28</v>
      </c>
      <c r="I414" s="1776">
        <f t="shared" si="46"/>
        <v>0.34</v>
      </c>
      <c r="J414" s="1768"/>
    </row>
    <row r="415" spans="1:10" ht="36">
      <c r="A415" s="1770" t="s">
        <v>2407</v>
      </c>
      <c r="B415" s="1771" t="s">
        <v>7</v>
      </c>
      <c r="C415" s="1771">
        <v>91693</v>
      </c>
      <c r="D415" s="1772" t="s">
        <v>2425</v>
      </c>
      <c r="E415" s="1773" t="s">
        <v>545</v>
      </c>
      <c r="F415" s="1780">
        <v>1.4E-2</v>
      </c>
      <c r="G415" s="1774">
        <v>18.84</v>
      </c>
      <c r="H415" s="1775">
        <f t="shared" si="45"/>
        <v>18.72</v>
      </c>
      <c r="I415" s="1776">
        <f t="shared" si="46"/>
        <v>0.26</v>
      </c>
      <c r="J415" s="1768"/>
    </row>
    <row r="416" spans="1:10">
      <c r="A416" s="1917" t="s">
        <v>2408</v>
      </c>
      <c r="B416" s="1918"/>
      <c r="C416" s="1918"/>
      <c r="D416" s="1918"/>
      <c r="E416" s="1918"/>
      <c r="F416" s="1918"/>
      <c r="G416" s="1918"/>
      <c r="H416" s="1919"/>
      <c r="I416" s="1778">
        <f>SUM(I406:I415)</f>
        <v>75.63000000000001</v>
      </c>
      <c r="J416" s="1768"/>
    </row>
    <row r="417" spans="1:10">
      <c r="A417" s="1920"/>
      <c r="B417" s="1921"/>
      <c r="C417" s="1921"/>
      <c r="D417" s="1921"/>
      <c r="E417" s="1921"/>
      <c r="F417" s="1921"/>
      <c r="G417" s="1921"/>
      <c r="H417" s="1921"/>
      <c r="I417" s="1922"/>
      <c r="J417" s="1768"/>
    </row>
    <row r="418" spans="1:10" ht="22.5" customHeight="1">
      <c r="A418" s="1757">
        <f>'PLANILHA SEM DESON'!B43</f>
        <v>94965</v>
      </c>
      <c r="B418" s="1923" t="str">
        <f>VLOOKUP(A418,'PLANILHA SEM DESON'!$B$17:$D$1699,2,FALSE)</f>
        <v>CONCRETO FCK = 25MPA, TRAÇO 1:2,3:2,7 (CIMENTO/ AREIA MÉDIA/ BRITA 1)- PREPARO MECÂNICO COM BETONEIRA 400 L. AF_05/2021</v>
      </c>
      <c r="C418" s="1924"/>
      <c r="D418" s="1924"/>
      <c r="E418" s="1924"/>
      <c r="F418" s="1924"/>
      <c r="G418" s="1924"/>
      <c r="H418" s="1925"/>
      <c r="I418" s="1758" t="str">
        <f>VLOOKUP(A418,'PLANILHA SEM DESON'!$B$17:$D$1699,3,FALSE)</f>
        <v>m³</v>
      </c>
      <c r="J418" s="1759">
        <f>I427</f>
        <v>563.42999999999995</v>
      </c>
    </row>
    <row r="419" spans="1:10" ht="24">
      <c r="A419" s="1761" t="s">
        <v>2401</v>
      </c>
      <c r="B419" s="1762" t="s">
        <v>2402</v>
      </c>
      <c r="C419" s="1763" t="s">
        <v>2399</v>
      </c>
      <c r="D419" s="1764" t="s">
        <v>284</v>
      </c>
      <c r="E419" s="1763" t="s">
        <v>193</v>
      </c>
      <c r="F419" s="1765" t="s">
        <v>2403</v>
      </c>
      <c r="G419" s="1763" t="s">
        <v>2404</v>
      </c>
      <c r="H419" s="1766" t="s">
        <v>2405</v>
      </c>
      <c r="I419" s="1767" t="s">
        <v>2406</v>
      </c>
      <c r="J419" s="1768"/>
    </row>
    <row r="420" spans="1:10" ht="24">
      <c r="A420" s="1770" t="s">
        <v>2407</v>
      </c>
      <c r="B420" s="1771" t="s">
        <v>2410</v>
      </c>
      <c r="C420" s="1771">
        <v>370</v>
      </c>
      <c r="D420" s="1772" t="s">
        <v>2550</v>
      </c>
      <c r="E420" s="1773" t="s">
        <v>1132</v>
      </c>
      <c r="F420" s="1780">
        <v>0.72289999999999999</v>
      </c>
      <c r="G420" s="1774">
        <v>125</v>
      </c>
      <c r="H420" s="1775">
        <f t="shared" ref="H420:H426" si="48">IF(E420="H",G420,TRUNC(G420*(1-$K$7),2))</f>
        <v>124.25</v>
      </c>
      <c r="I420" s="1776">
        <f t="shared" ref="I420:I426" si="49">TRUNC(H420*F420,2)</f>
        <v>89.82</v>
      </c>
      <c r="J420" s="1768"/>
    </row>
    <row r="421" spans="1:10">
      <c r="A421" s="1770" t="s">
        <v>2407</v>
      </c>
      <c r="B421" s="1771" t="s">
        <v>2410</v>
      </c>
      <c r="C421" s="1771">
        <v>1379</v>
      </c>
      <c r="D421" s="1772" t="s">
        <v>2551</v>
      </c>
      <c r="E421" s="1773" t="s">
        <v>1145</v>
      </c>
      <c r="F421" s="1780">
        <v>362.65789999999998</v>
      </c>
      <c r="G421" s="1774">
        <v>0.94</v>
      </c>
      <c r="H421" s="1775">
        <f t="shared" si="48"/>
        <v>0.93</v>
      </c>
      <c r="I421" s="1776">
        <f t="shared" si="49"/>
        <v>337.27</v>
      </c>
      <c r="J421" s="1768"/>
    </row>
    <row r="422" spans="1:10" ht="24">
      <c r="A422" s="1770" t="s">
        <v>2407</v>
      </c>
      <c r="B422" s="1771" t="s">
        <v>2410</v>
      </c>
      <c r="C422" s="1771">
        <v>4721</v>
      </c>
      <c r="D422" s="1772" t="s">
        <v>2552</v>
      </c>
      <c r="E422" s="1773" t="s">
        <v>1132</v>
      </c>
      <c r="F422" s="1780">
        <v>0.59340000000000004</v>
      </c>
      <c r="G422" s="1774">
        <v>107.61</v>
      </c>
      <c r="H422" s="1775">
        <f t="shared" si="48"/>
        <v>106.96</v>
      </c>
      <c r="I422" s="1776">
        <f t="shared" si="49"/>
        <v>63.47</v>
      </c>
      <c r="J422" s="1768"/>
    </row>
    <row r="423" spans="1:10">
      <c r="A423" s="1770" t="s">
        <v>2407</v>
      </c>
      <c r="B423" s="1771" t="s">
        <v>7</v>
      </c>
      <c r="C423" s="1771">
        <v>88316</v>
      </c>
      <c r="D423" s="1772" t="s">
        <v>66</v>
      </c>
      <c r="E423" s="1773" t="s">
        <v>387</v>
      </c>
      <c r="F423" s="1780">
        <v>2.3117000000000001</v>
      </c>
      <c r="G423" s="1774">
        <v>19.45</v>
      </c>
      <c r="H423" s="1775">
        <f t="shared" si="48"/>
        <v>19.45</v>
      </c>
      <c r="I423" s="1776">
        <f t="shared" si="49"/>
        <v>44.96</v>
      </c>
      <c r="J423" s="1768"/>
    </row>
    <row r="424" spans="1:10" ht="24">
      <c r="A424" s="1770" t="s">
        <v>2407</v>
      </c>
      <c r="B424" s="1771" t="s">
        <v>7</v>
      </c>
      <c r="C424" s="1771">
        <v>88377</v>
      </c>
      <c r="D424" s="1772" t="s">
        <v>2553</v>
      </c>
      <c r="E424" s="1773" t="s">
        <v>387</v>
      </c>
      <c r="F424" s="1780">
        <v>1.4637</v>
      </c>
      <c r="G424" s="1774">
        <v>17.78</v>
      </c>
      <c r="H424" s="1775">
        <f t="shared" si="48"/>
        <v>17.78</v>
      </c>
      <c r="I424" s="1776">
        <f t="shared" si="49"/>
        <v>26.02</v>
      </c>
      <c r="J424" s="1768"/>
    </row>
    <row r="425" spans="1:10" ht="48">
      <c r="A425" s="1770" t="s">
        <v>2407</v>
      </c>
      <c r="B425" s="1771" t="s">
        <v>7</v>
      </c>
      <c r="C425" s="1771">
        <v>88830</v>
      </c>
      <c r="D425" s="1772" t="s">
        <v>2554</v>
      </c>
      <c r="E425" s="1773" t="s">
        <v>425</v>
      </c>
      <c r="F425" s="1780">
        <v>0.75339999999999996</v>
      </c>
      <c r="G425" s="1774">
        <v>2.1800000000000002</v>
      </c>
      <c r="H425" s="1775">
        <f t="shared" si="48"/>
        <v>2.16</v>
      </c>
      <c r="I425" s="1776">
        <f t="shared" si="49"/>
        <v>1.62</v>
      </c>
      <c r="J425" s="1768"/>
    </row>
    <row r="426" spans="1:10" ht="48">
      <c r="A426" s="1770" t="s">
        <v>2407</v>
      </c>
      <c r="B426" s="1771" t="s">
        <v>7</v>
      </c>
      <c r="C426" s="1771">
        <v>88831</v>
      </c>
      <c r="D426" s="1772" t="s">
        <v>2555</v>
      </c>
      <c r="E426" s="1773" t="s">
        <v>545</v>
      </c>
      <c r="F426" s="1780">
        <v>0.71030000000000004</v>
      </c>
      <c r="G426" s="1774">
        <v>0.4</v>
      </c>
      <c r="H426" s="1775">
        <f t="shared" si="48"/>
        <v>0.39</v>
      </c>
      <c r="I426" s="1776">
        <f t="shared" si="49"/>
        <v>0.27</v>
      </c>
      <c r="J426" s="1768"/>
    </row>
    <row r="427" spans="1:10">
      <c r="A427" s="1917" t="s">
        <v>2408</v>
      </c>
      <c r="B427" s="1918"/>
      <c r="C427" s="1918"/>
      <c r="D427" s="1918"/>
      <c r="E427" s="1918"/>
      <c r="F427" s="1918"/>
      <c r="G427" s="1918"/>
      <c r="H427" s="1919"/>
      <c r="I427" s="1778">
        <f>SUM(I420:I426)</f>
        <v>563.42999999999995</v>
      </c>
      <c r="J427" s="1768"/>
    </row>
    <row r="428" spans="1:10">
      <c r="A428" s="1920"/>
      <c r="B428" s="1921"/>
      <c r="C428" s="1921"/>
      <c r="D428" s="1921"/>
      <c r="E428" s="1921"/>
      <c r="F428" s="1921"/>
      <c r="G428" s="1921"/>
      <c r="H428" s="1921"/>
      <c r="I428" s="1922"/>
      <c r="J428" s="1768"/>
    </row>
    <row r="429" spans="1:10" ht="24" customHeight="1">
      <c r="A429" s="1757">
        <f>'PLANILHA SEM DESON'!B44</f>
        <v>103673</v>
      </c>
      <c r="B429" s="1923" t="str">
        <f>VLOOKUP(A429,'PLANILHA SEM DESON'!$B$17:$D$1699,2,FALSE)</f>
        <v>LANÇAMENTO COM USO DE BOMBA, ADENSAMENTO E ACABAMENTO DE CONCRETO EM ESTRUTURAS. AF_02/2022</v>
      </c>
      <c r="C429" s="1924"/>
      <c r="D429" s="1924"/>
      <c r="E429" s="1924"/>
      <c r="F429" s="1924"/>
      <c r="G429" s="1924"/>
      <c r="H429" s="1925"/>
      <c r="I429" s="1758" t="str">
        <f>VLOOKUP(A429,'PLANILHA SEM DESON'!$B$17:$D$1699,3,FALSE)</f>
        <v>m³</v>
      </c>
      <c r="J429" s="1759">
        <f>I436</f>
        <v>37.31</v>
      </c>
    </row>
    <row r="430" spans="1:10" ht="24">
      <c r="A430" s="1761" t="s">
        <v>2401</v>
      </c>
      <c r="B430" s="1762" t="s">
        <v>2402</v>
      </c>
      <c r="C430" s="1763" t="s">
        <v>2399</v>
      </c>
      <c r="D430" s="1764" t="s">
        <v>284</v>
      </c>
      <c r="E430" s="1763" t="s">
        <v>193</v>
      </c>
      <c r="F430" s="1765" t="s">
        <v>2403</v>
      </c>
      <c r="G430" s="1763" t="s">
        <v>2404</v>
      </c>
      <c r="H430" s="1766" t="s">
        <v>2405</v>
      </c>
      <c r="I430" s="1767" t="s">
        <v>2406</v>
      </c>
      <c r="J430" s="1768"/>
    </row>
    <row r="431" spans="1:10" ht="24">
      <c r="A431" s="1770" t="s">
        <v>2407</v>
      </c>
      <c r="B431" s="1771" t="s">
        <v>7</v>
      </c>
      <c r="C431" s="1771">
        <v>88262</v>
      </c>
      <c r="D431" s="1772" t="s">
        <v>411</v>
      </c>
      <c r="E431" s="1773" t="s">
        <v>387</v>
      </c>
      <c r="F431" s="1780">
        <v>0.224</v>
      </c>
      <c r="G431" s="1774">
        <v>24.32</v>
      </c>
      <c r="H431" s="1775">
        <f>IF(E431="H",G431,TRUNC(G431*(1-$K$7),2))</f>
        <v>24.32</v>
      </c>
      <c r="I431" s="1776">
        <f t="shared" ref="I431:I435" si="50">TRUNC(H431*F431,2)</f>
        <v>5.44</v>
      </c>
      <c r="J431" s="1768"/>
    </row>
    <row r="432" spans="1:10">
      <c r="A432" s="1770" t="s">
        <v>2407</v>
      </c>
      <c r="B432" s="1771" t="s">
        <v>7</v>
      </c>
      <c r="C432" s="1771">
        <v>88309</v>
      </c>
      <c r="D432" s="1772" t="s">
        <v>103</v>
      </c>
      <c r="E432" s="1773" t="s">
        <v>387</v>
      </c>
      <c r="F432" s="1780">
        <v>0.224</v>
      </c>
      <c r="G432" s="1774">
        <v>24.59</v>
      </c>
      <c r="H432" s="1775">
        <f>IF(E432="H",G432,TRUNC(G432*(1-$K$7),2))</f>
        <v>24.59</v>
      </c>
      <c r="I432" s="1776">
        <f t="shared" si="50"/>
        <v>5.5</v>
      </c>
      <c r="J432" s="1768"/>
    </row>
    <row r="433" spans="1:10">
      <c r="A433" s="1770" t="s">
        <v>2407</v>
      </c>
      <c r="B433" s="1771" t="s">
        <v>7</v>
      </c>
      <c r="C433" s="1771">
        <v>88316</v>
      </c>
      <c r="D433" s="1772" t="s">
        <v>66</v>
      </c>
      <c r="E433" s="1773" t="s">
        <v>387</v>
      </c>
      <c r="F433" s="1780">
        <v>1.345</v>
      </c>
      <c r="G433" s="1774">
        <v>19.45</v>
      </c>
      <c r="H433" s="1775">
        <f>IF(E433="H",G433,TRUNC(G433*(1-$K$7),2))</f>
        <v>19.45</v>
      </c>
      <c r="I433" s="1776">
        <f t="shared" si="50"/>
        <v>26.16</v>
      </c>
      <c r="J433" s="1768"/>
    </row>
    <row r="434" spans="1:10" ht="36">
      <c r="A434" s="1770" t="s">
        <v>2407</v>
      </c>
      <c r="B434" s="1771" t="s">
        <v>7</v>
      </c>
      <c r="C434" s="1771">
        <v>90586</v>
      </c>
      <c r="D434" s="1772" t="s">
        <v>2556</v>
      </c>
      <c r="E434" s="1773" t="s">
        <v>425</v>
      </c>
      <c r="F434" s="1780">
        <v>9.4E-2</v>
      </c>
      <c r="G434" s="1774">
        <v>1.52</v>
      </c>
      <c r="H434" s="1775">
        <f>IF(E434="H",G434,TRUNC(G434*(1-$K$7),2))</f>
        <v>1.51</v>
      </c>
      <c r="I434" s="1776">
        <f t="shared" si="50"/>
        <v>0.14000000000000001</v>
      </c>
      <c r="J434" s="1768"/>
    </row>
    <row r="435" spans="1:10" ht="36">
      <c r="A435" s="1770" t="s">
        <v>2407</v>
      </c>
      <c r="B435" s="1771" t="s">
        <v>7</v>
      </c>
      <c r="C435" s="1771">
        <v>90587</v>
      </c>
      <c r="D435" s="1772" t="s">
        <v>2557</v>
      </c>
      <c r="E435" s="1773" t="s">
        <v>545</v>
      </c>
      <c r="F435" s="1780">
        <v>0.13</v>
      </c>
      <c r="G435" s="1774">
        <v>0.56000000000000005</v>
      </c>
      <c r="H435" s="1775">
        <f>IF(E435="H",G435,TRUNC(G435*(1-$K$7),2))</f>
        <v>0.55000000000000004</v>
      </c>
      <c r="I435" s="1776">
        <f t="shared" si="50"/>
        <v>7.0000000000000007E-2</v>
      </c>
      <c r="J435" s="1768"/>
    </row>
    <row r="436" spans="1:10">
      <c r="A436" s="1917" t="s">
        <v>2408</v>
      </c>
      <c r="B436" s="1918"/>
      <c r="C436" s="1918"/>
      <c r="D436" s="1918"/>
      <c r="E436" s="1918"/>
      <c r="F436" s="1918"/>
      <c r="G436" s="1918"/>
      <c r="H436" s="1919"/>
      <c r="I436" s="1778">
        <f>SUM(I431:I435)</f>
        <v>37.31</v>
      </c>
      <c r="J436" s="1768"/>
    </row>
    <row r="437" spans="1:10">
      <c r="A437" s="1920"/>
      <c r="B437" s="1921"/>
      <c r="C437" s="1921"/>
      <c r="D437" s="1921"/>
      <c r="E437" s="1921"/>
      <c r="F437" s="1921"/>
      <c r="G437" s="1921"/>
      <c r="H437" s="1921"/>
      <c r="I437" s="1922"/>
      <c r="J437" s="1768"/>
    </row>
    <row r="438" spans="1:10" ht="30" customHeight="1">
      <c r="A438" s="1757">
        <f>'PLANILHA SEM DESON'!B45</f>
        <v>96543</v>
      </c>
      <c r="B438" s="1923" t="str">
        <f>VLOOKUP(A438,'PLANILHA SEM DESON'!$B$17:$D$1699,2,FALSE)</f>
        <v>ARMAÇÃO DE BLOCO, VIGA BALDRAME E SAPATA UTILIZANDO AÇO CA-60 DE 5 MM- MONTAGEM. AF_06/2017</v>
      </c>
      <c r="C438" s="1924"/>
      <c r="D438" s="1924"/>
      <c r="E438" s="1924"/>
      <c r="F438" s="1924"/>
      <c r="G438" s="1924"/>
      <c r="H438" s="1925"/>
      <c r="I438" s="1758" t="str">
        <f>VLOOKUP(A438,'PLANILHA SEM DESON'!$B$17:$D$1699,3,FALSE)</f>
        <v>Kg</v>
      </c>
      <c r="J438" s="1759">
        <f>I445</f>
        <v>19.29</v>
      </c>
    </row>
    <row r="439" spans="1:10" ht="24">
      <c r="A439" s="1761" t="s">
        <v>2401</v>
      </c>
      <c r="B439" s="1762" t="s">
        <v>2402</v>
      </c>
      <c r="C439" s="1763" t="s">
        <v>2399</v>
      </c>
      <c r="D439" s="1764" t="s">
        <v>284</v>
      </c>
      <c r="E439" s="1763" t="s">
        <v>193</v>
      </c>
      <c r="F439" s="1765" t="s">
        <v>2403</v>
      </c>
      <c r="G439" s="1763" t="s">
        <v>2404</v>
      </c>
      <c r="H439" s="1766" t="s">
        <v>2405</v>
      </c>
      <c r="I439" s="1767" t="s">
        <v>2406</v>
      </c>
      <c r="J439" s="1768"/>
    </row>
    <row r="440" spans="1:10" ht="36">
      <c r="A440" s="1770" t="s">
        <v>2407</v>
      </c>
      <c r="B440" s="1771" t="s">
        <v>2410</v>
      </c>
      <c r="C440" s="1771">
        <v>39017</v>
      </c>
      <c r="D440" s="1772" t="s">
        <v>2558</v>
      </c>
      <c r="E440" s="1773" t="s">
        <v>2432</v>
      </c>
      <c r="F440" s="1780">
        <v>1.9664999999999999</v>
      </c>
      <c r="G440" s="1774">
        <v>0.22</v>
      </c>
      <c r="H440" s="1775">
        <f>IF(E440="H",G440,TRUNC(G440*(1-$K$7),2))</f>
        <v>0.21</v>
      </c>
      <c r="I440" s="1776">
        <f t="shared" ref="I440:I444" si="51">TRUNC(H440*F440,2)</f>
        <v>0.41</v>
      </c>
      <c r="J440" s="1768"/>
    </row>
    <row r="441" spans="1:10" ht="24">
      <c r="A441" s="1770" t="s">
        <v>2407</v>
      </c>
      <c r="B441" s="1771" t="s">
        <v>2410</v>
      </c>
      <c r="C441" s="1771">
        <v>43132</v>
      </c>
      <c r="D441" s="1772" t="s">
        <v>2559</v>
      </c>
      <c r="E441" s="1773" t="s">
        <v>1340</v>
      </c>
      <c r="F441" s="1780">
        <v>2.5000000000000001E-2</v>
      </c>
      <c r="G441" s="1774">
        <v>24.9</v>
      </c>
      <c r="H441" s="1775">
        <f>IF(E441="H",G441,TRUNC(G441*(1-$K$7),2))</f>
        <v>24.75</v>
      </c>
      <c r="I441" s="1776">
        <f t="shared" si="51"/>
        <v>0.61</v>
      </c>
      <c r="J441" s="1768"/>
    </row>
    <row r="442" spans="1:10" ht="24">
      <c r="A442" s="1770" t="s">
        <v>2407</v>
      </c>
      <c r="B442" s="1771" t="s">
        <v>7</v>
      </c>
      <c r="C442" s="1771">
        <v>88238</v>
      </c>
      <c r="D442" s="1772" t="s">
        <v>1173</v>
      </c>
      <c r="E442" s="1773" t="s">
        <v>387</v>
      </c>
      <c r="F442" s="1780">
        <v>6.3500000000000001E-2</v>
      </c>
      <c r="G442" s="1774">
        <v>19.41</v>
      </c>
      <c r="H442" s="1775">
        <f>IF(E442="H",G442,TRUNC(G442*(1-$K$7),2))</f>
        <v>19.41</v>
      </c>
      <c r="I442" s="1776">
        <f t="shared" si="51"/>
        <v>1.23</v>
      </c>
      <c r="J442" s="1768"/>
    </row>
    <row r="443" spans="1:10">
      <c r="A443" s="1770" t="s">
        <v>2407</v>
      </c>
      <c r="B443" s="1771" t="s">
        <v>7</v>
      </c>
      <c r="C443" s="1771">
        <v>88245</v>
      </c>
      <c r="D443" s="1772" t="s">
        <v>1174</v>
      </c>
      <c r="E443" s="1773" t="s">
        <v>387</v>
      </c>
      <c r="F443" s="1780">
        <v>0.19450000000000001</v>
      </c>
      <c r="G443" s="1774">
        <v>24.44</v>
      </c>
      <c r="H443" s="1775">
        <f>IF(E443="H",G443,TRUNC(G443*(1-$K$7),2))</f>
        <v>24.44</v>
      </c>
      <c r="I443" s="1776">
        <f t="shared" si="51"/>
        <v>4.75</v>
      </c>
      <c r="J443" s="1768"/>
    </row>
    <row r="444" spans="1:10" ht="24">
      <c r="A444" s="1770" t="s">
        <v>2407</v>
      </c>
      <c r="B444" s="1771" t="s">
        <v>7</v>
      </c>
      <c r="C444" s="1771">
        <v>92800</v>
      </c>
      <c r="D444" s="1772" t="s">
        <v>2366</v>
      </c>
      <c r="E444" s="1773" t="s">
        <v>1145</v>
      </c>
      <c r="F444" s="1780">
        <v>1</v>
      </c>
      <c r="G444" s="1774">
        <v>12.37</v>
      </c>
      <c r="H444" s="1775">
        <f>IF(E444="H",G444,TRUNC(G444*(1-$K$7),2))</f>
        <v>12.29</v>
      </c>
      <c r="I444" s="1776">
        <f t="shared" si="51"/>
        <v>12.29</v>
      </c>
      <c r="J444" s="1768"/>
    </row>
    <row r="445" spans="1:10">
      <c r="A445" s="1917" t="s">
        <v>2408</v>
      </c>
      <c r="B445" s="1918"/>
      <c r="C445" s="1918"/>
      <c r="D445" s="1918"/>
      <c r="E445" s="1918"/>
      <c r="F445" s="1918"/>
      <c r="G445" s="1918"/>
      <c r="H445" s="1919"/>
      <c r="I445" s="1778">
        <f>SUM(I440:I444)</f>
        <v>19.29</v>
      </c>
      <c r="J445" s="1768"/>
    </row>
    <row r="446" spans="1:10">
      <c r="A446" s="1920"/>
      <c r="B446" s="1921"/>
      <c r="C446" s="1921"/>
      <c r="D446" s="1921"/>
      <c r="E446" s="1921"/>
      <c r="F446" s="1921"/>
      <c r="G446" s="1921"/>
      <c r="H446" s="1921"/>
      <c r="I446" s="1922"/>
      <c r="J446" s="1768"/>
    </row>
    <row r="447" spans="1:10" ht="33" customHeight="1">
      <c r="A447" s="1757">
        <f>'PLANILHA SEM DESON'!B46</f>
        <v>92761</v>
      </c>
      <c r="B447" s="1923" t="str">
        <f>VLOOKUP(A447,'PLANILHA SEM DESON'!$B$17:$D$1699,2,FALSE)</f>
        <v>ARMAÇÃO DE PILAR OU VIGA DE ESTRUTURA CONVENCIONAL DE CONCRETO ARMADO UTILIZANDO AÇO CA-50 DE 8,0 MM - MONTAGEM. AF_06/2022</v>
      </c>
      <c r="C447" s="1924"/>
      <c r="D447" s="1924"/>
      <c r="E447" s="1924"/>
      <c r="F447" s="1924"/>
      <c r="G447" s="1924"/>
      <c r="H447" s="1925"/>
      <c r="I447" s="1758" t="str">
        <f>VLOOKUP(A447,'PLANILHA SEM DESON'!$B$17:$D$1699,3,FALSE)</f>
        <v>Kg</v>
      </c>
      <c r="J447" s="1759">
        <f>I454</f>
        <v>15.200000000000001</v>
      </c>
    </row>
    <row r="448" spans="1:10" ht="24">
      <c r="A448" s="1761" t="s">
        <v>2401</v>
      </c>
      <c r="B448" s="1762" t="s">
        <v>2402</v>
      </c>
      <c r="C448" s="1763" t="s">
        <v>2399</v>
      </c>
      <c r="D448" s="1764" t="s">
        <v>284</v>
      </c>
      <c r="E448" s="1763" t="s">
        <v>193</v>
      </c>
      <c r="F448" s="1765" t="s">
        <v>2403</v>
      </c>
      <c r="G448" s="1763" t="s">
        <v>2404</v>
      </c>
      <c r="H448" s="1766" t="s">
        <v>2405</v>
      </c>
      <c r="I448" s="1767" t="s">
        <v>2406</v>
      </c>
      <c r="J448" s="1768"/>
    </row>
    <row r="449" spans="1:10" ht="36">
      <c r="A449" s="1770" t="s">
        <v>2407</v>
      </c>
      <c r="B449" s="1771" t="s">
        <v>2410</v>
      </c>
      <c r="C449" s="1771">
        <v>39017</v>
      </c>
      <c r="D449" s="1772" t="s">
        <v>2558</v>
      </c>
      <c r="E449" s="1773" t="s">
        <v>2432</v>
      </c>
      <c r="F449" s="1780">
        <v>0.74299999999999999</v>
      </c>
      <c r="G449" s="1774">
        <v>0.22</v>
      </c>
      <c r="H449" s="1775">
        <f>IF(E449="H",G449,TRUNC(G449*(1-$K$7),2))</f>
        <v>0.21</v>
      </c>
      <c r="I449" s="1776">
        <f t="shared" ref="I449:I453" si="52">TRUNC(H449*F449,2)</f>
        <v>0.15</v>
      </c>
      <c r="J449" s="1768"/>
    </row>
    <row r="450" spans="1:10" ht="24">
      <c r="A450" s="1770" t="s">
        <v>2407</v>
      </c>
      <c r="B450" s="1771" t="s">
        <v>2410</v>
      </c>
      <c r="C450" s="1771">
        <v>43132</v>
      </c>
      <c r="D450" s="1772" t="s">
        <v>2559</v>
      </c>
      <c r="E450" s="1773" t="s">
        <v>1340</v>
      </c>
      <c r="F450" s="1780">
        <v>2.5000000000000001E-2</v>
      </c>
      <c r="G450" s="1774">
        <v>24.9</v>
      </c>
      <c r="H450" s="1775">
        <f>IF(E450="H",G450,TRUNC(G450*(1-$K$7),2))</f>
        <v>24.75</v>
      </c>
      <c r="I450" s="1776">
        <f t="shared" si="52"/>
        <v>0.61</v>
      </c>
      <c r="J450" s="1768"/>
    </row>
    <row r="451" spans="1:10" ht="24">
      <c r="A451" s="1770" t="s">
        <v>2407</v>
      </c>
      <c r="B451" s="1771" t="s">
        <v>7</v>
      </c>
      <c r="C451" s="1771">
        <v>88238</v>
      </c>
      <c r="D451" s="1772" t="s">
        <v>1173</v>
      </c>
      <c r="E451" s="1773" t="s">
        <v>387</v>
      </c>
      <c r="F451" s="1780">
        <v>9.1999999999999998E-3</v>
      </c>
      <c r="G451" s="1774">
        <v>19.41</v>
      </c>
      <c r="H451" s="1775">
        <f>IF(E451="H",G451,TRUNC(G451*(1-$K$7),2))</f>
        <v>19.41</v>
      </c>
      <c r="I451" s="1776">
        <f t="shared" si="52"/>
        <v>0.17</v>
      </c>
      <c r="J451" s="1768"/>
    </row>
    <row r="452" spans="1:10">
      <c r="A452" s="1770" t="s">
        <v>2407</v>
      </c>
      <c r="B452" s="1771" t="s">
        <v>7</v>
      </c>
      <c r="C452" s="1771">
        <v>88245</v>
      </c>
      <c r="D452" s="1772" t="s">
        <v>1174</v>
      </c>
      <c r="E452" s="1773" t="s">
        <v>387</v>
      </c>
      <c r="F452" s="1780">
        <v>5.6099999999999997E-2</v>
      </c>
      <c r="G452" s="1774">
        <v>24.44</v>
      </c>
      <c r="H452" s="1775">
        <f>IF(E452="H",G452,TRUNC(G452*(1-$K$7),2))</f>
        <v>24.44</v>
      </c>
      <c r="I452" s="1776">
        <f t="shared" si="52"/>
        <v>1.37</v>
      </c>
      <c r="J452" s="1768"/>
    </row>
    <row r="453" spans="1:10" ht="24">
      <c r="A453" s="1770" t="s">
        <v>2407</v>
      </c>
      <c r="B453" s="1771" t="s">
        <v>7</v>
      </c>
      <c r="C453" s="1771">
        <v>92802</v>
      </c>
      <c r="D453" s="1772" t="s">
        <v>2560</v>
      </c>
      <c r="E453" s="1773" t="s">
        <v>1145</v>
      </c>
      <c r="F453" s="1780">
        <v>1</v>
      </c>
      <c r="G453" s="1774">
        <v>12.98</v>
      </c>
      <c r="H453" s="1775">
        <f>IF(E453="H",G453,TRUNC(G453*(1-$K$7),2))</f>
        <v>12.9</v>
      </c>
      <c r="I453" s="1776">
        <f t="shared" si="52"/>
        <v>12.9</v>
      </c>
      <c r="J453" s="1768"/>
    </row>
    <row r="454" spans="1:10">
      <c r="A454" s="1917" t="s">
        <v>2408</v>
      </c>
      <c r="B454" s="1918"/>
      <c r="C454" s="1918"/>
      <c r="D454" s="1918"/>
      <c r="E454" s="1918"/>
      <c r="F454" s="1918"/>
      <c r="G454" s="1918"/>
      <c r="H454" s="1919"/>
      <c r="I454" s="1778">
        <f>SUM(I449:I453)</f>
        <v>15.200000000000001</v>
      </c>
      <c r="J454" s="1768"/>
    </row>
    <row r="455" spans="1:10">
      <c r="A455" s="1920"/>
      <c r="B455" s="1921"/>
      <c r="C455" s="1921"/>
      <c r="D455" s="1921"/>
      <c r="E455" s="1921"/>
      <c r="F455" s="1921"/>
      <c r="G455" s="1921"/>
      <c r="H455" s="1921"/>
      <c r="I455" s="1922"/>
      <c r="J455" s="1768"/>
    </row>
    <row r="456" spans="1:10" ht="25.5" customHeight="1">
      <c r="A456" s="1757">
        <f>'PLANILHA SEM DESON'!B47</f>
        <v>92762</v>
      </c>
      <c r="B456" s="1923" t="str">
        <f>VLOOKUP(A456,'PLANILHA SEM DESON'!$B$17:$D$1699,2,FALSE)</f>
        <v>ARMAÇÃO DE PILAR OU VIGA DE ESTRUTURA CONVENCIONAL DE CONCRETO ARMADO UTILIZANDO AÇO CA-50 DE 10,0 MM - MONTAGEM. AF_06/2022</v>
      </c>
      <c r="C456" s="1924"/>
      <c r="D456" s="1924"/>
      <c r="E456" s="1924"/>
      <c r="F456" s="1924"/>
      <c r="G456" s="1924"/>
      <c r="H456" s="1925"/>
      <c r="I456" s="1758" t="str">
        <f>VLOOKUP(A456,'PLANILHA SEM DESON'!$B$17:$D$1699,3,FALSE)</f>
        <v>Kg</v>
      </c>
      <c r="J456" s="1759">
        <f>I463</f>
        <v>13.77</v>
      </c>
    </row>
    <row r="457" spans="1:10" ht="24">
      <c r="A457" s="1761" t="s">
        <v>2401</v>
      </c>
      <c r="B457" s="1762" t="s">
        <v>2402</v>
      </c>
      <c r="C457" s="1763" t="s">
        <v>2399</v>
      </c>
      <c r="D457" s="1764" t="s">
        <v>284</v>
      </c>
      <c r="E457" s="1763" t="s">
        <v>193</v>
      </c>
      <c r="F457" s="1765" t="s">
        <v>2403</v>
      </c>
      <c r="G457" s="1763" t="s">
        <v>2404</v>
      </c>
      <c r="H457" s="1766" t="s">
        <v>2405</v>
      </c>
      <c r="I457" s="1767" t="s">
        <v>2406</v>
      </c>
      <c r="J457" s="1768"/>
    </row>
    <row r="458" spans="1:10" ht="36">
      <c r="A458" s="1770" t="s">
        <v>2407</v>
      </c>
      <c r="B458" s="1771" t="s">
        <v>2410</v>
      </c>
      <c r="C458" s="1771">
        <v>39017</v>
      </c>
      <c r="D458" s="1772" t="s">
        <v>2558</v>
      </c>
      <c r="E458" s="1773" t="s">
        <v>2432</v>
      </c>
      <c r="F458" s="1780">
        <v>0.54300000000000004</v>
      </c>
      <c r="G458" s="1774">
        <v>0.22</v>
      </c>
      <c r="H458" s="1775">
        <f>IF(E458="H",G458,TRUNC(G458*(1-$K$7),2))</f>
        <v>0.21</v>
      </c>
      <c r="I458" s="1776">
        <f t="shared" ref="I458:I462" si="53">TRUNC(H458*F458,2)</f>
        <v>0.11</v>
      </c>
      <c r="J458" s="1768"/>
    </row>
    <row r="459" spans="1:10" ht="24">
      <c r="A459" s="1770" t="s">
        <v>2407</v>
      </c>
      <c r="B459" s="1771" t="s">
        <v>2410</v>
      </c>
      <c r="C459" s="1771">
        <v>43132</v>
      </c>
      <c r="D459" s="1772" t="s">
        <v>2559</v>
      </c>
      <c r="E459" s="1773" t="s">
        <v>1340</v>
      </c>
      <c r="F459" s="1780">
        <v>2.5000000000000001E-2</v>
      </c>
      <c r="G459" s="1774">
        <v>24.9</v>
      </c>
      <c r="H459" s="1775">
        <f>IF(E459="H",G459,TRUNC(G459*(1-$K$7),2))</f>
        <v>24.75</v>
      </c>
      <c r="I459" s="1776">
        <f t="shared" si="53"/>
        <v>0.61</v>
      </c>
      <c r="J459" s="1768"/>
    </row>
    <row r="460" spans="1:10" ht="24">
      <c r="A460" s="1770" t="s">
        <v>2407</v>
      </c>
      <c r="B460" s="1771" t="s">
        <v>7</v>
      </c>
      <c r="C460" s="1771">
        <v>88238</v>
      </c>
      <c r="D460" s="1772" t="s">
        <v>1173</v>
      </c>
      <c r="E460" s="1773" t="s">
        <v>387</v>
      </c>
      <c r="F460" s="1780">
        <v>6.4000000000000003E-3</v>
      </c>
      <c r="G460" s="1774">
        <v>19.41</v>
      </c>
      <c r="H460" s="1775">
        <f>IF(E460="H",G460,TRUNC(G460*(1-$K$7),2))</f>
        <v>19.41</v>
      </c>
      <c r="I460" s="1776">
        <f t="shared" si="53"/>
        <v>0.12</v>
      </c>
      <c r="J460" s="1768"/>
    </row>
    <row r="461" spans="1:10">
      <c r="A461" s="1770" t="s">
        <v>2407</v>
      </c>
      <c r="B461" s="1771" t="s">
        <v>7</v>
      </c>
      <c r="C461" s="1771">
        <v>88245</v>
      </c>
      <c r="D461" s="1772" t="s">
        <v>1174</v>
      </c>
      <c r="E461" s="1773" t="s">
        <v>387</v>
      </c>
      <c r="F461" s="1780">
        <v>3.9199999999999999E-2</v>
      </c>
      <c r="G461" s="1774">
        <v>24.44</v>
      </c>
      <c r="H461" s="1775">
        <f>IF(E461="H",G461,TRUNC(G461*(1-$K$7),2))</f>
        <v>24.44</v>
      </c>
      <c r="I461" s="1776">
        <f t="shared" si="53"/>
        <v>0.95</v>
      </c>
      <c r="J461" s="1768"/>
    </row>
    <row r="462" spans="1:10" ht="24">
      <c r="A462" s="1770" t="s">
        <v>2407</v>
      </c>
      <c r="B462" s="1771" t="s">
        <v>7</v>
      </c>
      <c r="C462" s="1771">
        <v>92803</v>
      </c>
      <c r="D462" s="1772" t="s">
        <v>2167</v>
      </c>
      <c r="E462" s="1773" t="s">
        <v>1145</v>
      </c>
      <c r="F462" s="1780">
        <v>1</v>
      </c>
      <c r="G462" s="1774">
        <v>12.06</v>
      </c>
      <c r="H462" s="1775">
        <f>IF(E462="H",G462,TRUNC(G462*(1-$K$7),2))</f>
        <v>11.98</v>
      </c>
      <c r="I462" s="1776">
        <f t="shared" si="53"/>
        <v>11.98</v>
      </c>
      <c r="J462" s="1768"/>
    </row>
    <row r="463" spans="1:10">
      <c r="A463" s="1917" t="s">
        <v>2408</v>
      </c>
      <c r="B463" s="1918"/>
      <c r="C463" s="1918"/>
      <c r="D463" s="1918"/>
      <c r="E463" s="1918"/>
      <c r="F463" s="1918"/>
      <c r="G463" s="1918"/>
      <c r="H463" s="1919"/>
      <c r="I463" s="1778">
        <f>SUM(I458:I462)</f>
        <v>13.77</v>
      </c>
      <c r="J463" s="1768"/>
    </row>
    <row r="464" spans="1:10">
      <c r="A464" s="1920"/>
      <c r="B464" s="1921"/>
      <c r="C464" s="1921"/>
      <c r="D464" s="1921"/>
      <c r="E464" s="1921"/>
      <c r="F464" s="1921"/>
      <c r="G464" s="1921"/>
      <c r="H464" s="1921"/>
      <c r="I464" s="1922"/>
      <c r="J464" s="1768"/>
    </row>
    <row r="465" spans="1:10" ht="24" customHeight="1">
      <c r="A465" s="1757">
        <f>'PLANILHA SEM DESON'!B48</f>
        <v>92763</v>
      </c>
      <c r="B465" s="1923" t="str">
        <f>VLOOKUP(A465,'PLANILHA SEM DESON'!$B$17:$D$1699,2,FALSE)</f>
        <v>ARMAÇÃO DE PILAR OU VIGA DE ESTRUTURA CONVENCIONAL DE CONCRETO ARMADO UTILIZANDO AÇO CA-50 DE 12,5 MM - MONTAGEM. AF_06/2022</v>
      </c>
      <c r="C465" s="1924"/>
      <c r="D465" s="1924"/>
      <c r="E465" s="1924"/>
      <c r="F465" s="1924"/>
      <c r="G465" s="1924"/>
      <c r="H465" s="1925"/>
      <c r="I465" s="1758" t="str">
        <f>VLOOKUP(A465,'PLANILHA SEM DESON'!$B$17:$D$1699,3,FALSE)</f>
        <v>Kg</v>
      </c>
      <c r="J465" s="1759">
        <f>I472</f>
        <v>11.669999999999998</v>
      </c>
    </row>
    <row r="466" spans="1:10" ht="24">
      <c r="A466" s="1761" t="s">
        <v>2401</v>
      </c>
      <c r="B466" s="1762" t="s">
        <v>2402</v>
      </c>
      <c r="C466" s="1763" t="s">
        <v>2399</v>
      </c>
      <c r="D466" s="1764" t="s">
        <v>284</v>
      </c>
      <c r="E466" s="1763" t="s">
        <v>193</v>
      </c>
      <c r="F466" s="1765" t="s">
        <v>2403</v>
      </c>
      <c r="G466" s="1763" t="s">
        <v>2404</v>
      </c>
      <c r="H466" s="1766" t="s">
        <v>2405</v>
      </c>
      <c r="I466" s="1767" t="s">
        <v>2406</v>
      </c>
      <c r="J466" s="1768"/>
    </row>
    <row r="467" spans="1:10" ht="36">
      <c r="A467" s="1770" t="s">
        <v>2407</v>
      </c>
      <c r="B467" s="1771" t="s">
        <v>2410</v>
      </c>
      <c r="C467" s="1771">
        <v>39017</v>
      </c>
      <c r="D467" s="1772" t="s">
        <v>2558</v>
      </c>
      <c r="E467" s="1773" t="s">
        <v>2432</v>
      </c>
      <c r="F467" s="1780">
        <v>0.36699999999999999</v>
      </c>
      <c r="G467" s="1774">
        <v>0.22</v>
      </c>
      <c r="H467" s="1775">
        <f>IF(E467="H",G467,TRUNC(G467*(1-$K$7),2))</f>
        <v>0.21</v>
      </c>
      <c r="I467" s="1776">
        <f t="shared" ref="I467:I471" si="54">TRUNC(H467*F467,2)</f>
        <v>7.0000000000000007E-2</v>
      </c>
      <c r="J467" s="1768"/>
    </row>
    <row r="468" spans="1:10" ht="24">
      <c r="A468" s="1770" t="s">
        <v>2407</v>
      </c>
      <c r="B468" s="1771" t="s">
        <v>2410</v>
      </c>
      <c r="C468" s="1771">
        <v>43132</v>
      </c>
      <c r="D468" s="1772" t="s">
        <v>2559</v>
      </c>
      <c r="E468" s="1773" t="s">
        <v>1340</v>
      </c>
      <c r="F468" s="1780">
        <v>2.5000000000000001E-2</v>
      </c>
      <c r="G468" s="1774">
        <v>24.9</v>
      </c>
      <c r="H468" s="1775">
        <f>IF(E468="H",G468,TRUNC(G468*(1-$K$7),2))</f>
        <v>24.75</v>
      </c>
      <c r="I468" s="1776">
        <f t="shared" si="54"/>
        <v>0.61</v>
      </c>
      <c r="J468" s="1768"/>
    </row>
    <row r="469" spans="1:10" ht="24">
      <c r="A469" s="1770" t="s">
        <v>2407</v>
      </c>
      <c r="B469" s="1771" t="s">
        <v>7</v>
      </c>
      <c r="C469" s="1771">
        <v>88238</v>
      </c>
      <c r="D469" s="1772" t="s">
        <v>1173</v>
      </c>
      <c r="E469" s="1773" t="s">
        <v>387</v>
      </c>
      <c r="F469" s="1780">
        <v>4.1999999999999997E-3</v>
      </c>
      <c r="G469" s="1774">
        <v>19.41</v>
      </c>
      <c r="H469" s="1775">
        <f>IF(E469="H",G469,TRUNC(G469*(1-$K$7),2))</f>
        <v>19.41</v>
      </c>
      <c r="I469" s="1776">
        <f t="shared" si="54"/>
        <v>0.08</v>
      </c>
      <c r="J469" s="1768"/>
    </row>
    <row r="470" spans="1:10">
      <c r="A470" s="1770" t="s">
        <v>2407</v>
      </c>
      <c r="B470" s="1771" t="s">
        <v>7</v>
      </c>
      <c r="C470" s="1771">
        <v>88245</v>
      </c>
      <c r="D470" s="1772" t="s">
        <v>1174</v>
      </c>
      <c r="E470" s="1773" t="s">
        <v>387</v>
      </c>
      <c r="F470" s="1780">
        <v>2.5700000000000001E-2</v>
      </c>
      <c r="G470" s="1774">
        <v>24.44</v>
      </c>
      <c r="H470" s="1775">
        <f>IF(E470="H",G470,TRUNC(G470*(1-$K$7),2))</f>
        <v>24.44</v>
      </c>
      <c r="I470" s="1776">
        <f t="shared" si="54"/>
        <v>0.62</v>
      </c>
      <c r="J470" s="1768"/>
    </row>
    <row r="471" spans="1:10" ht="24">
      <c r="A471" s="1770" t="s">
        <v>2407</v>
      </c>
      <c r="B471" s="1771" t="s">
        <v>7</v>
      </c>
      <c r="C471" s="1771">
        <v>92804</v>
      </c>
      <c r="D471" s="1772" t="s">
        <v>2561</v>
      </c>
      <c r="E471" s="1773" t="s">
        <v>1145</v>
      </c>
      <c r="F471" s="1780">
        <v>1</v>
      </c>
      <c r="G471" s="1774">
        <v>10.36</v>
      </c>
      <c r="H471" s="1775">
        <f>IF(E471="H",G471,TRUNC(G471*(1-$K$7),2))</f>
        <v>10.29</v>
      </c>
      <c r="I471" s="1776">
        <f t="shared" si="54"/>
        <v>10.29</v>
      </c>
      <c r="J471" s="1768"/>
    </row>
    <row r="472" spans="1:10">
      <c r="A472" s="1917" t="s">
        <v>2408</v>
      </c>
      <c r="B472" s="1918"/>
      <c r="C472" s="1918"/>
      <c r="D472" s="1918"/>
      <c r="E472" s="1918"/>
      <c r="F472" s="1918"/>
      <c r="G472" s="1918"/>
      <c r="H472" s="1919"/>
      <c r="I472" s="1778">
        <f>SUM(I467:I471)</f>
        <v>11.669999999999998</v>
      </c>
      <c r="J472" s="1768"/>
    </row>
    <row r="473" spans="1:10">
      <c r="A473" s="1920"/>
      <c r="B473" s="1921"/>
      <c r="C473" s="1921"/>
      <c r="D473" s="1921"/>
      <c r="E473" s="1921"/>
      <c r="F473" s="1921"/>
      <c r="G473" s="1921"/>
      <c r="H473" s="1921"/>
      <c r="I473" s="1922"/>
      <c r="J473" s="1768"/>
    </row>
    <row r="474" spans="1:10" ht="23.25" customHeight="1">
      <c r="A474" s="1757" t="str">
        <f>'PLANILHA SEM DESON'!B50</f>
        <v>COMP ESTR 01</v>
      </c>
      <c r="B474" s="1923" t="str">
        <f>VLOOKUP(A474,'PLANILHA SEM DESON'!$B$17:$D$1699,2,FALSE)</f>
        <v>FORMA EM COMPENSADO PARA ENCAMISAMENTO DE TUBULÃO</v>
      </c>
      <c r="C474" s="1924"/>
      <c r="D474" s="1924"/>
      <c r="E474" s="1924"/>
      <c r="F474" s="1924"/>
      <c r="G474" s="1924"/>
      <c r="H474" s="1925"/>
      <c r="I474" s="1758" t="str">
        <f>VLOOKUP(A474,'PLANILHA SEM DESON'!$B$17:$D$1699,3,FALSE)</f>
        <v>m²</v>
      </c>
      <c r="J474" s="1759">
        <f>I483</f>
        <v>85.11</v>
      </c>
    </row>
    <row r="475" spans="1:10" ht="24">
      <c r="A475" s="1761" t="s">
        <v>2401</v>
      </c>
      <c r="B475" s="1762" t="s">
        <v>2402</v>
      </c>
      <c r="C475" s="1763" t="s">
        <v>2399</v>
      </c>
      <c r="D475" s="1764" t="s">
        <v>284</v>
      </c>
      <c r="E475" s="1763" t="s">
        <v>193</v>
      </c>
      <c r="F475" s="1765" t="s">
        <v>2403</v>
      </c>
      <c r="G475" s="1763" t="s">
        <v>2404</v>
      </c>
      <c r="H475" s="1766" t="s">
        <v>2405</v>
      </c>
      <c r="I475" s="1767" t="s">
        <v>2406</v>
      </c>
      <c r="J475" s="1768"/>
    </row>
    <row r="476" spans="1:10" ht="24">
      <c r="A476" s="1770" t="s">
        <v>2407</v>
      </c>
      <c r="B476" s="1771" t="s">
        <v>7</v>
      </c>
      <c r="C476" s="1771">
        <v>88239</v>
      </c>
      <c r="D476" s="1772" t="s">
        <v>423</v>
      </c>
      <c r="E476" s="1773" t="s">
        <v>57</v>
      </c>
      <c r="F476" s="1779">
        <v>1.1000000000000001</v>
      </c>
      <c r="G476" s="1781">
        <v>20.55</v>
      </c>
      <c r="H476" s="1775">
        <f t="shared" ref="H476:H482" si="55">IF(E476="H",G476,TRUNC(G476*(1-$K$7),2))</f>
        <v>20.55</v>
      </c>
      <c r="I476" s="1776">
        <f t="shared" ref="I476:I482" si="56">TRUNC(H476*F476,2)</f>
        <v>22.6</v>
      </c>
      <c r="J476" s="1768"/>
    </row>
    <row r="477" spans="1:10" ht="24">
      <c r="A477" s="1770" t="s">
        <v>2407</v>
      </c>
      <c r="B477" s="1771" t="s">
        <v>7</v>
      </c>
      <c r="C477" s="1771">
        <v>88262</v>
      </c>
      <c r="D477" s="1772" t="s">
        <v>411</v>
      </c>
      <c r="E477" s="1773" t="s">
        <v>57</v>
      </c>
      <c r="F477" s="1779">
        <v>1.1000000000000001</v>
      </c>
      <c r="G477" s="1781">
        <v>24.32</v>
      </c>
      <c r="H477" s="1775">
        <f t="shared" si="55"/>
        <v>24.32</v>
      </c>
      <c r="I477" s="1776">
        <f t="shared" si="56"/>
        <v>26.75</v>
      </c>
      <c r="J477" s="1768"/>
    </row>
    <row r="478" spans="1:10" ht="24">
      <c r="A478" s="1770" t="s">
        <v>2407</v>
      </c>
      <c r="B478" s="1771" t="s">
        <v>2410</v>
      </c>
      <c r="C478" s="1771">
        <v>4517</v>
      </c>
      <c r="D478" s="1772" t="s">
        <v>1680</v>
      </c>
      <c r="E478" s="1773" t="s">
        <v>54</v>
      </c>
      <c r="F478" s="1779">
        <v>1.25</v>
      </c>
      <c r="G478" s="1779">
        <v>4.08</v>
      </c>
      <c r="H478" s="1775">
        <f t="shared" si="55"/>
        <v>4.05</v>
      </c>
      <c r="I478" s="1776">
        <f t="shared" si="56"/>
        <v>5.0599999999999996</v>
      </c>
      <c r="J478" s="1768"/>
    </row>
    <row r="479" spans="1:10" ht="36">
      <c r="A479" s="1770" t="s">
        <v>2407</v>
      </c>
      <c r="B479" s="1771" t="s">
        <v>2410</v>
      </c>
      <c r="C479" s="1771">
        <v>6189</v>
      </c>
      <c r="D479" s="1772" t="s">
        <v>1392</v>
      </c>
      <c r="E479" s="1773" t="s">
        <v>46</v>
      </c>
      <c r="F479" s="1779">
        <v>0.2</v>
      </c>
      <c r="G479" s="1779">
        <v>26.29</v>
      </c>
      <c r="H479" s="1775">
        <f t="shared" si="55"/>
        <v>26.13</v>
      </c>
      <c r="I479" s="1776">
        <f t="shared" si="56"/>
        <v>5.22</v>
      </c>
      <c r="J479" s="1768"/>
    </row>
    <row r="480" spans="1:10" ht="24">
      <c r="A480" s="1770" t="s">
        <v>2407</v>
      </c>
      <c r="B480" s="1771" t="s">
        <v>2410</v>
      </c>
      <c r="C480" s="1771">
        <v>1346</v>
      </c>
      <c r="D480" s="1772" t="s">
        <v>1678</v>
      </c>
      <c r="E480" s="1773" t="s">
        <v>46</v>
      </c>
      <c r="F480" s="1779">
        <v>0.1</v>
      </c>
      <c r="G480" s="1779">
        <v>77.52</v>
      </c>
      <c r="H480" s="1775">
        <f t="shared" si="55"/>
        <v>77.05</v>
      </c>
      <c r="I480" s="1776">
        <f t="shared" si="56"/>
        <v>7.7</v>
      </c>
      <c r="J480" s="1768"/>
    </row>
    <row r="481" spans="1:10" ht="24">
      <c r="A481" s="1770" t="s">
        <v>2407</v>
      </c>
      <c r="B481" s="1771" t="s">
        <v>2410</v>
      </c>
      <c r="C481" s="1771">
        <v>5061</v>
      </c>
      <c r="D481" s="1772" t="s">
        <v>1391</v>
      </c>
      <c r="E481" s="1773" t="s">
        <v>100</v>
      </c>
      <c r="F481" s="1779">
        <v>0.7</v>
      </c>
      <c r="G481" s="1779">
        <v>25.45</v>
      </c>
      <c r="H481" s="1775">
        <f t="shared" si="55"/>
        <v>25.29</v>
      </c>
      <c r="I481" s="1776">
        <f t="shared" si="56"/>
        <v>17.7</v>
      </c>
      <c r="J481" s="1768"/>
    </row>
    <row r="482" spans="1:10" ht="24">
      <c r="A482" s="1770" t="s">
        <v>2407</v>
      </c>
      <c r="B482" s="1771" t="s">
        <v>2410</v>
      </c>
      <c r="C482" s="1771">
        <v>2692</v>
      </c>
      <c r="D482" s="1772" t="s">
        <v>1679</v>
      </c>
      <c r="E482" s="1773" t="s">
        <v>424</v>
      </c>
      <c r="F482" s="1779">
        <v>0.01</v>
      </c>
      <c r="G482" s="1779">
        <v>8.84</v>
      </c>
      <c r="H482" s="1775">
        <f t="shared" si="55"/>
        <v>8.7799999999999994</v>
      </c>
      <c r="I482" s="1776">
        <f t="shared" si="56"/>
        <v>0.08</v>
      </c>
      <c r="J482" s="1768"/>
    </row>
    <row r="483" spans="1:10">
      <c r="A483" s="1917" t="s">
        <v>2408</v>
      </c>
      <c r="B483" s="1918"/>
      <c r="C483" s="1918"/>
      <c r="D483" s="1918"/>
      <c r="E483" s="1918"/>
      <c r="F483" s="1918"/>
      <c r="G483" s="1918"/>
      <c r="H483" s="1919"/>
      <c r="I483" s="1778">
        <f>SUM(I476:I482)</f>
        <v>85.11</v>
      </c>
      <c r="J483" s="1768"/>
    </row>
    <row r="484" spans="1:10">
      <c r="A484" s="1920"/>
      <c r="B484" s="1921"/>
      <c r="C484" s="1921"/>
      <c r="D484" s="1921"/>
      <c r="E484" s="1921"/>
      <c r="F484" s="1921"/>
      <c r="G484" s="1921"/>
      <c r="H484" s="1921"/>
      <c r="I484" s="1922"/>
      <c r="J484" s="1768"/>
    </row>
    <row r="485" spans="1:10" ht="24.75" customHeight="1">
      <c r="A485" s="1757" t="str">
        <f>'PLANILHA SEM DESON'!B52</f>
        <v>COMP ESTR 02</v>
      </c>
      <c r="B485" s="1923" t="str">
        <f>VLOOKUP(A485,'PLANILHA SEM DESON'!$B$17:$D$1699,2,FALSE)</f>
        <v>LANÇAMENTO DE CONCRETO CONVENCIONAL EM FUNDAÇÕES</v>
      </c>
      <c r="C485" s="1924"/>
      <c r="D485" s="1924"/>
      <c r="E485" s="1924"/>
      <c r="F485" s="1924"/>
      <c r="G485" s="1924"/>
      <c r="H485" s="1925"/>
      <c r="I485" s="1758" t="str">
        <f>VLOOKUP(A485,'PLANILHA SEM DESON'!$B$17:$D$1699,3,FALSE)</f>
        <v>m³</v>
      </c>
      <c r="J485" s="1759">
        <f>I489</f>
        <v>78.36</v>
      </c>
    </row>
    <row r="486" spans="1:10" ht="24">
      <c r="A486" s="1761" t="s">
        <v>2401</v>
      </c>
      <c r="B486" s="1762" t="s">
        <v>2402</v>
      </c>
      <c r="C486" s="1763" t="s">
        <v>2399</v>
      </c>
      <c r="D486" s="1764" t="s">
        <v>284</v>
      </c>
      <c r="E486" s="1763" t="s">
        <v>193</v>
      </c>
      <c r="F486" s="1765" t="s">
        <v>2403</v>
      </c>
      <c r="G486" s="1763" t="s">
        <v>2404</v>
      </c>
      <c r="H486" s="1766" t="s">
        <v>2405</v>
      </c>
      <c r="I486" s="1767" t="s">
        <v>2406</v>
      </c>
      <c r="J486" s="1768"/>
    </row>
    <row r="487" spans="1:10">
      <c r="A487" s="1770" t="s">
        <v>2407</v>
      </c>
      <c r="B487" s="1771" t="s">
        <v>7</v>
      </c>
      <c r="C487" s="1771">
        <v>88309</v>
      </c>
      <c r="D487" s="1772" t="s">
        <v>103</v>
      </c>
      <c r="E487" s="1773" t="s">
        <v>57</v>
      </c>
      <c r="F487" s="1782">
        <v>1.0058</v>
      </c>
      <c r="G487" s="1781">
        <v>24.59</v>
      </c>
      <c r="H487" s="1775">
        <f>IF(E487="H",G487,TRUNC(G487*(1-$K$7),2))</f>
        <v>24.59</v>
      </c>
      <c r="I487" s="1776">
        <f t="shared" ref="I487:I488" si="57">TRUNC(H487*F487,2)</f>
        <v>24.73</v>
      </c>
      <c r="J487" s="1768"/>
    </row>
    <row r="488" spans="1:10">
      <c r="A488" s="1770" t="s">
        <v>2407</v>
      </c>
      <c r="B488" s="1771" t="s">
        <v>7</v>
      </c>
      <c r="C488" s="1771">
        <v>88316</v>
      </c>
      <c r="D488" s="1772" t="s">
        <v>66</v>
      </c>
      <c r="E488" s="1773" t="s">
        <v>57</v>
      </c>
      <c r="F488" s="1782">
        <v>2.7574000000000001</v>
      </c>
      <c r="G488" s="1781">
        <v>19.45</v>
      </c>
      <c r="H488" s="1775">
        <f>IF(E488="H",G488,TRUNC(G488*(1-$K$7),2))</f>
        <v>19.45</v>
      </c>
      <c r="I488" s="1776">
        <f t="shared" si="57"/>
        <v>53.63</v>
      </c>
      <c r="J488" s="1768"/>
    </row>
    <row r="489" spans="1:10">
      <c r="A489" s="1917" t="s">
        <v>2408</v>
      </c>
      <c r="B489" s="1918"/>
      <c r="C489" s="1918"/>
      <c r="D489" s="1918"/>
      <c r="E489" s="1918"/>
      <c r="F489" s="1918"/>
      <c r="G489" s="1918"/>
      <c r="H489" s="1919"/>
      <c r="I489" s="1778">
        <f>SUM(I487:I488)</f>
        <v>78.36</v>
      </c>
      <c r="J489" s="1768"/>
    </row>
    <row r="490" spans="1:10">
      <c r="A490" s="1920"/>
      <c r="B490" s="1921"/>
      <c r="C490" s="1921"/>
      <c r="D490" s="1921"/>
      <c r="E490" s="1921"/>
      <c r="F490" s="1921"/>
      <c r="G490" s="1921"/>
      <c r="H490" s="1921"/>
      <c r="I490" s="1922"/>
      <c r="J490" s="1768"/>
    </row>
    <row r="491" spans="1:10" ht="27.75" customHeight="1">
      <c r="A491" s="1757" t="str">
        <f>'PLANILHA SEM DESON'!B53</f>
        <v>COMP ESTR 03</v>
      </c>
      <c r="B491" s="1923" t="str">
        <f>VLOOKUP(A491,'PLANILHA SEM DESON'!$B$17:$D$1699,2,FALSE)</f>
        <v>ARMAÇÃO DE FUSTE DE TUBULÃO EM AÇO CA-50 COM APOIO DE GUIINDASTE - FORNECIMENTO , PREPARO E COLOCAÇÃO</v>
      </c>
      <c r="C491" s="1924"/>
      <c r="D491" s="1924"/>
      <c r="E491" s="1924"/>
      <c r="F491" s="1924"/>
      <c r="G491" s="1924"/>
      <c r="H491" s="1925"/>
      <c r="I491" s="1758" t="str">
        <f>VLOOKUP(A491,'PLANILHA SEM DESON'!$B$17:$D$1699,3,FALSE)</f>
        <v>Kg</v>
      </c>
      <c r="J491" s="1759">
        <f>I500</f>
        <v>60.230000000000004</v>
      </c>
    </row>
    <row r="492" spans="1:10" ht="24">
      <c r="A492" s="1761" t="s">
        <v>2401</v>
      </c>
      <c r="B492" s="1762" t="s">
        <v>2402</v>
      </c>
      <c r="C492" s="1763" t="s">
        <v>2399</v>
      </c>
      <c r="D492" s="1764" t="s">
        <v>284</v>
      </c>
      <c r="E492" s="1763" t="s">
        <v>193</v>
      </c>
      <c r="F492" s="1765" t="s">
        <v>2403</v>
      </c>
      <c r="G492" s="1763" t="s">
        <v>2404</v>
      </c>
      <c r="H492" s="1766" t="s">
        <v>2405</v>
      </c>
      <c r="I492" s="1767" t="s">
        <v>2406</v>
      </c>
      <c r="J492" s="1768"/>
    </row>
    <row r="493" spans="1:10" ht="24">
      <c r="A493" s="1770" t="s">
        <v>2407</v>
      </c>
      <c r="B493" s="1771"/>
      <c r="C493" s="1771">
        <v>88238</v>
      </c>
      <c r="D493" s="1772" t="s">
        <v>1173</v>
      </c>
      <c r="E493" s="1773" t="s">
        <v>57</v>
      </c>
      <c r="F493" s="1779">
        <v>1</v>
      </c>
      <c r="G493" s="1781">
        <v>19.41</v>
      </c>
      <c r="H493" s="1775">
        <f t="shared" ref="H493:H499" si="58">IF(E493="H",G493,TRUNC(G493*(1-$K$7),2))</f>
        <v>19.41</v>
      </c>
      <c r="I493" s="1776">
        <f t="shared" ref="I493:I499" si="59">TRUNC(H493*F493,2)</f>
        <v>19.41</v>
      </c>
      <c r="J493" s="1768"/>
    </row>
    <row r="494" spans="1:10">
      <c r="A494" s="1770" t="s">
        <v>2407</v>
      </c>
      <c r="B494" s="1771"/>
      <c r="C494" s="1771">
        <v>88245</v>
      </c>
      <c r="D494" s="1772" t="s">
        <v>1174</v>
      </c>
      <c r="E494" s="1773" t="s">
        <v>57</v>
      </c>
      <c r="F494" s="1779">
        <v>1</v>
      </c>
      <c r="G494" s="1781">
        <v>24.44</v>
      </c>
      <c r="H494" s="1775">
        <f t="shared" si="58"/>
        <v>24.44</v>
      </c>
      <c r="I494" s="1776">
        <f t="shared" si="59"/>
        <v>24.44</v>
      </c>
      <c r="J494" s="1768"/>
    </row>
    <row r="495" spans="1:10" ht="24">
      <c r="A495" s="1770" t="s">
        <v>2407</v>
      </c>
      <c r="B495" s="1771"/>
      <c r="C495" s="1771">
        <v>92803</v>
      </c>
      <c r="D495" s="1772" t="s">
        <v>2167</v>
      </c>
      <c r="E495" s="1773" t="s">
        <v>100</v>
      </c>
      <c r="F495" s="1779">
        <v>1.05</v>
      </c>
      <c r="G495" s="1779">
        <v>12.06</v>
      </c>
      <c r="H495" s="1775">
        <f t="shared" si="58"/>
        <v>11.98</v>
      </c>
      <c r="I495" s="1776">
        <f t="shared" si="59"/>
        <v>12.57</v>
      </c>
      <c r="J495" s="1768"/>
    </row>
    <row r="496" spans="1:10" ht="24">
      <c r="A496" s="1770" t="s">
        <v>2407</v>
      </c>
      <c r="B496" s="1771"/>
      <c r="C496" s="1771">
        <v>92800</v>
      </c>
      <c r="D496" s="1772" t="s">
        <v>2366</v>
      </c>
      <c r="E496" s="1773" t="s">
        <v>100</v>
      </c>
      <c r="F496" s="1779">
        <v>1.4999999999999999E-2</v>
      </c>
      <c r="G496" s="1779">
        <v>12.37</v>
      </c>
      <c r="H496" s="1775">
        <f t="shared" si="58"/>
        <v>12.29</v>
      </c>
      <c r="I496" s="1776">
        <f t="shared" si="59"/>
        <v>0.18</v>
      </c>
      <c r="J496" s="1768"/>
    </row>
    <row r="497" spans="1:10" ht="36">
      <c r="A497" s="1770" t="s">
        <v>2407</v>
      </c>
      <c r="B497" s="1771"/>
      <c r="C497" s="1771">
        <v>93287</v>
      </c>
      <c r="D497" s="1772" t="s">
        <v>1175</v>
      </c>
      <c r="E497" s="1773" t="s">
        <v>425</v>
      </c>
      <c r="F497" s="1782">
        <v>1.1299999999999999E-2</v>
      </c>
      <c r="G497" s="1780">
        <v>321.83999999999997</v>
      </c>
      <c r="H497" s="1775">
        <f t="shared" si="58"/>
        <v>319.89999999999998</v>
      </c>
      <c r="I497" s="1776">
        <f t="shared" si="59"/>
        <v>3.61</v>
      </c>
      <c r="J497" s="1768"/>
    </row>
    <row r="498" spans="1:10" ht="48">
      <c r="A498" s="1770" t="s">
        <v>2407</v>
      </c>
      <c r="B498" s="1771"/>
      <c r="C498" s="1771">
        <v>100263</v>
      </c>
      <c r="D498" s="1772" t="s">
        <v>1681</v>
      </c>
      <c r="E498" s="1773" t="s">
        <v>1682</v>
      </c>
      <c r="F498" s="1782">
        <v>1.0500000000000001E-2</v>
      </c>
      <c r="G498" s="1779">
        <v>1.95</v>
      </c>
      <c r="H498" s="1775">
        <f t="shared" si="58"/>
        <v>1.93</v>
      </c>
      <c r="I498" s="1776">
        <f t="shared" si="59"/>
        <v>0.02</v>
      </c>
      <c r="J498" s="1768"/>
    </row>
    <row r="499" spans="1:10" ht="36">
      <c r="A499" s="1770" t="s">
        <v>2407</v>
      </c>
      <c r="B499" s="1771"/>
      <c r="C499" s="1771">
        <v>100260</v>
      </c>
      <c r="D499" s="1772" t="s">
        <v>1683</v>
      </c>
      <c r="E499" s="1773" t="s">
        <v>1682</v>
      </c>
      <c r="F499" s="1782">
        <v>2.0000000000000001E-4</v>
      </c>
      <c r="G499" s="1779">
        <v>7.84</v>
      </c>
      <c r="H499" s="1775">
        <f t="shared" si="58"/>
        <v>7.79</v>
      </c>
      <c r="I499" s="1776">
        <f t="shared" si="59"/>
        <v>0</v>
      </c>
      <c r="J499" s="1768"/>
    </row>
    <row r="500" spans="1:10">
      <c r="A500" s="1917" t="s">
        <v>2408</v>
      </c>
      <c r="B500" s="1918"/>
      <c r="C500" s="1918"/>
      <c r="D500" s="1918"/>
      <c r="E500" s="1918"/>
      <c r="F500" s="1918"/>
      <c r="G500" s="1918"/>
      <c r="H500" s="1919"/>
      <c r="I500" s="1778">
        <f>SUM(I493:I499)</f>
        <v>60.230000000000004</v>
      </c>
      <c r="J500" s="1768"/>
    </row>
    <row r="501" spans="1:10">
      <c r="A501" s="1920"/>
      <c r="B501" s="1921"/>
      <c r="C501" s="1921"/>
      <c r="D501" s="1921"/>
      <c r="E501" s="1921"/>
      <c r="F501" s="1921"/>
      <c r="G501" s="1921"/>
      <c r="H501" s="1921"/>
      <c r="I501" s="1922"/>
      <c r="J501" s="1768"/>
    </row>
    <row r="502" spans="1:10" ht="26.25" customHeight="1">
      <c r="A502" s="1757">
        <f>'PLANILHA SEM DESON'!B55</f>
        <v>92522</v>
      </c>
      <c r="B502" s="1923" t="str">
        <f>VLOOKUP(A502,'PLANILHA SEM DESON'!$B$17:$D$1699,2,FALSE)</f>
        <v>MONTAGEM E DESMONTAGEM DE FÔRMA DE LAJE MACIÇA, PÉ-DIREITO SIMPLES, EM CHAPA DE MADEIRA COMPENSADA RESINADA, 8 UTILIZAÇÕES. AF_09/2020</v>
      </c>
      <c r="C502" s="1924"/>
      <c r="D502" s="1924"/>
      <c r="E502" s="1924"/>
      <c r="F502" s="1924"/>
      <c r="G502" s="1924"/>
      <c r="H502" s="1925"/>
      <c r="I502" s="1758" t="str">
        <f>VLOOKUP(A502,'PLANILHA SEM DESON'!$B$17:$D$1699,3,FALSE)</f>
        <v>m²</v>
      </c>
      <c r="J502" s="1759">
        <f>I510</f>
        <v>47.64</v>
      </c>
    </row>
    <row r="503" spans="1:10" ht="24">
      <c r="A503" s="1761" t="s">
        <v>2401</v>
      </c>
      <c r="B503" s="1762" t="s">
        <v>2402</v>
      </c>
      <c r="C503" s="1763" t="s">
        <v>2399</v>
      </c>
      <c r="D503" s="1764" t="s">
        <v>284</v>
      </c>
      <c r="E503" s="1763" t="s">
        <v>193</v>
      </c>
      <c r="F503" s="1765" t="s">
        <v>2403</v>
      </c>
      <c r="G503" s="1763" t="s">
        <v>2404</v>
      </c>
      <c r="H503" s="1766" t="s">
        <v>2405</v>
      </c>
      <c r="I503" s="1767" t="s">
        <v>2406</v>
      </c>
      <c r="J503" s="1768"/>
    </row>
    <row r="504" spans="1:10" ht="24">
      <c r="A504" s="1770" t="s">
        <v>2407</v>
      </c>
      <c r="B504" s="1771" t="s">
        <v>2410</v>
      </c>
      <c r="C504" s="1771">
        <v>2692</v>
      </c>
      <c r="D504" s="1772" t="s">
        <v>1679</v>
      </c>
      <c r="E504" s="1773" t="s">
        <v>424</v>
      </c>
      <c r="F504" s="1780">
        <v>0.01</v>
      </c>
      <c r="G504" s="1774">
        <v>8.84</v>
      </c>
      <c r="H504" s="1775">
        <f t="shared" ref="H504:H509" si="60">IF(E504="H",G504,TRUNC(G504*(1-$K$7),2))</f>
        <v>8.7799999999999994</v>
      </c>
      <c r="I504" s="1776">
        <f t="shared" ref="I504:I509" si="61">TRUNC(H504*F504,2)</f>
        <v>0.08</v>
      </c>
      <c r="J504" s="1768"/>
    </row>
    <row r="505" spans="1:10" ht="48">
      <c r="A505" s="1770" t="s">
        <v>2407</v>
      </c>
      <c r="B505" s="1771" t="s">
        <v>2410</v>
      </c>
      <c r="C505" s="1771">
        <v>10749</v>
      </c>
      <c r="D505" s="1772" t="s">
        <v>2562</v>
      </c>
      <c r="E505" s="1773" t="s">
        <v>2563</v>
      </c>
      <c r="F505" s="1780">
        <v>0.39700000000000002</v>
      </c>
      <c r="G505" s="1774">
        <v>10.99</v>
      </c>
      <c r="H505" s="1775">
        <f t="shared" si="60"/>
        <v>10.92</v>
      </c>
      <c r="I505" s="1776">
        <f t="shared" si="61"/>
        <v>4.33</v>
      </c>
      <c r="J505" s="1768"/>
    </row>
    <row r="506" spans="1:10" ht="24">
      <c r="A506" s="1770" t="s">
        <v>2407</v>
      </c>
      <c r="B506" s="1771" t="s">
        <v>2410</v>
      </c>
      <c r="C506" s="1771">
        <v>40270</v>
      </c>
      <c r="D506" s="1772" t="s">
        <v>2564</v>
      </c>
      <c r="E506" s="1773" t="s">
        <v>158</v>
      </c>
      <c r="F506" s="1780">
        <v>9.5000000000000001E-2</v>
      </c>
      <c r="G506" s="1774">
        <v>125.53</v>
      </c>
      <c r="H506" s="1775">
        <f t="shared" si="60"/>
        <v>124.77</v>
      </c>
      <c r="I506" s="1776">
        <f t="shared" si="61"/>
        <v>11.85</v>
      </c>
      <c r="J506" s="1768"/>
    </row>
    <row r="507" spans="1:10" ht="24">
      <c r="A507" s="1770" t="s">
        <v>2407</v>
      </c>
      <c r="B507" s="1771" t="s">
        <v>7</v>
      </c>
      <c r="C507" s="1771">
        <v>88239</v>
      </c>
      <c r="D507" s="1772" t="s">
        <v>423</v>
      </c>
      <c r="E507" s="1773" t="s">
        <v>387</v>
      </c>
      <c r="F507" s="1780">
        <v>9.9000000000000005E-2</v>
      </c>
      <c r="G507" s="1774">
        <v>20.55</v>
      </c>
      <c r="H507" s="1775">
        <f t="shared" si="60"/>
        <v>20.55</v>
      </c>
      <c r="I507" s="1776">
        <f t="shared" si="61"/>
        <v>2.0299999999999998</v>
      </c>
      <c r="J507" s="1768"/>
    </row>
    <row r="508" spans="1:10" ht="24">
      <c r="A508" s="1770" t="s">
        <v>2407</v>
      </c>
      <c r="B508" s="1771" t="s">
        <v>7</v>
      </c>
      <c r="C508" s="1771">
        <v>88262</v>
      </c>
      <c r="D508" s="1772" t="s">
        <v>411</v>
      </c>
      <c r="E508" s="1773" t="s">
        <v>387</v>
      </c>
      <c r="F508" s="1780">
        <v>0.54300000000000004</v>
      </c>
      <c r="G508" s="1774">
        <v>24.32</v>
      </c>
      <c r="H508" s="1775">
        <f t="shared" si="60"/>
        <v>24.32</v>
      </c>
      <c r="I508" s="1776">
        <f t="shared" si="61"/>
        <v>13.2</v>
      </c>
      <c r="J508" s="1768"/>
    </row>
    <row r="509" spans="1:10" ht="36">
      <c r="A509" s="1770" t="s">
        <v>2407</v>
      </c>
      <c r="B509" s="1771" t="s">
        <v>7</v>
      </c>
      <c r="C509" s="1771">
        <v>92267</v>
      </c>
      <c r="D509" s="1772" t="s">
        <v>2565</v>
      </c>
      <c r="E509" s="1773" t="s">
        <v>1137</v>
      </c>
      <c r="F509" s="1780">
        <v>0.19500000000000001</v>
      </c>
      <c r="G509" s="1774">
        <v>83.35</v>
      </c>
      <c r="H509" s="1775">
        <f t="shared" si="60"/>
        <v>82.84</v>
      </c>
      <c r="I509" s="1776">
        <f t="shared" si="61"/>
        <v>16.149999999999999</v>
      </c>
      <c r="J509" s="1768"/>
    </row>
    <row r="510" spans="1:10">
      <c r="A510" s="1917" t="s">
        <v>2408</v>
      </c>
      <c r="B510" s="1918"/>
      <c r="C510" s="1918"/>
      <c r="D510" s="1918"/>
      <c r="E510" s="1918"/>
      <c r="F510" s="1918"/>
      <c r="G510" s="1918"/>
      <c r="H510" s="1919"/>
      <c r="I510" s="1778">
        <f>SUM(I504:I509)</f>
        <v>47.64</v>
      </c>
      <c r="J510" s="1768"/>
    </row>
    <row r="511" spans="1:10">
      <c r="A511" s="1920"/>
      <c r="B511" s="1921"/>
      <c r="C511" s="1921"/>
      <c r="D511" s="1921"/>
      <c r="E511" s="1921"/>
      <c r="F511" s="1921"/>
      <c r="G511" s="1921"/>
      <c r="H511" s="1921"/>
      <c r="I511" s="1922"/>
      <c r="J511" s="1768"/>
    </row>
    <row r="512" spans="1:10" ht="23.25" customHeight="1">
      <c r="A512" s="1757">
        <f>'PLANILHA SEM DESON'!B58</f>
        <v>92768</v>
      </c>
      <c r="B512" s="1923" t="str">
        <f>VLOOKUP(A512,'PLANILHA SEM DESON'!$B$17:$D$1699,2,FALSE)</f>
        <v>ARMAÇÃO DE LAJE DE ESTRUTURA CONVENCIONAL DE CONCRETO ARMADO UTILIZANDO AÇO CA-60 DE 5,0 MM - MONTAGEM. AF_06/2022</v>
      </c>
      <c r="C512" s="1924"/>
      <c r="D512" s="1924"/>
      <c r="E512" s="1924"/>
      <c r="F512" s="1924"/>
      <c r="G512" s="1924"/>
      <c r="H512" s="1925"/>
      <c r="I512" s="1758" t="str">
        <f>VLOOKUP(A512,'PLANILHA SEM DESON'!$B$17:$D$1699,3,FALSE)</f>
        <v>Kg</v>
      </c>
      <c r="J512" s="1759">
        <f>I519</f>
        <v>15.639999999999999</v>
      </c>
    </row>
    <row r="513" spans="1:10" ht="24">
      <c r="A513" s="1761" t="s">
        <v>2401</v>
      </c>
      <c r="B513" s="1762" t="s">
        <v>2402</v>
      </c>
      <c r="C513" s="1763" t="s">
        <v>2399</v>
      </c>
      <c r="D513" s="1764" t="s">
        <v>284</v>
      </c>
      <c r="E513" s="1763" t="s">
        <v>193</v>
      </c>
      <c r="F513" s="1765" t="s">
        <v>2403</v>
      </c>
      <c r="G513" s="1763" t="s">
        <v>2404</v>
      </c>
      <c r="H513" s="1766" t="s">
        <v>2405</v>
      </c>
      <c r="I513" s="1767" t="s">
        <v>2406</v>
      </c>
      <c r="J513" s="1768"/>
    </row>
    <row r="514" spans="1:10" ht="36">
      <c r="A514" s="1770" t="s">
        <v>2407</v>
      </c>
      <c r="B514" s="1771" t="s">
        <v>2410</v>
      </c>
      <c r="C514" s="1771">
        <v>39017</v>
      </c>
      <c r="D514" s="1772" t="s">
        <v>2558</v>
      </c>
      <c r="E514" s="1773" t="s">
        <v>2432</v>
      </c>
      <c r="F514" s="1780">
        <v>2.1179999999999999</v>
      </c>
      <c r="G514" s="1774">
        <v>0.22</v>
      </c>
      <c r="H514" s="1775">
        <f>IF(E514="H",G514,TRUNC(G514*(1-$K$7),2))</f>
        <v>0.21</v>
      </c>
      <c r="I514" s="1776">
        <f t="shared" ref="I514:I518" si="62">TRUNC(H514*F514,2)</f>
        <v>0.44</v>
      </c>
      <c r="J514" s="1768"/>
    </row>
    <row r="515" spans="1:10" ht="24">
      <c r="A515" s="1770" t="s">
        <v>2407</v>
      </c>
      <c r="B515" s="1771" t="s">
        <v>2410</v>
      </c>
      <c r="C515" s="1771">
        <v>43132</v>
      </c>
      <c r="D515" s="1772" t="s">
        <v>2559</v>
      </c>
      <c r="E515" s="1773" t="s">
        <v>1340</v>
      </c>
      <c r="F515" s="1780">
        <v>2.5000000000000001E-2</v>
      </c>
      <c r="G515" s="1774">
        <v>24.9</v>
      </c>
      <c r="H515" s="1775">
        <f>IF(E515="H",G515,TRUNC(G515*(1-$K$7),2))</f>
        <v>24.75</v>
      </c>
      <c r="I515" s="1776">
        <f t="shared" si="62"/>
        <v>0.61</v>
      </c>
      <c r="J515" s="1768"/>
    </row>
    <row r="516" spans="1:10" ht="24">
      <c r="A516" s="1770" t="s">
        <v>2407</v>
      </c>
      <c r="B516" s="1771" t="s">
        <v>7</v>
      </c>
      <c r="C516" s="1771">
        <v>88238</v>
      </c>
      <c r="D516" s="1772" t="s">
        <v>1173</v>
      </c>
      <c r="E516" s="1773" t="s">
        <v>387</v>
      </c>
      <c r="F516" s="1780">
        <v>1.3599999999999999E-2</v>
      </c>
      <c r="G516" s="1774">
        <v>19.41</v>
      </c>
      <c r="H516" s="1775">
        <f>IF(E516="H",G516,TRUNC(G516*(1-$K$7),2))</f>
        <v>19.41</v>
      </c>
      <c r="I516" s="1776">
        <f t="shared" si="62"/>
        <v>0.26</v>
      </c>
      <c r="J516" s="1768"/>
    </row>
    <row r="517" spans="1:10">
      <c r="A517" s="1770" t="s">
        <v>2407</v>
      </c>
      <c r="B517" s="1771" t="s">
        <v>7</v>
      </c>
      <c r="C517" s="1771">
        <v>88245</v>
      </c>
      <c r="D517" s="1772" t="s">
        <v>1174</v>
      </c>
      <c r="E517" s="1773" t="s">
        <v>387</v>
      </c>
      <c r="F517" s="1780">
        <v>8.3599999999999994E-2</v>
      </c>
      <c r="G517" s="1774">
        <v>24.44</v>
      </c>
      <c r="H517" s="1775">
        <f>IF(E517="H",G517,TRUNC(G517*(1-$K$7),2))</f>
        <v>24.44</v>
      </c>
      <c r="I517" s="1776">
        <f t="shared" si="62"/>
        <v>2.04</v>
      </c>
      <c r="J517" s="1768"/>
    </row>
    <row r="518" spans="1:10" ht="24">
      <c r="A518" s="1770" t="s">
        <v>2407</v>
      </c>
      <c r="B518" s="1771" t="s">
        <v>7</v>
      </c>
      <c r="C518" s="1771">
        <v>92800</v>
      </c>
      <c r="D518" s="1772" t="s">
        <v>2366</v>
      </c>
      <c r="E518" s="1773" t="s">
        <v>1145</v>
      </c>
      <c r="F518" s="1780">
        <v>1</v>
      </c>
      <c r="G518" s="1774">
        <v>12.37</v>
      </c>
      <c r="H518" s="1775">
        <f>IF(E518="H",G518,TRUNC(G518*(1-$K$7),2))</f>
        <v>12.29</v>
      </c>
      <c r="I518" s="1776">
        <f t="shared" si="62"/>
        <v>12.29</v>
      </c>
      <c r="J518" s="1768"/>
    </row>
    <row r="519" spans="1:10">
      <c r="A519" s="1917" t="s">
        <v>2408</v>
      </c>
      <c r="B519" s="1918"/>
      <c r="C519" s="1918"/>
      <c r="D519" s="1918"/>
      <c r="E519" s="1918"/>
      <c r="F519" s="1918"/>
      <c r="G519" s="1918"/>
      <c r="H519" s="1919"/>
      <c r="I519" s="1778">
        <f>SUM(I514:I518)</f>
        <v>15.639999999999999</v>
      </c>
      <c r="J519" s="1768"/>
    </row>
    <row r="520" spans="1:10">
      <c r="A520" s="1920"/>
      <c r="B520" s="1921"/>
      <c r="C520" s="1921"/>
      <c r="D520" s="1921"/>
      <c r="E520" s="1921"/>
      <c r="F520" s="1921"/>
      <c r="G520" s="1921"/>
      <c r="H520" s="1921"/>
      <c r="I520" s="1922"/>
      <c r="J520" s="1768"/>
    </row>
    <row r="521" spans="1:10" ht="25.5" customHeight="1">
      <c r="A521" s="1757">
        <f>'PLANILHA SEM DESON'!B59</f>
        <v>92769</v>
      </c>
      <c r="B521" s="1923" t="str">
        <f>VLOOKUP(A521,'PLANILHA SEM DESON'!$B$17:$D$1699,2,FALSE)</f>
        <v>ARMAÇÃO DE LAJE DE ESTRUTURA CONVENCIONAL DE CONCRETO ARMADO UTILIZANDO AÇO CA-60 DE 6,3 MM - MONTAGEM. AF_06/2022</v>
      </c>
      <c r="C521" s="1924"/>
      <c r="D521" s="1924"/>
      <c r="E521" s="1924"/>
      <c r="F521" s="1924"/>
      <c r="G521" s="1924"/>
      <c r="H521" s="1925"/>
      <c r="I521" s="1758" t="str">
        <f>VLOOKUP(A521,'PLANILHA SEM DESON'!$B$17:$D$1699,3,FALSE)</f>
        <v>Kg</v>
      </c>
      <c r="J521" s="1759">
        <f>I528</f>
        <v>15.299999999999999</v>
      </c>
    </row>
    <row r="522" spans="1:10" ht="24">
      <c r="A522" s="1761" t="s">
        <v>2401</v>
      </c>
      <c r="B522" s="1762" t="s">
        <v>2402</v>
      </c>
      <c r="C522" s="1763" t="s">
        <v>2399</v>
      </c>
      <c r="D522" s="1764" t="s">
        <v>284</v>
      </c>
      <c r="E522" s="1763" t="s">
        <v>193</v>
      </c>
      <c r="F522" s="1765" t="s">
        <v>2403</v>
      </c>
      <c r="G522" s="1763" t="s">
        <v>2404</v>
      </c>
      <c r="H522" s="1766" t="s">
        <v>2405</v>
      </c>
      <c r="I522" s="1767" t="s">
        <v>2406</v>
      </c>
      <c r="J522" s="1768"/>
    </row>
    <row r="523" spans="1:10" ht="36">
      <c r="A523" s="1770" t="s">
        <v>2407</v>
      </c>
      <c r="B523" s="1771" t="s">
        <v>2410</v>
      </c>
      <c r="C523" s="1771">
        <v>39017</v>
      </c>
      <c r="D523" s="1772" t="s">
        <v>2558</v>
      </c>
      <c r="E523" s="1773" t="s">
        <v>2432</v>
      </c>
      <c r="F523" s="1780">
        <v>1.333</v>
      </c>
      <c r="G523" s="1774">
        <v>0.22</v>
      </c>
      <c r="H523" s="1775">
        <f>IF(E523="H",G523,TRUNC(G523*(1-$K$7),2))</f>
        <v>0.21</v>
      </c>
      <c r="I523" s="1776">
        <f t="shared" ref="I523:I527" si="63">TRUNC(H523*F523,2)</f>
        <v>0.27</v>
      </c>
      <c r="J523" s="1768"/>
    </row>
    <row r="524" spans="1:10" ht="24">
      <c r="A524" s="1770" t="s">
        <v>2407</v>
      </c>
      <c r="B524" s="1771" t="s">
        <v>2410</v>
      </c>
      <c r="C524" s="1771">
        <v>43132</v>
      </c>
      <c r="D524" s="1772" t="s">
        <v>2559</v>
      </c>
      <c r="E524" s="1773" t="s">
        <v>1340</v>
      </c>
      <c r="F524" s="1780">
        <v>2.5000000000000001E-2</v>
      </c>
      <c r="G524" s="1774">
        <v>24.9</v>
      </c>
      <c r="H524" s="1775">
        <f>IF(E524="H",G524,TRUNC(G524*(1-$K$7),2))</f>
        <v>24.75</v>
      </c>
      <c r="I524" s="1776">
        <f t="shared" si="63"/>
        <v>0.61</v>
      </c>
      <c r="J524" s="1768"/>
    </row>
    <row r="525" spans="1:10" ht="24">
      <c r="A525" s="1770" t="s">
        <v>2407</v>
      </c>
      <c r="B525" s="1771" t="s">
        <v>7</v>
      </c>
      <c r="C525" s="1771">
        <v>88238</v>
      </c>
      <c r="D525" s="1772" t="s">
        <v>1173</v>
      </c>
      <c r="E525" s="1773" t="s">
        <v>387</v>
      </c>
      <c r="F525" s="1780">
        <v>9.7999999999999997E-3</v>
      </c>
      <c r="G525" s="1774">
        <v>19.41</v>
      </c>
      <c r="H525" s="1775">
        <f>IF(E525="H",G525,TRUNC(G525*(1-$K$7),2))</f>
        <v>19.41</v>
      </c>
      <c r="I525" s="1776">
        <f t="shared" si="63"/>
        <v>0.19</v>
      </c>
      <c r="J525" s="1768"/>
    </row>
    <row r="526" spans="1:10">
      <c r="A526" s="1770" t="s">
        <v>2407</v>
      </c>
      <c r="B526" s="1771" t="s">
        <v>7</v>
      </c>
      <c r="C526" s="1771">
        <v>88245</v>
      </c>
      <c r="D526" s="1772" t="s">
        <v>1174</v>
      </c>
      <c r="E526" s="1773" t="s">
        <v>387</v>
      </c>
      <c r="F526" s="1780">
        <v>5.9700000000000003E-2</v>
      </c>
      <c r="G526" s="1774">
        <v>24.44</v>
      </c>
      <c r="H526" s="1775">
        <f>IF(E526="H",G526,TRUNC(G526*(1-$K$7),2))</f>
        <v>24.44</v>
      </c>
      <c r="I526" s="1776">
        <f t="shared" si="63"/>
        <v>1.45</v>
      </c>
      <c r="J526" s="1768"/>
    </row>
    <row r="527" spans="1:10" ht="24">
      <c r="A527" s="1770" t="s">
        <v>2407</v>
      </c>
      <c r="B527" s="1771" t="s">
        <v>7</v>
      </c>
      <c r="C527" s="1771">
        <v>92801</v>
      </c>
      <c r="D527" s="1772" t="s">
        <v>2566</v>
      </c>
      <c r="E527" s="1773" t="s">
        <v>1145</v>
      </c>
      <c r="F527" s="1780">
        <v>1</v>
      </c>
      <c r="G527" s="1774">
        <v>12.86</v>
      </c>
      <c r="H527" s="1775">
        <f>IF(E527="H",G527,TRUNC(G527*(1-$K$7),2))</f>
        <v>12.78</v>
      </c>
      <c r="I527" s="1776">
        <f t="shared" si="63"/>
        <v>12.78</v>
      </c>
      <c r="J527" s="1768"/>
    </row>
    <row r="528" spans="1:10">
      <c r="A528" s="1917" t="s">
        <v>2408</v>
      </c>
      <c r="B528" s="1918"/>
      <c r="C528" s="1918"/>
      <c r="D528" s="1918"/>
      <c r="E528" s="1918"/>
      <c r="F528" s="1918"/>
      <c r="G528" s="1918"/>
      <c r="H528" s="1919"/>
      <c r="I528" s="1778">
        <f>SUM(I523:I527)</f>
        <v>15.299999999999999</v>
      </c>
      <c r="J528" s="1768"/>
    </row>
    <row r="529" spans="1:10">
      <c r="A529" s="1920"/>
      <c r="B529" s="1921"/>
      <c r="C529" s="1921"/>
      <c r="D529" s="1921"/>
      <c r="E529" s="1921"/>
      <c r="F529" s="1921"/>
      <c r="G529" s="1921"/>
      <c r="H529" s="1921"/>
      <c r="I529" s="1922"/>
      <c r="J529" s="1768"/>
    </row>
    <row r="530" spans="1:10" ht="24.75" customHeight="1">
      <c r="A530" s="1757">
        <f>'PLANILHA SEM DESON'!B60</f>
        <v>92770</v>
      </c>
      <c r="B530" s="1923" t="str">
        <f>VLOOKUP(A530,'PLANILHA SEM DESON'!$B$17:$D$1699,2,FALSE)</f>
        <v>ARMAÇÃO DE LAJE DE ESTRUTURA CONVENCIONAL DE CONCRETO ARMADO UTILIZANDO AÇO CA-50 DE 8,0 MM - MONTAGEM. AF_06/2022</v>
      </c>
      <c r="C530" s="1924"/>
      <c r="D530" s="1924"/>
      <c r="E530" s="1924"/>
      <c r="F530" s="1924"/>
      <c r="G530" s="1924"/>
      <c r="H530" s="1925"/>
      <c r="I530" s="1758" t="str">
        <f>VLOOKUP(A530,'PLANILHA SEM DESON'!$B$17:$D$1699,3,FALSE)</f>
        <v>Kg</v>
      </c>
      <c r="J530" s="1759">
        <f>I537</f>
        <v>14.76</v>
      </c>
    </row>
    <row r="531" spans="1:10" ht="24">
      <c r="A531" s="1761" t="s">
        <v>2401</v>
      </c>
      <c r="B531" s="1762" t="s">
        <v>2402</v>
      </c>
      <c r="C531" s="1763" t="s">
        <v>2399</v>
      </c>
      <c r="D531" s="1764" t="s">
        <v>284</v>
      </c>
      <c r="E531" s="1763" t="s">
        <v>193</v>
      </c>
      <c r="F531" s="1765" t="s">
        <v>2403</v>
      </c>
      <c r="G531" s="1763" t="s">
        <v>2404</v>
      </c>
      <c r="H531" s="1766" t="s">
        <v>2405</v>
      </c>
      <c r="I531" s="1767" t="s">
        <v>2406</v>
      </c>
      <c r="J531" s="1768"/>
    </row>
    <row r="532" spans="1:10" ht="36">
      <c r="A532" s="1770" t="s">
        <v>2407</v>
      </c>
      <c r="B532" s="1771" t="s">
        <v>2410</v>
      </c>
      <c r="C532" s="1771">
        <v>39017</v>
      </c>
      <c r="D532" s="1772" t="s">
        <v>2558</v>
      </c>
      <c r="E532" s="1773" t="s">
        <v>2432</v>
      </c>
      <c r="F532" s="1780">
        <v>0.72799999999999998</v>
      </c>
      <c r="G532" s="1774">
        <v>0.22</v>
      </c>
      <c r="H532" s="1775">
        <f>IF(E532="H",G532,TRUNC(G532*(1-$K$7),2))</f>
        <v>0.21</v>
      </c>
      <c r="I532" s="1776">
        <f t="shared" ref="I532:I536" si="64">TRUNC(H532*F532,2)</f>
        <v>0.15</v>
      </c>
      <c r="J532" s="1768"/>
    </row>
    <row r="533" spans="1:10" ht="24">
      <c r="A533" s="1770" t="s">
        <v>2407</v>
      </c>
      <c r="B533" s="1771" t="s">
        <v>2410</v>
      </c>
      <c r="C533" s="1771">
        <v>43132</v>
      </c>
      <c r="D533" s="1772" t="s">
        <v>2559</v>
      </c>
      <c r="E533" s="1773" t="s">
        <v>1340</v>
      </c>
      <c r="F533" s="1780">
        <v>2.5000000000000001E-2</v>
      </c>
      <c r="G533" s="1774">
        <v>24.9</v>
      </c>
      <c r="H533" s="1775">
        <f>IF(E533="H",G533,TRUNC(G533*(1-$K$7),2))</f>
        <v>24.75</v>
      </c>
      <c r="I533" s="1776">
        <f t="shared" si="64"/>
        <v>0.61</v>
      </c>
      <c r="J533" s="1768"/>
    </row>
    <row r="534" spans="1:10" ht="24">
      <c r="A534" s="1770" t="s">
        <v>2407</v>
      </c>
      <c r="B534" s="1771" t="s">
        <v>7</v>
      </c>
      <c r="C534" s="1771">
        <v>88238</v>
      </c>
      <c r="D534" s="1772" t="s">
        <v>1173</v>
      </c>
      <c r="E534" s="1773" t="s">
        <v>387</v>
      </c>
      <c r="F534" s="1780">
        <v>6.6E-3</v>
      </c>
      <c r="G534" s="1774">
        <v>19.41</v>
      </c>
      <c r="H534" s="1775">
        <f>IF(E534="H",G534,TRUNC(G534*(1-$K$7),2))</f>
        <v>19.41</v>
      </c>
      <c r="I534" s="1776">
        <f t="shared" si="64"/>
        <v>0.12</v>
      </c>
      <c r="J534" s="1768"/>
    </row>
    <row r="535" spans="1:10">
      <c r="A535" s="1770" t="s">
        <v>2407</v>
      </c>
      <c r="B535" s="1771" t="s">
        <v>7</v>
      </c>
      <c r="C535" s="1771">
        <v>88245</v>
      </c>
      <c r="D535" s="1772" t="s">
        <v>1174</v>
      </c>
      <c r="E535" s="1773" t="s">
        <v>387</v>
      </c>
      <c r="F535" s="1780">
        <v>4.0300000000000002E-2</v>
      </c>
      <c r="G535" s="1774">
        <v>24.44</v>
      </c>
      <c r="H535" s="1775">
        <f>IF(E535="H",G535,TRUNC(G535*(1-$K$7),2))</f>
        <v>24.44</v>
      </c>
      <c r="I535" s="1776">
        <f t="shared" si="64"/>
        <v>0.98</v>
      </c>
      <c r="J535" s="1768"/>
    </row>
    <row r="536" spans="1:10" ht="24">
      <c r="A536" s="1770" t="s">
        <v>2407</v>
      </c>
      <c r="B536" s="1771" t="s">
        <v>7</v>
      </c>
      <c r="C536" s="1771">
        <v>92802</v>
      </c>
      <c r="D536" s="1772" t="s">
        <v>2560</v>
      </c>
      <c r="E536" s="1773" t="s">
        <v>1145</v>
      </c>
      <c r="F536" s="1780">
        <v>1</v>
      </c>
      <c r="G536" s="1774">
        <v>12.98</v>
      </c>
      <c r="H536" s="1775">
        <f>IF(E536="H",G536,TRUNC(G536*(1-$K$7),2))</f>
        <v>12.9</v>
      </c>
      <c r="I536" s="1776">
        <f t="shared" si="64"/>
        <v>12.9</v>
      </c>
      <c r="J536" s="1768"/>
    </row>
    <row r="537" spans="1:10">
      <c r="A537" s="1917" t="s">
        <v>2408</v>
      </c>
      <c r="B537" s="1918"/>
      <c r="C537" s="1918"/>
      <c r="D537" s="1918"/>
      <c r="E537" s="1918"/>
      <c r="F537" s="1918"/>
      <c r="G537" s="1918"/>
      <c r="H537" s="1919"/>
      <c r="I537" s="1778">
        <f>SUM(I532:I536)</f>
        <v>14.76</v>
      </c>
      <c r="J537" s="1768"/>
    </row>
    <row r="538" spans="1:10">
      <c r="A538" s="1920"/>
      <c r="B538" s="1921"/>
      <c r="C538" s="1921"/>
      <c r="D538" s="1921"/>
      <c r="E538" s="1921"/>
      <c r="F538" s="1921"/>
      <c r="G538" s="1921"/>
      <c r="H538" s="1921"/>
      <c r="I538" s="1922"/>
      <c r="J538" s="1768"/>
    </row>
    <row r="539" spans="1:10" ht="28.5" customHeight="1">
      <c r="A539" s="1757">
        <f>'PLANILHA SEM DESON'!B61</f>
        <v>102730</v>
      </c>
      <c r="B539" s="1923" t="str">
        <f>VLOOKUP(A539,'PLANILHA SEM DESON'!$B$17:$D$1699,2,FALSE)</f>
        <v>ARMAÇÃO DE MURO ALA E MURO TESTA UTILIZANDO AÇO CA-50 DE 10 MM - MONTAGEM. AF_07/2021</v>
      </c>
      <c r="C539" s="1924"/>
      <c r="D539" s="1924"/>
      <c r="E539" s="1924"/>
      <c r="F539" s="1924"/>
      <c r="G539" s="1924"/>
      <c r="H539" s="1925"/>
      <c r="I539" s="1758" t="str">
        <f>VLOOKUP(A539,'PLANILHA SEM DESON'!$B$17:$D$1699,3,FALSE)</f>
        <v>Kg</v>
      </c>
      <c r="J539" s="1759">
        <f>I546</f>
        <v>14.55</v>
      </c>
    </row>
    <row r="540" spans="1:10" ht="24">
      <c r="A540" s="1761" t="s">
        <v>2401</v>
      </c>
      <c r="B540" s="1762" t="s">
        <v>2402</v>
      </c>
      <c r="C540" s="1763" t="s">
        <v>2399</v>
      </c>
      <c r="D540" s="1764" t="s">
        <v>284</v>
      </c>
      <c r="E540" s="1763" t="s">
        <v>193</v>
      </c>
      <c r="F540" s="1765" t="s">
        <v>2403</v>
      </c>
      <c r="G540" s="1763" t="s">
        <v>2404</v>
      </c>
      <c r="H540" s="1766" t="s">
        <v>2405</v>
      </c>
      <c r="I540" s="1767" t="s">
        <v>2406</v>
      </c>
      <c r="J540" s="1768"/>
    </row>
    <row r="541" spans="1:10" ht="36">
      <c r="A541" s="1770" t="s">
        <v>2407</v>
      </c>
      <c r="B541" s="1771" t="s">
        <v>2410</v>
      </c>
      <c r="C541" s="1771">
        <v>39017</v>
      </c>
      <c r="D541" s="1772" t="s">
        <v>2558</v>
      </c>
      <c r="E541" s="1773" t="s">
        <v>2432</v>
      </c>
      <c r="F541" s="1780">
        <v>0.54300000000000004</v>
      </c>
      <c r="G541" s="1774">
        <v>0.22</v>
      </c>
      <c r="H541" s="1775">
        <f>IF(E541="H",G541,TRUNC(G541*(1-$K$7),2))</f>
        <v>0.21</v>
      </c>
      <c r="I541" s="1776">
        <f t="shared" ref="I541:I545" si="65">TRUNC(H541*F541,2)</f>
        <v>0.11</v>
      </c>
      <c r="J541" s="1768"/>
    </row>
    <row r="542" spans="1:10" ht="24">
      <c r="A542" s="1770" t="s">
        <v>2407</v>
      </c>
      <c r="B542" s="1771" t="s">
        <v>2410</v>
      </c>
      <c r="C542" s="1771">
        <v>43132</v>
      </c>
      <c r="D542" s="1772" t="s">
        <v>2559</v>
      </c>
      <c r="E542" s="1773" t="s">
        <v>1340</v>
      </c>
      <c r="F542" s="1780">
        <v>2.5000000000000001E-2</v>
      </c>
      <c r="G542" s="1774">
        <v>24.9</v>
      </c>
      <c r="H542" s="1775">
        <f>IF(E542="H",G542,TRUNC(G542*(1-$K$7),2))</f>
        <v>24.75</v>
      </c>
      <c r="I542" s="1776">
        <f t="shared" si="65"/>
        <v>0.61</v>
      </c>
      <c r="J542" s="1768"/>
    </row>
    <row r="543" spans="1:10" ht="24">
      <c r="A543" s="1770" t="s">
        <v>2407</v>
      </c>
      <c r="B543" s="1771" t="s">
        <v>7</v>
      </c>
      <c r="C543" s="1771">
        <v>88238</v>
      </c>
      <c r="D543" s="1772" t="s">
        <v>1173</v>
      </c>
      <c r="E543" s="1773" t="s">
        <v>387</v>
      </c>
      <c r="F543" s="1780">
        <v>1.0999999999999999E-2</v>
      </c>
      <c r="G543" s="1774">
        <v>19.41</v>
      </c>
      <c r="H543" s="1775">
        <f>IF(E543="H",G543,TRUNC(G543*(1-$K$7),2))</f>
        <v>19.41</v>
      </c>
      <c r="I543" s="1776">
        <f t="shared" si="65"/>
        <v>0.21</v>
      </c>
      <c r="J543" s="1768"/>
    </row>
    <row r="544" spans="1:10">
      <c r="A544" s="1770" t="s">
        <v>2407</v>
      </c>
      <c r="B544" s="1771" t="s">
        <v>7</v>
      </c>
      <c r="C544" s="1771">
        <v>88245</v>
      </c>
      <c r="D544" s="1772" t="s">
        <v>1174</v>
      </c>
      <c r="E544" s="1773" t="s">
        <v>387</v>
      </c>
      <c r="F544" s="1780">
        <v>6.7299999999999999E-2</v>
      </c>
      <c r="G544" s="1774">
        <v>24.44</v>
      </c>
      <c r="H544" s="1775">
        <f>IF(E544="H",G544,TRUNC(G544*(1-$K$7),2))</f>
        <v>24.44</v>
      </c>
      <c r="I544" s="1776">
        <f t="shared" si="65"/>
        <v>1.64</v>
      </c>
      <c r="J544" s="1768"/>
    </row>
    <row r="545" spans="1:10" ht="24">
      <c r="A545" s="1770" t="s">
        <v>2407</v>
      </c>
      <c r="B545" s="1771" t="s">
        <v>7</v>
      </c>
      <c r="C545" s="1771">
        <v>92803</v>
      </c>
      <c r="D545" s="1772" t="s">
        <v>2167</v>
      </c>
      <c r="E545" s="1773" t="s">
        <v>1145</v>
      </c>
      <c r="F545" s="1780">
        <v>1</v>
      </c>
      <c r="G545" s="1774">
        <v>12.06</v>
      </c>
      <c r="H545" s="1775">
        <f>IF(E545="H",G545,TRUNC(G545*(1-$K$7),2))</f>
        <v>11.98</v>
      </c>
      <c r="I545" s="1776">
        <f t="shared" si="65"/>
        <v>11.98</v>
      </c>
      <c r="J545" s="1768"/>
    </row>
    <row r="546" spans="1:10">
      <c r="A546" s="1917" t="s">
        <v>2408</v>
      </c>
      <c r="B546" s="1918"/>
      <c r="C546" s="1918"/>
      <c r="D546" s="1918"/>
      <c r="E546" s="1918"/>
      <c r="F546" s="1918"/>
      <c r="G546" s="1918"/>
      <c r="H546" s="1919"/>
      <c r="I546" s="1778">
        <f>SUM(I541:I545)</f>
        <v>14.55</v>
      </c>
      <c r="J546" s="1768"/>
    </row>
    <row r="547" spans="1:10">
      <c r="A547" s="1920"/>
      <c r="B547" s="1921"/>
      <c r="C547" s="1921"/>
      <c r="D547" s="1921"/>
      <c r="E547" s="1921"/>
      <c r="F547" s="1921"/>
      <c r="G547" s="1921"/>
      <c r="H547" s="1921"/>
      <c r="I547" s="1922"/>
      <c r="J547" s="1768"/>
    </row>
    <row r="548" spans="1:10" ht="24.75" customHeight="1">
      <c r="A548" s="1757">
        <f>'PLANILHA SEM DESON'!B62</f>
        <v>102731</v>
      </c>
      <c r="B548" s="1923" t="str">
        <f>VLOOKUP(A548,'PLANILHA SEM DESON'!$B$17:$D$1699,2,FALSE)</f>
        <v>ARMAÇÃO DE MURO ALA E MURO TESTA UTILIZANDO AÇO CA-50 DE 12,5 MM - MONTAGEM. AF_07/2021</v>
      </c>
      <c r="C548" s="1924"/>
      <c r="D548" s="1924"/>
      <c r="E548" s="1924"/>
      <c r="F548" s="1924"/>
      <c r="G548" s="1924"/>
      <c r="H548" s="1925"/>
      <c r="I548" s="1758" t="str">
        <f>VLOOKUP(A548,'PLANILHA SEM DESON'!$B$17:$D$1699,3,FALSE)</f>
        <v>Kg</v>
      </c>
      <c r="J548" s="1759">
        <f>I555</f>
        <v>12.319999999999999</v>
      </c>
    </row>
    <row r="549" spans="1:10" ht="24">
      <c r="A549" s="1761" t="s">
        <v>2401</v>
      </c>
      <c r="B549" s="1762" t="s">
        <v>2402</v>
      </c>
      <c r="C549" s="1763" t="s">
        <v>2399</v>
      </c>
      <c r="D549" s="1764" t="s">
        <v>284</v>
      </c>
      <c r="E549" s="1763" t="s">
        <v>193</v>
      </c>
      <c r="F549" s="1765" t="s">
        <v>2403</v>
      </c>
      <c r="G549" s="1763" t="s">
        <v>2404</v>
      </c>
      <c r="H549" s="1766" t="s">
        <v>2405</v>
      </c>
      <c r="I549" s="1767" t="s">
        <v>2406</v>
      </c>
      <c r="J549" s="1768"/>
    </row>
    <row r="550" spans="1:10" ht="36">
      <c r="A550" s="1770" t="s">
        <v>2407</v>
      </c>
      <c r="B550" s="1771" t="s">
        <v>2410</v>
      </c>
      <c r="C550" s="1771">
        <v>39017</v>
      </c>
      <c r="D550" s="1772" t="s">
        <v>2558</v>
      </c>
      <c r="E550" s="1773" t="s">
        <v>2432</v>
      </c>
      <c r="F550" s="1780">
        <v>0.36699999999999999</v>
      </c>
      <c r="G550" s="1774">
        <v>0.22</v>
      </c>
      <c r="H550" s="1775">
        <f>IF(E550="H",G550,TRUNC(G550*(1-$K$7),2))</f>
        <v>0.21</v>
      </c>
      <c r="I550" s="1776">
        <f t="shared" ref="I550:I554" si="66">TRUNC(H550*F550,2)</f>
        <v>7.0000000000000007E-2</v>
      </c>
      <c r="J550" s="1768"/>
    </row>
    <row r="551" spans="1:10" ht="24">
      <c r="A551" s="1770" t="s">
        <v>2407</v>
      </c>
      <c r="B551" s="1771" t="s">
        <v>2410</v>
      </c>
      <c r="C551" s="1771">
        <v>43132</v>
      </c>
      <c r="D551" s="1772" t="s">
        <v>2559</v>
      </c>
      <c r="E551" s="1773" t="s">
        <v>1340</v>
      </c>
      <c r="F551" s="1780">
        <v>2.5000000000000001E-2</v>
      </c>
      <c r="G551" s="1774">
        <v>24.9</v>
      </c>
      <c r="H551" s="1775">
        <f>IF(E551="H",G551,TRUNC(G551*(1-$K$7),2))</f>
        <v>24.75</v>
      </c>
      <c r="I551" s="1776">
        <f t="shared" si="66"/>
        <v>0.61</v>
      </c>
      <c r="J551" s="1768"/>
    </row>
    <row r="552" spans="1:10" ht="24">
      <c r="A552" s="1770" t="s">
        <v>2407</v>
      </c>
      <c r="B552" s="1771" t="s">
        <v>7</v>
      </c>
      <c r="C552" s="1771">
        <v>88238</v>
      </c>
      <c r="D552" s="1772" t="s">
        <v>1173</v>
      </c>
      <c r="E552" s="1773" t="s">
        <v>387</v>
      </c>
      <c r="F552" s="1780">
        <v>8.0000000000000002E-3</v>
      </c>
      <c r="G552" s="1774">
        <v>19.41</v>
      </c>
      <c r="H552" s="1775">
        <f>IF(E552="H",G552,TRUNC(G552*(1-$K$7),2))</f>
        <v>19.41</v>
      </c>
      <c r="I552" s="1776">
        <f t="shared" si="66"/>
        <v>0.15</v>
      </c>
      <c r="J552" s="1768"/>
    </row>
    <row r="553" spans="1:10">
      <c r="A553" s="1770" t="s">
        <v>2407</v>
      </c>
      <c r="B553" s="1771" t="s">
        <v>7</v>
      </c>
      <c r="C553" s="1771">
        <v>88245</v>
      </c>
      <c r="D553" s="1772" t="s">
        <v>1174</v>
      </c>
      <c r="E553" s="1773" t="s">
        <v>387</v>
      </c>
      <c r="F553" s="1780">
        <v>4.9200000000000001E-2</v>
      </c>
      <c r="G553" s="1774">
        <v>24.44</v>
      </c>
      <c r="H553" s="1775">
        <f>IF(E553="H",G553,TRUNC(G553*(1-$K$7),2))</f>
        <v>24.44</v>
      </c>
      <c r="I553" s="1776">
        <f t="shared" si="66"/>
        <v>1.2</v>
      </c>
      <c r="J553" s="1768"/>
    </row>
    <row r="554" spans="1:10" ht="24">
      <c r="A554" s="1770" t="s">
        <v>2407</v>
      </c>
      <c r="B554" s="1771" t="s">
        <v>7</v>
      </c>
      <c r="C554" s="1771">
        <v>92804</v>
      </c>
      <c r="D554" s="1772" t="s">
        <v>2561</v>
      </c>
      <c r="E554" s="1773" t="s">
        <v>1145</v>
      </c>
      <c r="F554" s="1780">
        <v>1</v>
      </c>
      <c r="G554" s="1774">
        <v>10.36</v>
      </c>
      <c r="H554" s="1775">
        <f>IF(E554="H",G554,TRUNC(G554*(1-$K$7),2))</f>
        <v>10.29</v>
      </c>
      <c r="I554" s="1776">
        <f t="shared" si="66"/>
        <v>10.29</v>
      </c>
      <c r="J554" s="1768"/>
    </row>
    <row r="555" spans="1:10">
      <c r="A555" s="1917" t="s">
        <v>2408</v>
      </c>
      <c r="B555" s="1918"/>
      <c r="C555" s="1918"/>
      <c r="D555" s="1918"/>
      <c r="E555" s="1918"/>
      <c r="F555" s="1918"/>
      <c r="G555" s="1918"/>
      <c r="H555" s="1919"/>
      <c r="I555" s="1778">
        <f>SUM(I550:I554)</f>
        <v>12.319999999999999</v>
      </c>
      <c r="J555" s="1768"/>
    </row>
    <row r="556" spans="1:10">
      <c r="A556" s="1920"/>
      <c r="B556" s="1921"/>
      <c r="C556" s="1921"/>
      <c r="D556" s="1921"/>
      <c r="E556" s="1921"/>
      <c r="F556" s="1921"/>
      <c r="G556" s="1921"/>
      <c r="H556" s="1921"/>
      <c r="I556" s="1922"/>
      <c r="J556" s="1768"/>
    </row>
    <row r="557" spans="1:10" ht="22.5" customHeight="1">
      <c r="A557" s="1757" t="str">
        <f>'PLANILHA SEM DESON'!B64</f>
        <v>COMP ESTR 04</v>
      </c>
      <c r="B557" s="1923" t="str">
        <f>VLOOKUP(A557,'PLANILHA SEM DESON'!$B$17:$D$1699,2,FALSE)</f>
        <v>LAJE TRELIÇADA (TR 10644) COM ENCHIMENTO EM EPS UNIDIRECIONAL B10/40/49</v>
      </c>
      <c r="C557" s="1924"/>
      <c r="D557" s="1924"/>
      <c r="E557" s="1924"/>
      <c r="F557" s="1924"/>
      <c r="G557" s="1924"/>
      <c r="H557" s="1925"/>
      <c r="I557" s="1758" t="str">
        <f>VLOOKUP(A557,'PLANILHA SEM DESON'!$B$17:$D$1699,3,FALSE)</f>
        <v>m²</v>
      </c>
      <c r="J557" s="1759">
        <f>I569</f>
        <v>160.36000000000001</v>
      </c>
    </row>
    <row r="558" spans="1:10" ht="24">
      <c r="A558" s="1761" t="s">
        <v>2401</v>
      </c>
      <c r="B558" s="1762" t="s">
        <v>2402</v>
      </c>
      <c r="C558" s="1763" t="s">
        <v>2399</v>
      </c>
      <c r="D558" s="1764" t="s">
        <v>284</v>
      </c>
      <c r="E558" s="1763" t="s">
        <v>193</v>
      </c>
      <c r="F558" s="1765" t="s">
        <v>2403</v>
      </c>
      <c r="G558" s="1763" t="s">
        <v>2404</v>
      </c>
      <c r="H558" s="1766" t="s">
        <v>2405</v>
      </c>
      <c r="I558" s="1767" t="s">
        <v>2406</v>
      </c>
      <c r="J558" s="1768"/>
    </row>
    <row r="559" spans="1:10" ht="24">
      <c r="A559" s="1770" t="s">
        <v>2407</v>
      </c>
      <c r="B559" s="1771"/>
      <c r="C559" s="1771">
        <v>88239</v>
      </c>
      <c r="D559" s="1772" t="s">
        <v>423</v>
      </c>
      <c r="E559" s="1773" t="s">
        <v>57</v>
      </c>
      <c r="F559" s="1779">
        <v>0.16</v>
      </c>
      <c r="G559" s="1781">
        <v>20.55</v>
      </c>
      <c r="H559" s="1775">
        <f t="shared" ref="H559:H568" si="67">IF(E559="H",G559,TRUNC(G559*(1-$K$7),2))</f>
        <v>20.55</v>
      </c>
      <c r="I559" s="1776">
        <f t="shared" ref="I559:I568" si="68">TRUNC(H559*F559,2)</f>
        <v>3.28</v>
      </c>
      <c r="J559" s="1768"/>
    </row>
    <row r="560" spans="1:10" ht="24">
      <c r="A560" s="1770" t="s">
        <v>2407</v>
      </c>
      <c r="B560" s="1771"/>
      <c r="C560" s="1771">
        <v>88262</v>
      </c>
      <c r="D560" s="1772" t="s">
        <v>411</v>
      </c>
      <c r="E560" s="1773" t="s">
        <v>57</v>
      </c>
      <c r="F560" s="1779">
        <v>0.16</v>
      </c>
      <c r="G560" s="1781">
        <v>24.32</v>
      </c>
      <c r="H560" s="1775">
        <f t="shared" si="67"/>
        <v>24.32</v>
      </c>
      <c r="I560" s="1776">
        <f t="shared" si="68"/>
        <v>3.89</v>
      </c>
      <c r="J560" s="1768"/>
    </row>
    <row r="561" spans="1:10">
      <c r="A561" s="1770" t="s">
        <v>2407</v>
      </c>
      <c r="B561" s="1771"/>
      <c r="C561" s="1771">
        <v>88309</v>
      </c>
      <c r="D561" s="1772" t="s">
        <v>103</v>
      </c>
      <c r="E561" s="1773" t="s">
        <v>57</v>
      </c>
      <c r="F561" s="1779">
        <v>0.35</v>
      </c>
      <c r="G561" s="1781">
        <v>24.59</v>
      </c>
      <c r="H561" s="1775">
        <f t="shared" si="67"/>
        <v>24.59</v>
      </c>
      <c r="I561" s="1776">
        <f t="shared" si="68"/>
        <v>8.6</v>
      </c>
      <c r="J561" s="1768"/>
    </row>
    <row r="562" spans="1:10">
      <c r="A562" s="1770" t="s">
        <v>2407</v>
      </c>
      <c r="B562" s="1771"/>
      <c r="C562" s="1771">
        <v>88316</v>
      </c>
      <c r="D562" s="1772" t="s">
        <v>66</v>
      </c>
      <c r="E562" s="1773" t="s">
        <v>57</v>
      </c>
      <c r="F562" s="1779">
        <v>0.35</v>
      </c>
      <c r="G562" s="1781">
        <v>19.45</v>
      </c>
      <c r="H562" s="1775">
        <f t="shared" si="67"/>
        <v>19.45</v>
      </c>
      <c r="I562" s="1776">
        <f t="shared" si="68"/>
        <v>6.8</v>
      </c>
      <c r="J562" s="1768"/>
    </row>
    <row r="563" spans="1:10" ht="36">
      <c r="A563" s="1770" t="s">
        <v>2407</v>
      </c>
      <c r="B563" s="1771"/>
      <c r="C563" s="1771">
        <v>94965</v>
      </c>
      <c r="D563" s="1772" t="s">
        <v>395</v>
      </c>
      <c r="E563" s="1773" t="s">
        <v>47</v>
      </c>
      <c r="F563" s="1784">
        <v>3.3000000000000002E-2</v>
      </c>
      <c r="G563" s="1779">
        <v>568</v>
      </c>
      <c r="H563" s="1775">
        <f t="shared" si="67"/>
        <v>564.59</v>
      </c>
      <c r="I563" s="1776">
        <f t="shared" ref="I563:I565" si="69">TRUNC(H563*F563,2)</f>
        <v>18.63</v>
      </c>
      <c r="J563" s="1768"/>
    </row>
    <row r="564" spans="1:10" ht="36">
      <c r="A564" s="1770" t="s">
        <v>2407</v>
      </c>
      <c r="B564" s="1771"/>
      <c r="C564" s="1771">
        <v>103673</v>
      </c>
      <c r="D564" s="1772" t="s">
        <v>2317</v>
      </c>
      <c r="E564" s="1773" t="s">
        <v>47</v>
      </c>
      <c r="F564" s="1784">
        <v>3.3000000000000002E-2</v>
      </c>
      <c r="G564" s="1779">
        <v>37.31</v>
      </c>
      <c r="H564" s="1775">
        <f t="shared" si="67"/>
        <v>37.08</v>
      </c>
      <c r="I564" s="1776">
        <f t="shared" si="69"/>
        <v>1.22</v>
      </c>
      <c r="J564" s="1768"/>
    </row>
    <row r="565" spans="1:10" ht="36">
      <c r="A565" s="1770" t="s">
        <v>2407</v>
      </c>
      <c r="B565" s="1771"/>
      <c r="C565" s="1771">
        <v>3742</v>
      </c>
      <c r="D565" s="1772" t="s">
        <v>1953</v>
      </c>
      <c r="E565" s="1773" t="s">
        <v>46</v>
      </c>
      <c r="F565" s="1784">
        <v>1</v>
      </c>
      <c r="G565" s="1779">
        <v>110.06</v>
      </c>
      <c r="H565" s="1775">
        <f t="shared" si="67"/>
        <v>109.39</v>
      </c>
      <c r="I565" s="1776">
        <f t="shared" si="69"/>
        <v>109.39</v>
      </c>
      <c r="J565" s="1768"/>
    </row>
    <row r="566" spans="1:10" ht="24">
      <c r="A566" s="1770" t="s">
        <v>2407</v>
      </c>
      <c r="B566" s="1771"/>
      <c r="C566" s="1771">
        <v>4491</v>
      </c>
      <c r="D566" s="1772" t="s">
        <v>1390</v>
      </c>
      <c r="E566" s="1773" t="s">
        <v>54</v>
      </c>
      <c r="F566" s="1784">
        <v>0.28999999999999998</v>
      </c>
      <c r="G566" s="1779">
        <v>11.67</v>
      </c>
      <c r="H566" s="1775">
        <f t="shared" si="67"/>
        <v>11.59</v>
      </c>
      <c r="I566" s="1776">
        <f t="shared" si="68"/>
        <v>3.36</v>
      </c>
      <c r="J566" s="1768"/>
    </row>
    <row r="567" spans="1:10" ht="24">
      <c r="A567" s="1770" t="s">
        <v>2407</v>
      </c>
      <c r="B567" s="1771"/>
      <c r="C567" s="1771">
        <v>5061</v>
      </c>
      <c r="D567" s="1772" t="s">
        <v>1391</v>
      </c>
      <c r="E567" s="1773" t="s">
        <v>100</v>
      </c>
      <c r="F567" s="1784">
        <v>0.03</v>
      </c>
      <c r="G567" s="1779">
        <v>25.45</v>
      </c>
      <c r="H567" s="1775">
        <f t="shared" si="67"/>
        <v>25.29</v>
      </c>
      <c r="I567" s="1776">
        <f t="shared" si="68"/>
        <v>0.75</v>
      </c>
      <c r="J567" s="1768"/>
    </row>
    <row r="568" spans="1:10" ht="36">
      <c r="A568" s="1770" t="s">
        <v>2407</v>
      </c>
      <c r="B568" s="1771"/>
      <c r="C568" s="1771">
        <v>6189</v>
      </c>
      <c r="D568" s="1772" t="s">
        <v>1392</v>
      </c>
      <c r="E568" s="1773" t="s">
        <v>54</v>
      </c>
      <c r="F568" s="1784">
        <v>0.17</v>
      </c>
      <c r="G568" s="1779">
        <v>26.29</v>
      </c>
      <c r="H568" s="1775">
        <f t="shared" si="67"/>
        <v>26.13</v>
      </c>
      <c r="I568" s="1776">
        <f t="shared" si="68"/>
        <v>4.4400000000000004</v>
      </c>
      <c r="J568" s="1768"/>
    </row>
    <row r="569" spans="1:10">
      <c r="A569" s="1917" t="s">
        <v>2408</v>
      </c>
      <c r="B569" s="1918"/>
      <c r="C569" s="1918"/>
      <c r="D569" s="1918"/>
      <c r="E569" s="1918"/>
      <c r="F569" s="1918"/>
      <c r="G569" s="1918"/>
      <c r="H569" s="1919"/>
      <c r="I569" s="1778">
        <f>SUM(I559:I568)</f>
        <v>160.36000000000001</v>
      </c>
      <c r="J569" s="1768"/>
    </row>
    <row r="570" spans="1:10">
      <c r="A570" s="1920"/>
      <c r="B570" s="1921"/>
      <c r="C570" s="1921"/>
      <c r="D570" s="1921"/>
      <c r="E570" s="1921"/>
      <c r="F570" s="1921"/>
      <c r="G570" s="1921"/>
      <c r="H570" s="1921"/>
      <c r="I570" s="1922"/>
      <c r="J570" s="1768"/>
    </row>
    <row r="571" spans="1:10" ht="22.5" customHeight="1">
      <c r="A571" s="1757">
        <f>'PLANILHA SEM DESON'!B70</f>
        <v>92431</v>
      </c>
      <c r="B571" s="1923" t="str">
        <f>VLOOKUP(A571,'PLANILHA SEM DESON'!$B$17:$D$1699,2,FALSE)</f>
        <v>MONTAGEM E DESMONTAGEM DE FÔRMA DE PILARES RETANGULARES E ESTRUTURAS SIMILARES, PÉ-DIREITO SIMPLES, EM CHAPA DE MADEIRA COMPENSADA PLASTIFICADA, 10 UTILIZAÇÕES. AF_09/2020</v>
      </c>
      <c r="C571" s="1924"/>
      <c r="D571" s="1924"/>
      <c r="E571" s="1924"/>
      <c r="F571" s="1924"/>
      <c r="G571" s="1924"/>
      <c r="H571" s="1925"/>
      <c r="I571" s="1758" t="str">
        <f>VLOOKUP(A571,'PLANILHA SEM DESON'!$B$17:$D$1699,3,FALSE)</f>
        <v>m²</v>
      </c>
      <c r="J571" s="1759">
        <f>I581</f>
        <v>66.3</v>
      </c>
    </row>
    <row r="572" spans="1:10" ht="24">
      <c r="A572" s="1761" t="s">
        <v>2401</v>
      </c>
      <c r="B572" s="1762" t="s">
        <v>2402</v>
      </c>
      <c r="C572" s="1763" t="s">
        <v>2399</v>
      </c>
      <c r="D572" s="1764" t="s">
        <v>284</v>
      </c>
      <c r="E572" s="1763" t="s">
        <v>193</v>
      </c>
      <c r="F572" s="1765" t="s">
        <v>2403</v>
      </c>
      <c r="G572" s="1763" t="s">
        <v>2404</v>
      </c>
      <c r="H572" s="1766" t="s">
        <v>2405</v>
      </c>
      <c r="I572" s="1767" t="s">
        <v>2406</v>
      </c>
      <c r="J572" s="1768"/>
    </row>
    <row r="573" spans="1:10" ht="24">
      <c r="A573" s="1770" t="s">
        <v>2407</v>
      </c>
      <c r="B573" s="1771" t="s">
        <v>2410</v>
      </c>
      <c r="C573" s="1771">
        <v>2692</v>
      </c>
      <c r="D573" s="1772" t="s">
        <v>1679</v>
      </c>
      <c r="E573" s="1773" t="s">
        <v>424</v>
      </c>
      <c r="F573" s="1780">
        <v>4.0000000000000001E-3</v>
      </c>
      <c r="G573" s="1774">
        <v>8.84</v>
      </c>
      <c r="H573" s="1775">
        <f t="shared" ref="H573:H580" si="70">IF(E573="H",G573,TRUNC(G573*(1-$K$7),2))</f>
        <v>8.7799999999999994</v>
      </c>
      <c r="I573" s="1776">
        <f t="shared" ref="I573:I580" si="71">TRUNC(H573*F573,2)</f>
        <v>0.03</v>
      </c>
      <c r="J573" s="1768"/>
    </row>
    <row r="574" spans="1:10" ht="36">
      <c r="A574" s="1770" t="s">
        <v>2407</v>
      </c>
      <c r="B574" s="1771" t="s">
        <v>2410</v>
      </c>
      <c r="C574" s="1771">
        <v>40271</v>
      </c>
      <c r="D574" s="1772" t="s">
        <v>2567</v>
      </c>
      <c r="E574" s="1773" t="s">
        <v>2563</v>
      </c>
      <c r="F574" s="1780">
        <v>0.19600000000000001</v>
      </c>
      <c r="G574" s="1774">
        <v>15.6</v>
      </c>
      <c r="H574" s="1775">
        <f t="shared" si="70"/>
        <v>15.5</v>
      </c>
      <c r="I574" s="1776">
        <f t="shared" si="71"/>
        <v>3.03</v>
      </c>
      <c r="J574" s="1768"/>
    </row>
    <row r="575" spans="1:10" ht="36">
      <c r="A575" s="1770" t="s">
        <v>2407</v>
      </c>
      <c r="B575" s="1771" t="s">
        <v>2410</v>
      </c>
      <c r="C575" s="1771">
        <v>40275</v>
      </c>
      <c r="D575" s="1772" t="s">
        <v>2568</v>
      </c>
      <c r="E575" s="1773" t="s">
        <v>2563</v>
      </c>
      <c r="F575" s="1780">
        <v>0.39300000000000002</v>
      </c>
      <c r="G575" s="1774">
        <v>24</v>
      </c>
      <c r="H575" s="1775">
        <f t="shared" si="70"/>
        <v>23.85</v>
      </c>
      <c r="I575" s="1776">
        <f t="shared" si="71"/>
        <v>9.3699999999999992</v>
      </c>
      <c r="J575" s="1768"/>
    </row>
    <row r="576" spans="1:10" ht="36">
      <c r="A576" s="1770" t="s">
        <v>2407</v>
      </c>
      <c r="B576" s="1771" t="s">
        <v>2410</v>
      </c>
      <c r="C576" s="1771">
        <v>40287</v>
      </c>
      <c r="D576" s="1772" t="s">
        <v>2569</v>
      </c>
      <c r="E576" s="1773" t="s">
        <v>2563</v>
      </c>
      <c r="F576" s="1780">
        <v>0.78500000000000003</v>
      </c>
      <c r="G576" s="1774">
        <v>6</v>
      </c>
      <c r="H576" s="1775">
        <f t="shared" si="70"/>
        <v>5.96</v>
      </c>
      <c r="I576" s="1776">
        <f t="shared" si="71"/>
        <v>4.67</v>
      </c>
      <c r="J576" s="1768"/>
    </row>
    <row r="577" spans="1:10" ht="24">
      <c r="A577" s="1770" t="s">
        <v>2407</v>
      </c>
      <c r="B577" s="1771" t="s">
        <v>2410</v>
      </c>
      <c r="C577" s="1771">
        <v>40304</v>
      </c>
      <c r="D577" s="1772" t="s">
        <v>2549</v>
      </c>
      <c r="E577" s="1773" t="s">
        <v>1145</v>
      </c>
      <c r="F577" s="1780">
        <v>1.9E-2</v>
      </c>
      <c r="G577" s="1774">
        <v>31.95</v>
      </c>
      <c r="H577" s="1775">
        <f t="shared" si="70"/>
        <v>31.75</v>
      </c>
      <c r="I577" s="1776">
        <f t="shared" si="71"/>
        <v>0.6</v>
      </c>
      <c r="J577" s="1768"/>
    </row>
    <row r="578" spans="1:10" ht="24">
      <c r="A578" s="1770" t="s">
        <v>2407</v>
      </c>
      <c r="B578" s="1771" t="s">
        <v>7</v>
      </c>
      <c r="C578" s="1771">
        <v>88239</v>
      </c>
      <c r="D578" s="1772" t="s">
        <v>423</v>
      </c>
      <c r="E578" s="1773" t="s">
        <v>387</v>
      </c>
      <c r="F578" s="1780">
        <v>0.121</v>
      </c>
      <c r="G578" s="1774">
        <v>20.55</v>
      </c>
      <c r="H578" s="1775">
        <f t="shared" si="70"/>
        <v>20.55</v>
      </c>
      <c r="I578" s="1776">
        <f t="shared" ref="I578" si="72">TRUNC(H578*F578,2)</f>
        <v>2.48</v>
      </c>
      <c r="J578" s="1768"/>
    </row>
    <row r="579" spans="1:10" ht="24">
      <c r="A579" s="1770" t="s">
        <v>2407</v>
      </c>
      <c r="B579" s="1771" t="s">
        <v>7</v>
      </c>
      <c r="C579" s="1771">
        <v>88262</v>
      </c>
      <c r="D579" s="1772" t="s">
        <v>411</v>
      </c>
      <c r="E579" s="1773" t="s">
        <v>387</v>
      </c>
      <c r="F579" s="1780">
        <v>0.66100000000000003</v>
      </c>
      <c r="G579" s="1774">
        <v>24.32</v>
      </c>
      <c r="H579" s="1775">
        <f t="shared" si="70"/>
        <v>24.32</v>
      </c>
      <c r="I579" s="1776">
        <f t="shared" si="71"/>
        <v>16.07</v>
      </c>
      <c r="J579" s="1768"/>
    </row>
    <row r="580" spans="1:10" ht="36">
      <c r="A580" s="1770" t="s">
        <v>2407</v>
      </c>
      <c r="B580" s="1771" t="s">
        <v>7</v>
      </c>
      <c r="C580" s="1771">
        <v>92264</v>
      </c>
      <c r="D580" s="1772" t="s">
        <v>2570</v>
      </c>
      <c r="E580" s="1773" t="s">
        <v>1137</v>
      </c>
      <c r="F580" s="1780">
        <v>0.105</v>
      </c>
      <c r="G580" s="1774">
        <v>287.93</v>
      </c>
      <c r="H580" s="1775">
        <f t="shared" si="70"/>
        <v>286.2</v>
      </c>
      <c r="I580" s="1776">
        <f t="shared" si="71"/>
        <v>30.05</v>
      </c>
      <c r="J580" s="1768"/>
    </row>
    <row r="581" spans="1:10">
      <c r="A581" s="1917" t="s">
        <v>2408</v>
      </c>
      <c r="B581" s="1918"/>
      <c r="C581" s="1918"/>
      <c r="D581" s="1918"/>
      <c r="E581" s="1918"/>
      <c r="F581" s="1918"/>
      <c r="G581" s="1918"/>
      <c r="H581" s="1919"/>
      <c r="I581" s="1778">
        <f>SUM(I573:I580)</f>
        <v>66.3</v>
      </c>
      <c r="J581" s="1768"/>
    </row>
    <row r="582" spans="1:10">
      <c r="A582" s="1920"/>
      <c r="B582" s="1921"/>
      <c r="C582" s="1921"/>
      <c r="D582" s="1921"/>
      <c r="E582" s="1921"/>
      <c r="F582" s="1921"/>
      <c r="G582" s="1921"/>
      <c r="H582" s="1921"/>
      <c r="I582" s="1922"/>
      <c r="J582" s="1768"/>
    </row>
    <row r="583" spans="1:10" ht="25.5" customHeight="1">
      <c r="A583" s="1757">
        <f>'PLANILHA SEM DESON'!B73</f>
        <v>92759</v>
      </c>
      <c r="B583" s="1923" t="str">
        <f>VLOOKUP(A583,'PLANILHA SEM DESON'!$B$17:$D$1699,2,FALSE)</f>
        <v>ARMAÇÃO DE PILAR OU VIGA DE ESTRUTURA CONVENCIONAL DE CONCRETO ARMADO UTILIZANDO AÇO CA-60 DE 5,0 MM - MONTAGEM. AF_06/2022</v>
      </c>
      <c r="C583" s="1924"/>
      <c r="D583" s="1924"/>
      <c r="E583" s="1924"/>
      <c r="F583" s="1924"/>
      <c r="G583" s="1924"/>
      <c r="H583" s="1925"/>
      <c r="I583" s="1758" t="str">
        <f>VLOOKUP(A583,'PLANILHA SEM DESON'!$B$17:$D$1699,3,FALSE)</f>
        <v>Kg</v>
      </c>
      <c r="J583" s="1759">
        <f>I590</f>
        <v>16.079999999999998</v>
      </c>
    </row>
    <row r="584" spans="1:10" ht="24">
      <c r="A584" s="1761" t="s">
        <v>2401</v>
      </c>
      <c r="B584" s="1762" t="s">
        <v>2402</v>
      </c>
      <c r="C584" s="1763" t="s">
        <v>2399</v>
      </c>
      <c r="D584" s="1764" t="s">
        <v>284</v>
      </c>
      <c r="E584" s="1763" t="s">
        <v>193</v>
      </c>
      <c r="F584" s="1765" t="s">
        <v>2403</v>
      </c>
      <c r="G584" s="1763" t="s">
        <v>2404</v>
      </c>
      <c r="H584" s="1766" t="s">
        <v>2405</v>
      </c>
      <c r="I584" s="1767" t="s">
        <v>2406</v>
      </c>
      <c r="J584" s="1768"/>
    </row>
    <row r="585" spans="1:10" ht="36">
      <c r="A585" s="1770" t="s">
        <v>2407</v>
      </c>
      <c r="B585" s="1771" t="s">
        <v>2410</v>
      </c>
      <c r="C585" s="1771">
        <v>39017</v>
      </c>
      <c r="D585" s="1772" t="s">
        <v>2558</v>
      </c>
      <c r="E585" s="1773" t="s">
        <v>2432</v>
      </c>
      <c r="F585" s="1780">
        <v>1.19</v>
      </c>
      <c r="G585" s="1774">
        <v>0.22</v>
      </c>
      <c r="H585" s="1775">
        <f>IF(E585="H",G585,TRUNC(G585*(1-$K$7),2))</f>
        <v>0.21</v>
      </c>
      <c r="I585" s="1776">
        <f t="shared" ref="I585:I589" si="73">TRUNC(H585*F585,2)</f>
        <v>0.24</v>
      </c>
      <c r="J585" s="1768"/>
    </row>
    <row r="586" spans="1:10" ht="24">
      <c r="A586" s="1770" t="s">
        <v>2407</v>
      </c>
      <c r="B586" s="1771" t="s">
        <v>2410</v>
      </c>
      <c r="C586" s="1771">
        <v>43132</v>
      </c>
      <c r="D586" s="1772" t="s">
        <v>2559</v>
      </c>
      <c r="E586" s="1773" t="s">
        <v>1340</v>
      </c>
      <c r="F586" s="1780">
        <v>2.5000000000000001E-2</v>
      </c>
      <c r="G586" s="1774">
        <v>24.9</v>
      </c>
      <c r="H586" s="1775">
        <f>IF(E586="H",G586,TRUNC(G586*(1-$K$7),2))</f>
        <v>24.75</v>
      </c>
      <c r="I586" s="1776">
        <f t="shared" si="73"/>
        <v>0.61</v>
      </c>
      <c r="J586" s="1768"/>
    </row>
    <row r="587" spans="1:10" ht="24">
      <c r="A587" s="1770" t="s">
        <v>2407</v>
      </c>
      <c r="B587" s="1771" t="s">
        <v>7</v>
      </c>
      <c r="C587" s="1771">
        <v>88238</v>
      </c>
      <c r="D587" s="1772" t="s">
        <v>1173</v>
      </c>
      <c r="E587" s="1773" t="s">
        <v>387</v>
      </c>
      <c r="F587" s="1780">
        <v>1.7500000000000002E-2</v>
      </c>
      <c r="G587" s="1774">
        <v>19.41</v>
      </c>
      <c r="H587" s="1775">
        <f>IF(E587="H",G587,TRUNC(G587*(1-$K$7),2))</f>
        <v>19.41</v>
      </c>
      <c r="I587" s="1776">
        <f t="shared" si="73"/>
        <v>0.33</v>
      </c>
      <c r="J587" s="1768"/>
    </row>
    <row r="588" spans="1:10">
      <c r="A588" s="1770" t="s">
        <v>2407</v>
      </c>
      <c r="B588" s="1771" t="s">
        <v>7</v>
      </c>
      <c r="C588" s="1771">
        <v>88245</v>
      </c>
      <c r="D588" s="1772" t="s">
        <v>1174</v>
      </c>
      <c r="E588" s="1773" t="s">
        <v>387</v>
      </c>
      <c r="F588" s="1780">
        <v>0.1069</v>
      </c>
      <c r="G588" s="1774">
        <v>24.44</v>
      </c>
      <c r="H588" s="1775">
        <f>IF(E588="H",G588,TRUNC(G588*(1-$K$7),2))</f>
        <v>24.44</v>
      </c>
      <c r="I588" s="1776">
        <f t="shared" si="73"/>
        <v>2.61</v>
      </c>
      <c r="J588" s="1768"/>
    </row>
    <row r="589" spans="1:10" ht="24">
      <c r="A589" s="1770" t="s">
        <v>2407</v>
      </c>
      <c r="B589" s="1771" t="s">
        <v>7</v>
      </c>
      <c r="C589" s="1771">
        <v>92800</v>
      </c>
      <c r="D589" s="1772" t="s">
        <v>2366</v>
      </c>
      <c r="E589" s="1773" t="s">
        <v>1145</v>
      </c>
      <c r="F589" s="1780">
        <v>1</v>
      </c>
      <c r="G589" s="1774">
        <v>12.37</v>
      </c>
      <c r="H589" s="1775">
        <f>IF(E589="H",G589,TRUNC(G589*(1-$K$7),2))</f>
        <v>12.29</v>
      </c>
      <c r="I589" s="1776">
        <f t="shared" si="73"/>
        <v>12.29</v>
      </c>
      <c r="J589" s="1768"/>
    </row>
    <row r="590" spans="1:10">
      <c r="A590" s="1917" t="s">
        <v>2408</v>
      </c>
      <c r="B590" s="1918"/>
      <c r="C590" s="1918"/>
      <c r="D590" s="1918"/>
      <c r="E590" s="1918"/>
      <c r="F590" s="1918"/>
      <c r="G590" s="1918"/>
      <c r="H590" s="1919"/>
      <c r="I590" s="1778">
        <f>SUM(I585:I589)</f>
        <v>16.079999999999998</v>
      </c>
      <c r="J590" s="1768"/>
    </row>
    <row r="591" spans="1:10">
      <c r="A591" s="1920"/>
      <c r="B591" s="1921"/>
      <c r="C591" s="1921"/>
      <c r="D591" s="1921"/>
      <c r="E591" s="1921"/>
      <c r="F591" s="1921"/>
      <c r="G591" s="1921"/>
      <c r="H591" s="1921"/>
      <c r="I591" s="1922"/>
      <c r="J591" s="1768"/>
    </row>
    <row r="592" spans="1:10" ht="26.25" customHeight="1">
      <c r="A592" s="1757">
        <f>'PLANILHA SEM DESON'!B76</f>
        <v>92764</v>
      </c>
      <c r="B592" s="1923" t="str">
        <f>VLOOKUP(A592,'PLANILHA SEM DESON'!$B$17:$D$1699,2,FALSE)</f>
        <v>ARMAÇÃO DE PILAR OU VIGA DE ESTRUTURA CONVENCIONAL DE CONCRETO ARMADO UTILIZANDO AÇO CA-50 DE 16,0 MM - MONTAGEM. AF_06/2022</v>
      </c>
      <c r="C592" s="1924"/>
      <c r="D592" s="1924"/>
      <c r="E592" s="1924"/>
      <c r="F592" s="1924"/>
      <c r="G592" s="1924"/>
      <c r="H592" s="1925"/>
      <c r="I592" s="1758" t="str">
        <f>VLOOKUP(A592,'PLANILHA SEM DESON'!$B$17:$D$1699,3,FALSE)</f>
        <v>Kg</v>
      </c>
      <c r="J592" s="1759">
        <f>I599</f>
        <v>11.41</v>
      </c>
    </row>
    <row r="593" spans="1:10" ht="24">
      <c r="A593" s="1761" t="s">
        <v>2401</v>
      </c>
      <c r="B593" s="1762" t="s">
        <v>2402</v>
      </c>
      <c r="C593" s="1763" t="s">
        <v>2399</v>
      </c>
      <c r="D593" s="1764" t="s">
        <v>284</v>
      </c>
      <c r="E593" s="1763" t="s">
        <v>193</v>
      </c>
      <c r="F593" s="1765" t="s">
        <v>2403</v>
      </c>
      <c r="G593" s="1763" t="s">
        <v>2404</v>
      </c>
      <c r="H593" s="1766" t="s">
        <v>2405</v>
      </c>
      <c r="I593" s="1767" t="s">
        <v>2406</v>
      </c>
      <c r="J593" s="1768"/>
    </row>
    <row r="594" spans="1:10" ht="36">
      <c r="A594" s="1770" t="s">
        <v>2407</v>
      </c>
      <c r="B594" s="1771" t="s">
        <v>2410</v>
      </c>
      <c r="C594" s="1771">
        <v>39017</v>
      </c>
      <c r="D594" s="1772" t="s">
        <v>2558</v>
      </c>
      <c r="E594" s="1773" t="s">
        <v>2432</v>
      </c>
      <c r="F594" s="1780">
        <v>0.21199999999999999</v>
      </c>
      <c r="G594" s="1774">
        <v>0.22</v>
      </c>
      <c r="H594" s="1775">
        <f>IF(E594="H",G594,TRUNC(G594*(1-$K$7),2))</f>
        <v>0.21</v>
      </c>
      <c r="I594" s="1776">
        <f t="shared" ref="I594:I598" si="74">TRUNC(H594*F594,2)</f>
        <v>0.04</v>
      </c>
      <c r="J594" s="1768"/>
    </row>
    <row r="595" spans="1:10" ht="24">
      <c r="A595" s="1770" t="s">
        <v>2407</v>
      </c>
      <c r="B595" s="1771" t="s">
        <v>2410</v>
      </c>
      <c r="C595" s="1771">
        <v>43132</v>
      </c>
      <c r="D595" s="1772" t="s">
        <v>2559</v>
      </c>
      <c r="E595" s="1773" t="s">
        <v>1340</v>
      </c>
      <c r="F595" s="1780">
        <v>2.5000000000000001E-2</v>
      </c>
      <c r="G595" s="1774">
        <v>24.9</v>
      </c>
      <c r="H595" s="1775">
        <f>IF(E595="H",G595,TRUNC(G595*(1-$K$7),2))</f>
        <v>24.75</v>
      </c>
      <c r="I595" s="1776">
        <f t="shared" si="74"/>
        <v>0.61</v>
      </c>
      <c r="J595" s="1768"/>
    </row>
    <row r="596" spans="1:10" ht="24">
      <c r="A596" s="1770" t="s">
        <v>2407</v>
      </c>
      <c r="B596" s="1771" t="s">
        <v>7</v>
      </c>
      <c r="C596" s="1771">
        <v>88238</v>
      </c>
      <c r="D596" s="1772" t="s">
        <v>1173</v>
      </c>
      <c r="E596" s="1773" t="s">
        <v>387</v>
      </c>
      <c r="F596" s="1780">
        <v>3.2000000000000002E-3</v>
      </c>
      <c r="G596" s="1774">
        <v>19.41</v>
      </c>
      <c r="H596" s="1775">
        <f>IF(E596="H",G596,TRUNC(G596*(1-$K$7),2))</f>
        <v>19.41</v>
      </c>
      <c r="I596" s="1776">
        <f t="shared" si="74"/>
        <v>0.06</v>
      </c>
      <c r="J596" s="1768"/>
    </row>
    <row r="597" spans="1:10">
      <c r="A597" s="1770" t="s">
        <v>2407</v>
      </c>
      <c r="B597" s="1771" t="s">
        <v>7</v>
      </c>
      <c r="C597" s="1771">
        <v>88245</v>
      </c>
      <c r="D597" s="1772" t="s">
        <v>1174</v>
      </c>
      <c r="E597" s="1773" t="s">
        <v>387</v>
      </c>
      <c r="F597" s="1780">
        <v>1.9400000000000001E-2</v>
      </c>
      <c r="G597" s="1774">
        <v>24.44</v>
      </c>
      <c r="H597" s="1775">
        <f>IF(E597="H",G597,TRUNC(G597*(1-$K$7),2))</f>
        <v>24.44</v>
      </c>
      <c r="I597" s="1776">
        <f t="shared" si="74"/>
        <v>0.47</v>
      </c>
      <c r="J597" s="1768"/>
    </row>
    <row r="598" spans="1:10" ht="24">
      <c r="A598" s="1770" t="s">
        <v>2407</v>
      </c>
      <c r="B598" s="1771" t="s">
        <v>7</v>
      </c>
      <c r="C598" s="1771">
        <v>92805</v>
      </c>
      <c r="D598" s="1772" t="s">
        <v>2571</v>
      </c>
      <c r="E598" s="1773" t="s">
        <v>1145</v>
      </c>
      <c r="F598" s="1780">
        <v>1</v>
      </c>
      <c r="G598" s="1774">
        <v>10.3</v>
      </c>
      <c r="H598" s="1775">
        <f>IF(E598="H",G598,TRUNC(G598*(1-$K$7),2))</f>
        <v>10.23</v>
      </c>
      <c r="I598" s="1776">
        <f t="shared" si="74"/>
        <v>10.23</v>
      </c>
      <c r="J598" s="1768"/>
    </row>
    <row r="599" spans="1:10">
      <c r="A599" s="1917" t="s">
        <v>2408</v>
      </c>
      <c r="B599" s="1918"/>
      <c r="C599" s="1918"/>
      <c r="D599" s="1918"/>
      <c r="E599" s="1918"/>
      <c r="F599" s="1918"/>
      <c r="G599" s="1918"/>
      <c r="H599" s="1919"/>
      <c r="I599" s="1778">
        <f>SUM(I594:I598)</f>
        <v>11.41</v>
      </c>
      <c r="J599" s="1768"/>
    </row>
    <row r="600" spans="1:10">
      <c r="A600" s="1920"/>
      <c r="B600" s="1921"/>
      <c r="C600" s="1921"/>
      <c r="D600" s="1921"/>
      <c r="E600" s="1921"/>
      <c r="F600" s="1921"/>
      <c r="G600" s="1921"/>
      <c r="H600" s="1921"/>
      <c r="I600" s="1922"/>
      <c r="J600" s="1768"/>
    </row>
    <row r="601" spans="1:10" ht="21.75" customHeight="1">
      <c r="A601" s="1757">
        <f>'PLANILHA SEM DESON'!B78</f>
        <v>92479</v>
      </c>
      <c r="B601" s="1923" t="str">
        <f>VLOOKUP(A601,'PLANILHA SEM DESON'!$B$17:$D$1699,2,FALSE)</f>
        <v>MONTAGEM E DESMONTAGEM DE FÔRMA DE VIGA, ESCORAMENTO COM GARFO DE MADEIRA, PÉ-DIREITO SIMPLES, EM CHAPA DE MADEIRA PLASTIFICADA, 18 UTILIZAÇÕES. AF_09/2020</v>
      </c>
      <c r="C601" s="1924"/>
      <c r="D601" s="1924"/>
      <c r="E601" s="1924"/>
      <c r="F601" s="1924"/>
      <c r="G601" s="1924"/>
      <c r="H601" s="1925"/>
      <c r="I601" s="1758" t="str">
        <f>VLOOKUP(A601,'PLANILHA SEM DESON'!$B$17:$D$1699,3,FALSE)</f>
        <v>m²</v>
      </c>
      <c r="J601" s="1759">
        <f>I610</f>
        <v>80.09</v>
      </c>
    </row>
    <row r="602" spans="1:10" ht="24">
      <c r="A602" s="1761" t="s">
        <v>2401</v>
      </c>
      <c r="B602" s="1762" t="s">
        <v>2402</v>
      </c>
      <c r="C602" s="1763" t="s">
        <v>2399</v>
      </c>
      <c r="D602" s="1764" t="s">
        <v>284</v>
      </c>
      <c r="E602" s="1763" t="s">
        <v>193</v>
      </c>
      <c r="F602" s="1765" t="s">
        <v>2403</v>
      </c>
      <c r="G602" s="1763" t="s">
        <v>2404</v>
      </c>
      <c r="H602" s="1766" t="s">
        <v>2405</v>
      </c>
      <c r="I602" s="1767" t="s">
        <v>2406</v>
      </c>
      <c r="J602" s="1768"/>
    </row>
    <row r="603" spans="1:10" ht="24">
      <c r="A603" s="1770" t="s">
        <v>2407</v>
      </c>
      <c r="B603" s="1771" t="s">
        <v>2410</v>
      </c>
      <c r="C603" s="1771">
        <v>2692</v>
      </c>
      <c r="D603" s="1772" t="s">
        <v>1679</v>
      </c>
      <c r="E603" s="1773" t="s">
        <v>424</v>
      </c>
      <c r="F603" s="1780">
        <v>4.0000000000000001E-3</v>
      </c>
      <c r="G603" s="1774">
        <v>8.84</v>
      </c>
      <c r="H603" s="1775">
        <f t="shared" ref="H603:H609" si="75">IF(E603="H",G603,TRUNC(G603*(1-$K$7),2))</f>
        <v>8.7799999999999994</v>
      </c>
      <c r="I603" s="1776">
        <f t="shared" ref="I603:I609" si="76">TRUNC(H603*F603,2)</f>
        <v>0.03</v>
      </c>
      <c r="J603" s="1768"/>
    </row>
    <row r="604" spans="1:10" ht="36">
      <c r="A604" s="1770" t="s">
        <v>2407</v>
      </c>
      <c r="B604" s="1771" t="s">
        <v>2410</v>
      </c>
      <c r="C604" s="1771">
        <v>6193</v>
      </c>
      <c r="D604" s="1772" t="s">
        <v>2504</v>
      </c>
      <c r="E604" s="1773" t="s">
        <v>158</v>
      </c>
      <c r="F604" s="1780">
        <v>0.32800000000000001</v>
      </c>
      <c r="G604" s="1774">
        <v>18.010000000000002</v>
      </c>
      <c r="H604" s="1775">
        <f t="shared" si="75"/>
        <v>17.899999999999999</v>
      </c>
      <c r="I604" s="1776">
        <f t="shared" si="76"/>
        <v>5.87</v>
      </c>
      <c r="J604" s="1768"/>
    </row>
    <row r="605" spans="1:10" ht="24">
      <c r="A605" s="1770" t="s">
        <v>2407</v>
      </c>
      <c r="B605" s="1771" t="s">
        <v>2410</v>
      </c>
      <c r="C605" s="1771">
        <v>40304</v>
      </c>
      <c r="D605" s="1772" t="s">
        <v>2549</v>
      </c>
      <c r="E605" s="1773" t="s">
        <v>1145</v>
      </c>
      <c r="F605" s="1780">
        <v>4.9000000000000002E-2</v>
      </c>
      <c r="G605" s="1774">
        <v>31.95</v>
      </c>
      <c r="H605" s="1775">
        <f t="shared" si="75"/>
        <v>31.75</v>
      </c>
      <c r="I605" s="1776">
        <f t="shared" si="76"/>
        <v>1.55</v>
      </c>
      <c r="J605" s="1768"/>
    </row>
    <row r="606" spans="1:10" ht="24">
      <c r="A606" s="1770" t="s">
        <v>2407</v>
      </c>
      <c r="B606" s="1771" t="s">
        <v>7</v>
      </c>
      <c r="C606" s="1771">
        <v>88239</v>
      </c>
      <c r="D606" s="1772" t="s">
        <v>423</v>
      </c>
      <c r="E606" s="1773" t="s">
        <v>387</v>
      </c>
      <c r="F606" s="1780">
        <v>0.109</v>
      </c>
      <c r="G606" s="1774">
        <v>20.55</v>
      </c>
      <c r="H606" s="1775">
        <f t="shared" si="75"/>
        <v>20.55</v>
      </c>
      <c r="I606" s="1776">
        <f t="shared" si="76"/>
        <v>2.23</v>
      </c>
      <c r="J606" s="1768"/>
    </row>
    <row r="607" spans="1:10" ht="24">
      <c r="A607" s="1770" t="s">
        <v>2407</v>
      </c>
      <c r="B607" s="1771" t="s">
        <v>7</v>
      </c>
      <c r="C607" s="1771">
        <v>88262</v>
      </c>
      <c r="D607" s="1772" t="s">
        <v>411</v>
      </c>
      <c r="E607" s="1773" t="s">
        <v>387</v>
      </c>
      <c r="F607" s="1780">
        <v>0.59599999999999997</v>
      </c>
      <c r="G607" s="1774">
        <v>24.32</v>
      </c>
      <c r="H607" s="1775">
        <f t="shared" si="75"/>
        <v>24.32</v>
      </c>
      <c r="I607" s="1776">
        <f t="shared" si="76"/>
        <v>14.49</v>
      </c>
      <c r="J607" s="1768"/>
    </row>
    <row r="608" spans="1:10" ht="36">
      <c r="A608" s="1770" t="s">
        <v>2407</v>
      </c>
      <c r="B608" s="1771" t="s">
        <v>7</v>
      </c>
      <c r="C608" s="1771">
        <v>92266</v>
      </c>
      <c r="D608" s="1772" t="s">
        <v>2572</v>
      </c>
      <c r="E608" s="1773" t="s">
        <v>1137</v>
      </c>
      <c r="F608" s="1780">
        <v>0.105</v>
      </c>
      <c r="G608" s="1774">
        <v>218.9</v>
      </c>
      <c r="H608" s="1775">
        <f t="shared" si="75"/>
        <v>217.58</v>
      </c>
      <c r="I608" s="1776">
        <f t="shared" si="76"/>
        <v>22.84</v>
      </c>
      <c r="J608" s="1768"/>
    </row>
    <row r="609" spans="1:10" ht="24">
      <c r="A609" s="1770" t="s">
        <v>2407</v>
      </c>
      <c r="B609" s="1771" t="s">
        <v>7</v>
      </c>
      <c r="C609" s="1771">
        <v>92272</v>
      </c>
      <c r="D609" s="1772" t="s">
        <v>2573</v>
      </c>
      <c r="E609" s="1773" t="s">
        <v>158</v>
      </c>
      <c r="F609" s="1780">
        <v>0.65900000000000003</v>
      </c>
      <c r="G609" s="1774">
        <v>50.51</v>
      </c>
      <c r="H609" s="1775">
        <f t="shared" si="75"/>
        <v>50.2</v>
      </c>
      <c r="I609" s="1776">
        <f t="shared" si="76"/>
        <v>33.08</v>
      </c>
      <c r="J609" s="1768"/>
    </row>
    <row r="610" spans="1:10">
      <c r="A610" s="1917" t="s">
        <v>2408</v>
      </c>
      <c r="B610" s="1918"/>
      <c r="C610" s="1918"/>
      <c r="D610" s="1918"/>
      <c r="E610" s="1918"/>
      <c r="F610" s="1918"/>
      <c r="G610" s="1918"/>
      <c r="H610" s="1919"/>
      <c r="I610" s="1778">
        <f>SUM(I603:I609)</f>
        <v>80.09</v>
      </c>
      <c r="J610" s="1768"/>
    </row>
    <row r="611" spans="1:10">
      <c r="A611" s="1920"/>
      <c r="B611" s="1921"/>
      <c r="C611" s="1921"/>
      <c r="D611" s="1921"/>
      <c r="E611" s="1921"/>
      <c r="F611" s="1921"/>
      <c r="G611" s="1921"/>
      <c r="H611" s="1921"/>
      <c r="I611" s="1922"/>
      <c r="J611" s="1768"/>
    </row>
    <row r="612" spans="1:10" ht="22.5" customHeight="1">
      <c r="A612" s="1757">
        <f>'PLANILHA SEM DESON'!B82</f>
        <v>92760</v>
      </c>
      <c r="B612" s="1923" t="str">
        <f>VLOOKUP(A612,'PLANILHA SEM DESON'!$B$17:$D$1699,2,FALSE)</f>
        <v>ARMAÇÃO DE PILAR OU VIGA DE ESTRUTURA CONVENCIONAL DE CONCRETO ARMADO UTILIZANDO AÇO CA-50 DE 6,3 MM - MONTAGEM. AF_06/2022</v>
      </c>
      <c r="C612" s="1924"/>
      <c r="D612" s="1924"/>
      <c r="E612" s="1924"/>
      <c r="F612" s="1924"/>
      <c r="G612" s="1924"/>
      <c r="H612" s="1925"/>
      <c r="I612" s="1758" t="str">
        <f>VLOOKUP(A612,'PLANILHA SEM DESON'!$B$17:$D$1699,3,FALSE)</f>
        <v>Kg</v>
      </c>
      <c r="J612" s="1759">
        <f>I619</f>
        <v>15.77</v>
      </c>
    </row>
    <row r="613" spans="1:10" ht="24">
      <c r="A613" s="1761" t="s">
        <v>2401</v>
      </c>
      <c r="B613" s="1762" t="s">
        <v>2402</v>
      </c>
      <c r="C613" s="1763" t="s">
        <v>2399</v>
      </c>
      <c r="D613" s="1764" t="s">
        <v>284</v>
      </c>
      <c r="E613" s="1763" t="s">
        <v>193</v>
      </c>
      <c r="F613" s="1765" t="s">
        <v>2403</v>
      </c>
      <c r="G613" s="1763" t="s">
        <v>2404</v>
      </c>
      <c r="H613" s="1766" t="s">
        <v>2405</v>
      </c>
      <c r="I613" s="1767" t="s">
        <v>2406</v>
      </c>
      <c r="J613" s="1768"/>
    </row>
    <row r="614" spans="1:10" ht="36">
      <c r="A614" s="1770" t="s">
        <v>2407</v>
      </c>
      <c r="B614" s="1771" t="s">
        <v>2410</v>
      </c>
      <c r="C614" s="1771">
        <v>39017</v>
      </c>
      <c r="D614" s="1772" t="s">
        <v>2558</v>
      </c>
      <c r="E614" s="1773" t="s">
        <v>2432</v>
      </c>
      <c r="F614" s="1780">
        <v>0.97</v>
      </c>
      <c r="G614" s="1774">
        <v>0.22</v>
      </c>
      <c r="H614" s="1775">
        <f>IF(E614="H",G614,TRUNC(G614*(1-$K$7),2))</f>
        <v>0.21</v>
      </c>
      <c r="I614" s="1776">
        <f t="shared" ref="I614:I618" si="77">TRUNC(H614*F614,2)</f>
        <v>0.2</v>
      </c>
      <c r="J614" s="1768"/>
    </row>
    <row r="615" spans="1:10" ht="24">
      <c r="A615" s="1770" t="s">
        <v>2407</v>
      </c>
      <c r="B615" s="1771" t="s">
        <v>2410</v>
      </c>
      <c r="C615" s="1771">
        <v>43132</v>
      </c>
      <c r="D615" s="1772" t="s">
        <v>2559</v>
      </c>
      <c r="E615" s="1773" t="s">
        <v>1340</v>
      </c>
      <c r="F615" s="1780">
        <v>2.5000000000000001E-2</v>
      </c>
      <c r="G615" s="1774">
        <v>24.9</v>
      </c>
      <c r="H615" s="1775">
        <f>IF(E615="H",G615,TRUNC(G615*(1-$K$7),2))</f>
        <v>24.75</v>
      </c>
      <c r="I615" s="1776">
        <f t="shared" si="77"/>
        <v>0.61</v>
      </c>
      <c r="J615" s="1768"/>
    </row>
    <row r="616" spans="1:10" ht="24">
      <c r="A616" s="1770" t="s">
        <v>2407</v>
      </c>
      <c r="B616" s="1771" t="s">
        <v>7</v>
      </c>
      <c r="C616" s="1771">
        <v>88238</v>
      </c>
      <c r="D616" s="1772" t="s">
        <v>1173</v>
      </c>
      <c r="E616" s="1773" t="s">
        <v>387</v>
      </c>
      <c r="F616" s="1780">
        <v>1.29E-2</v>
      </c>
      <c r="G616" s="1774">
        <v>19.41</v>
      </c>
      <c r="H616" s="1775">
        <f>IF(E616="H",G616,TRUNC(G616*(1-$K$7),2))</f>
        <v>19.41</v>
      </c>
      <c r="I616" s="1776">
        <f t="shared" si="77"/>
        <v>0.25</v>
      </c>
      <c r="J616" s="1768"/>
    </row>
    <row r="617" spans="1:10">
      <c r="A617" s="1770" t="s">
        <v>2407</v>
      </c>
      <c r="B617" s="1771" t="s">
        <v>7</v>
      </c>
      <c r="C617" s="1771">
        <v>88245</v>
      </c>
      <c r="D617" s="1772" t="s">
        <v>1174</v>
      </c>
      <c r="E617" s="1773" t="s">
        <v>387</v>
      </c>
      <c r="F617" s="1780">
        <v>7.9000000000000001E-2</v>
      </c>
      <c r="G617" s="1774">
        <v>24.44</v>
      </c>
      <c r="H617" s="1775">
        <f>IF(E617="H",G617,TRUNC(G617*(1-$K$7),2))</f>
        <v>24.44</v>
      </c>
      <c r="I617" s="1776">
        <f t="shared" si="77"/>
        <v>1.93</v>
      </c>
      <c r="J617" s="1768"/>
    </row>
    <row r="618" spans="1:10" ht="24">
      <c r="A618" s="1770" t="s">
        <v>2407</v>
      </c>
      <c r="B618" s="1771" t="s">
        <v>7</v>
      </c>
      <c r="C618" s="1771">
        <v>92801</v>
      </c>
      <c r="D618" s="1772" t="s">
        <v>2566</v>
      </c>
      <c r="E618" s="1773" t="s">
        <v>1145</v>
      </c>
      <c r="F618" s="1780">
        <v>1</v>
      </c>
      <c r="G618" s="1774">
        <v>12.86</v>
      </c>
      <c r="H618" s="1775">
        <f>IF(E618="H",G618,TRUNC(G618*(1-$K$7),2))</f>
        <v>12.78</v>
      </c>
      <c r="I618" s="1776">
        <f t="shared" si="77"/>
        <v>12.78</v>
      </c>
      <c r="J618" s="1768"/>
    </row>
    <row r="619" spans="1:10">
      <c r="A619" s="1917" t="s">
        <v>2408</v>
      </c>
      <c r="B619" s="1918"/>
      <c r="C619" s="1918"/>
      <c r="D619" s="1918"/>
      <c r="E619" s="1918"/>
      <c r="F619" s="1918"/>
      <c r="G619" s="1918"/>
      <c r="H619" s="1919"/>
      <c r="I619" s="1778">
        <f>SUM(I614:I618)</f>
        <v>15.77</v>
      </c>
      <c r="J619" s="1768"/>
    </row>
    <row r="620" spans="1:10">
      <c r="A620" s="1920"/>
      <c r="B620" s="1921"/>
      <c r="C620" s="1921"/>
      <c r="D620" s="1921"/>
      <c r="E620" s="1921"/>
      <c r="F620" s="1921"/>
      <c r="G620" s="1921"/>
      <c r="H620" s="1921"/>
      <c r="I620" s="1922"/>
      <c r="J620" s="1768"/>
    </row>
    <row r="621" spans="1:10" ht="20.25" customHeight="1">
      <c r="A621" s="1757">
        <f>'PLANILHA SEM DESON'!B87</f>
        <v>92765</v>
      </c>
      <c r="B621" s="1923" t="str">
        <f>VLOOKUP(A621,'PLANILHA SEM DESON'!$B$17:$D$1699,2,FALSE)</f>
        <v>ARMAÇÃO DE PILAR OU VIGA DE ESTRUTURA CONVENCIONAL DE CONCRETO ARMADO UTILIZANDO AÇO CA-50 DE 20,0 MM - MONTAGEM. AF_06/2022</v>
      </c>
      <c r="C621" s="1924"/>
      <c r="D621" s="1924"/>
      <c r="E621" s="1924"/>
      <c r="F621" s="1924"/>
      <c r="G621" s="1924"/>
      <c r="H621" s="1925"/>
      <c r="I621" s="1758" t="str">
        <f>VLOOKUP(A621,'PLANILHA SEM DESON'!$B$17:$D$1699,3,FALSE)</f>
        <v>Kg</v>
      </c>
      <c r="J621" s="1759">
        <f>I628</f>
        <v>13.11</v>
      </c>
    </row>
    <row r="622" spans="1:10" ht="24">
      <c r="A622" s="1761" t="s">
        <v>2401</v>
      </c>
      <c r="B622" s="1762" t="s">
        <v>2402</v>
      </c>
      <c r="C622" s="1763" t="s">
        <v>2399</v>
      </c>
      <c r="D622" s="1764" t="s">
        <v>284</v>
      </c>
      <c r="E622" s="1763" t="s">
        <v>193</v>
      </c>
      <c r="F622" s="1765" t="s">
        <v>2403</v>
      </c>
      <c r="G622" s="1763" t="s">
        <v>2404</v>
      </c>
      <c r="H622" s="1766" t="s">
        <v>2405</v>
      </c>
      <c r="I622" s="1767" t="s">
        <v>2406</v>
      </c>
      <c r="J622" s="1768"/>
    </row>
    <row r="623" spans="1:10" ht="36">
      <c r="A623" s="1770" t="s">
        <v>2407</v>
      </c>
      <c r="B623" s="1771" t="s">
        <v>2410</v>
      </c>
      <c r="C623" s="1771">
        <v>39017</v>
      </c>
      <c r="D623" s="1772" t="s">
        <v>2558</v>
      </c>
      <c r="E623" s="1773" t="s">
        <v>2432</v>
      </c>
      <c r="F623" s="1780">
        <v>0.113</v>
      </c>
      <c r="G623" s="1774">
        <v>0.22</v>
      </c>
      <c r="H623" s="1775">
        <f>IF(E623="H",G623,TRUNC(G623*(1-$K$7),2))</f>
        <v>0.21</v>
      </c>
      <c r="I623" s="1776">
        <f t="shared" ref="I623:I627" si="78">TRUNC(H623*F623,2)</f>
        <v>0.02</v>
      </c>
      <c r="J623" s="1768"/>
    </row>
    <row r="624" spans="1:10" ht="24">
      <c r="A624" s="1770" t="s">
        <v>2407</v>
      </c>
      <c r="B624" s="1771" t="s">
        <v>2410</v>
      </c>
      <c r="C624" s="1771">
        <v>43132</v>
      </c>
      <c r="D624" s="1772" t="s">
        <v>2559</v>
      </c>
      <c r="E624" s="1773" t="s">
        <v>1340</v>
      </c>
      <c r="F624" s="1780">
        <v>2.5000000000000001E-2</v>
      </c>
      <c r="G624" s="1774">
        <v>24.9</v>
      </c>
      <c r="H624" s="1775">
        <f>IF(E624="H",G624,TRUNC(G624*(1-$K$7),2))</f>
        <v>24.75</v>
      </c>
      <c r="I624" s="1776">
        <f t="shared" si="78"/>
        <v>0.61</v>
      </c>
      <c r="J624" s="1768"/>
    </row>
    <row r="625" spans="1:10" ht="24">
      <c r="A625" s="1770" t="s">
        <v>2407</v>
      </c>
      <c r="B625" s="1771" t="s">
        <v>7</v>
      </c>
      <c r="C625" s="1771">
        <v>88238</v>
      </c>
      <c r="D625" s="1772" t="s">
        <v>1173</v>
      </c>
      <c r="E625" s="1773" t="s">
        <v>387</v>
      </c>
      <c r="F625" s="1780">
        <v>2.5000000000000001E-3</v>
      </c>
      <c r="G625" s="1774">
        <v>19.41</v>
      </c>
      <c r="H625" s="1775">
        <f>IF(E625="H",G625,TRUNC(G625*(1-$K$7),2))</f>
        <v>19.41</v>
      </c>
      <c r="I625" s="1776">
        <f t="shared" si="78"/>
        <v>0.04</v>
      </c>
      <c r="J625" s="1768"/>
    </row>
    <row r="626" spans="1:10">
      <c r="A626" s="1770" t="s">
        <v>2407</v>
      </c>
      <c r="B626" s="1771" t="s">
        <v>7</v>
      </c>
      <c r="C626" s="1771">
        <v>88245</v>
      </c>
      <c r="D626" s="1772" t="s">
        <v>1174</v>
      </c>
      <c r="E626" s="1773" t="s">
        <v>387</v>
      </c>
      <c r="F626" s="1780">
        <v>1.52E-2</v>
      </c>
      <c r="G626" s="1774">
        <v>24.44</v>
      </c>
      <c r="H626" s="1775">
        <f>IF(E626="H",G626,TRUNC(G626*(1-$K$7),2))</f>
        <v>24.44</v>
      </c>
      <c r="I626" s="1776">
        <f t="shared" si="78"/>
        <v>0.37</v>
      </c>
      <c r="J626" s="1768"/>
    </row>
    <row r="627" spans="1:10" ht="24">
      <c r="A627" s="1770" t="s">
        <v>2407</v>
      </c>
      <c r="B627" s="1771" t="s">
        <v>7</v>
      </c>
      <c r="C627" s="1771">
        <v>92806</v>
      </c>
      <c r="D627" s="1772" t="s">
        <v>2574</v>
      </c>
      <c r="E627" s="1773" t="s">
        <v>1145</v>
      </c>
      <c r="F627" s="1780">
        <v>1</v>
      </c>
      <c r="G627" s="1774">
        <v>12.15</v>
      </c>
      <c r="H627" s="1775">
        <f>IF(E627="H",G627,TRUNC(G627*(1-$K$7),2))</f>
        <v>12.07</v>
      </c>
      <c r="I627" s="1776">
        <f t="shared" si="78"/>
        <v>12.07</v>
      </c>
      <c r="J627" s="1768"/>
    </row>
    <row r="628" spans="1:10">
      <c r="A628" s="1917" t="s">
        <v>2408</v>
      </c>
      <c r="B628" s="1918"/>
      <c r="C628" s="1918"/>
      <c r="D628" s="1918"/>
      <c r="E628" s="1918"/>
      <c r="F628" s="1918"/>
      <c r="G628" s="1918"/>
      <c r="H628" s="1919"/>
      <c r="I628" s="1778">
        <f>SUM(I623:I627)</f>
        <v>13.11</v>
      </c>
      <c r="J628" s="1768"/>
    </row>
    <row r="629" spans="1:10">
      <c r="A629" s="1920"/>
      <c r="B629" s="1921"/>
      <c r="C629" s="1921"/>
      <c r="D629" s="1921"/>
      <c r="E629" s="1921"/>
      <c r="F629" s="1921"/>
      <c r="G629" s="1921"/>
      <c r="H629" s="1921"/>
      <c r="I629" s="1922"/>
      <c r="J629" s="1768"/>
    </row>
    <row r="630" spans="1:10" ht="22.5" customHeight="1">
      <c r="A630" s="1757">
        <f>'PLANILHA SEM DESON'!B96</f>
        <v>103332</v>
      </c>
      <c r="B630" s="1923" t="str">
        <f>VLOOKUP(A630,'PLANILHA SEM DESON'!$B$17:$D$1699,2,FALSE)</f>
        <v>ALVENARIA DE VEDAÇÃO DE BLOCOS CERÂMICOS FURADOS NA HORIZONTAL DE 9X14X19 CM (ESPESSURA 9 CM) E ARGAMASSA DE ASSENTAMENTO COM PREPARO EM BETONEIRA. AF_12/2021</v>
      </c>
      <c r="C630" s="1924"/>
      <c r="D630" s="1924"/>
      <c r="E630" s="1924"/>
      <c r="F630" s="1924"/>
      <c r="G630" s="1924"/>
      <c r="H630" s="1925"/>
      <c r="I630" s="1758" t="str">
        <f>VLOOKUP(A630,'PLANILHA SEM DESON'!$B$17:$D$1699,3,FALSE)</f>
        <v>m²</v>
      </c>
      <c r="J630" s="1759">
        <f>I638</f>
        <v>120.48</v>
      </c>
    </row>
    <row r="631" spans="1:10" ht="24">
      <c r="A631" s="1761" t="s">
        <v>2401</v>
      </c>
      <c r="B631" s="1762" t="s">
        <v>2402</v>
      </c>
      <c r="C631" s="1763" t="s">
        <v>2399</v>
      </c>
      <c r="D631" s="1764" t="s">
        <v>284</v>
      </c>
      <c r="E631" s="1763" t="s">
        <v>193</v>
      </c>
      <c r="F631" s="1765" t="s">
        <v>2403</v>
      </c>
      <c r="G631" s="1763" t="s">
        <v>2404</v>
      </c>
      <c r="H631" s="1766" t="s">
        <v>2405</v>
      </c>
      <c r="I631" s="1767" t="s">
        <v>2406</v>
      </c>
      <c r="J631" s="1768"/>
    </row>
    <row r="632" spans="1:10" ht="36">
      <c r="A632" s="1770" t="s">
        <v>2407</v>
      </c>
      <c r="B632" s="1771" t="s">
        <v>2410</v>
      </c>
      <c r="C632" s="1771">
        <v>7267</v>
      </c>
      <c r="D632" s="1772" t="s">
        <v>2575</v>
      </c>
      <c r="E632" s="1773" t="s">
        <v>2432</v>
      </c>
      <c r="F632" s="1780">
        <v>37.74</v>
      </c>
      <c r="G632" s="1774">
        <v>0.98</v>
      </c>
      <c r="H632" s="1775">
        <f t="shared" ref="H632:H637" si="79">IF(E632="H",G632,TRUNC(G632*(1-$K$7),2))</f>
        <v>0.97</v>
      </c>
      <c r="I632" s="1776">
        <f t="shared" ref="I632:I637" si="80">TRUNC(H632*F632,2)</f>
        <v>36.6</v>
      </c>
      <c r="J632" s="1768"/>
    </row>
    <row r="633" spans="1:10" ht="36">
      <c r="A633" s="1770" t="s">
        <v>2407</v>
      </c>
      <c r="B633" s="1771" t="s">
        <v>2410</v>
      </c>
      <c r="C633" s="1771">
        <v>34557</v>
      </c>
      <c r="D633" s="1772" t="s">
        <v>2576</v>
      </c>
      <c r="E633" s="1773" t="s">
        <v>158</v>
      </c>
      <c r="F633" s="1780">
        <v>0.57999999999999996</v>
      </c>
      <c r="G633" s="1774">
        <v>3.66</v>
      </c>
      <c r="H633" s="1775">
        <f t="shared" si="79"/>
        <v>3.63</v>
      </c>
      <c r="I633" s="1776">
        <f t="shared" si="80"/>
        <v>2.1</v>
      </c>
      <c r="J633" s="1768"/>
    </row>
    <row r="634" spans="1:10" ht="24">
      <c r="A634" s="1770" t="s">
        <v>2407</v>
      </c>
      <c r="B634" s="1771" t="s">
        <v>2410</v>
      </c>
      <c r="C634" s="1771">
        <v>37395</v>
      </c>
      <c r="D634" s="1772" t="s">
        <v>2577</v>
      </c>
      <c r="E634" s="1773" t="s">
        <v>2578</v>
      </c>
      <c r="F634" s="1780">
        <v>6.8999999999999999E-3</v>
      </c>
      <c r="G634" s="1774">
        <v>40.450000000000003</v>
      </c>
      <c r="H634" s="1775">
        <f t="shared" si="79"/>
        <v>40.200000000000003</v>
      </c>
      <c r="I634" s="1776">
        <f t="shared" si="80"/>
        <v>0.27</v>
      </c>
      <c r="J634" s="1768"/>
    </row>
    <row r="635" spans="1:10" ht="60">
      <c r="A635" s="1770" t="s">
        <v>2407</v>
      </c>
      <c r="B635" s="1771" t="s">
        <v>7</v>
      </c>
      <c r="C635" s="1771">
        <v>87292</v>
      </c>
      <c r="D635" s="1772" t="s">
        <v>2579</v>
      </c>
      <c r="E635" s="1773" t="s">
        <v>1132</v>
      </c>
      <c r="F635" s="1780">
        <v>1.0500000000000001E-2</v>
      </c>
      <c r="G635" s="1774">
        <v>578.16</v>
      </c>
      <c r="H635" s="1775">
        <f t="shared" si="79"/>
        <v>574.69000000000005</v>
      </c>
      <c r="I635" s="1776">
        <f t="shared" si="80"/>
        <v>6.03</v>
      </c>
      <c r="J635" s="1768"/>
    </row>
    <row r="636" spans="1:10">
      <c r="A636" s="1770" t="s">
        <v>2407</v>
      </c>
      <c r="B636" s="1771" t="s">
        <v>7</v>
      </c>
      <c r="C636" s="1771">
        <v>88309</v>
      </c>
      <c r="D636" s="1772" t="s">
        <v>103</v>
      </c>
      <c r="E636" s="1773" t="s">
        <v>387</v>
      </c>
      <c r="F636" s="1780">
        <v>2.2000000000000002</v>
      </c>
      <c r="G636" s="1774">
        <v>24.59</v>
      </c>
      <c r="H636" s="1775">
        <f t="shared" si="79"/>
        <v>24.59</v>
      </c>
      <c r="I636" s="1776">
        <f t="shared" si="80"/>
        <v>54.09</v>
      </c>
      <c r="J636" s="1768"/>
    </row>
    <row r="637" spans="1:10">
      <c r="A637" s="1770" t="s">
        <v>2407</v>
      </c>
      <c r="B637" s="1771" t="s">
        <v>7</v>
      </c>
      <c r="C637" s="1771">
        <v>88316</v>
      </c>
      <c r="D637" s="1772" t="s">
        <v>66</v>
      </c>
      <c r="E637" s="1773" t="s">
        <v>387</v>
      </c>
      <c r="F637" s="1780">
        <v>1.1000000000000001</v>
      </c>
      <c r="G637" s="1774">
        <v>19.45</v>
      </c>
      <c r="H637" s="1775">
        <f t="shared" si="79"/>
        <v>19.45</v>
      </c>
      <c r="I637" s="1776">
        <f t="shared" si="80"/>
        <v>21.39</v>
      </c>
      <c r="J637" s="1768"/>
    </row>
    <row r="638" spans="1:10">
      <c r="A638" s="1917" t="s">
        <v>2408</v>
      </c>
      <c r="B638" s="1918"/>
      <c r="C638" s="1918"/>
      <c r="D638" s="1918"/>
      <c r="E638" s="1918"/>
      <c r="F638" s="1918"/>
      <c r="G638" s="1918"/>
      <c r="H638" s="1919"/>
      <c r="I638" s="1778">
        <f>SUM(I632:I637)</f>
        <v>120.48</v>
      </c>
      <c r="J638" s="1768"/>
    </row>
    <row r="639" spans="1:10">
      <c r="A639" s="1920"/>
      <c r="B639" s="1921"/>
      <c r="C639" s="1921"/>
      <c r="D639" s="1921"/>
      <c r="E639" s="1921"/>
      <c r="F639" s="1921"/>
      <c r="G639" s="1921"/>
      <c r="H639" s="1921"/>
      <c r="I639" s="1922"/>
      <c r="J639" s="1768"/>
    </row>
    <row r="640" spans="1:10" ht="24.75" customHeight="1">
      <c r="A640" s="1757">
        <f>'PLANILHA SEM DESON'!B97</f>
        <v>101161</v>
      </c>
      <c r="B640" s="1923" t="str">
        <f>VLOOKUP(A640,'PLANILHA SEM DESON'!$B$17:$D$1699,2,FALSE)</f>
        <v>ALVENARIA DE VEDAÇÃO COM ELEMENTO VAZADO DE CONCRETO (COBOGÓ) DE 7X50X50CM E ARGAMASSA DE ASSENTAMENTO COM PREPARO EM BETONEIRA. AF_05/2020</v>
      </c>
      <c r="C640" s="1924"/>
      <c r="D640" s="1924"/>
      <c r="E640" s="1924"/>
      <c r="F640" s="1924"/>
      <c r="G640" s="1924"/>
      <c r="H640" s="1925"/>
      <c r="I640" s="1758" t="str">
        <f>VLOOKUP(A640,'PLANILHA SEM DESON'!$B$17:$D$1699,3,FALSE)</f>
        <v>m²</v>
      </c>
      <c r="J640" s="1759">
        <f>I646</f>
        <v>216.56000000000003</v>
      </c>
    </row>
    <row r="641" spans="1:10" ht="24">
      <c r="A641" s="1761" t="s">
        <v>2401</v>
      </c>
      <c r="B641" s="1762" t="s">
        <v>2402</v>
      </c>
      <c r="C641" s="1763" t="s">
        <v>2399</v>
      </c>
      <c r="D641" s="1764" t="s">
        <v>284</v>
      </c>
      <c r="E641" s="1763" t="s">
        <v>193</v>
      </c>
      <c r="F641" s="1765" t="s">
        <v>2403</v>
      </c>
      <c r="G641" s="1763" t="s">
        <v>2404</v>
      </c>
      <c r="H641" s="1766" t="s">
        <v>2405</v>
      </c>
      <c r="I641" s="1767" t="s">
        <v>2406</v>
      </c>
      <c r="J641" s="1768"/>
    </row>
    <row r="642" spans="1:10" ht="24">
      <c r="A642" s="1770" t="s">
        <v>2407</v>
      </c>
      <c r="B642" s="1771" t="s">
        <v>2410</v>
      </c>
      <c r="C642" s="1771">
        <v>665</v>
      </c>
      <c r="D642" s="1772" t="s">
        <v>2580</v>
      </c>
      <c r="E642" s="1773" t="s">
        <v>2432</v>
      </c>
      <c r="F642" s="1780">
        <v>3.95</v>
      </c>
      <c r="G642" s="1774">
        <v>35.549999999999997</v>
      </c>
      <c r="H642" s="1775">
        <f>IF(E642="H",G642,TRUNC(G642*(1-$K$7),2))</f>
        <v>35.33</v>
      </c>
      <c r="I642" s="1776">
        <f t="shared" ref="I642:I645" si="81">TRUNC(H642*F642,2)</f>
        <v>139.55000000000001</v>
      </c>
      <c r="J642" s="1768"/>
    </row>
    <row r="643" spans="1:10">
      <c r="A643" s="1770" t="s">
        <v>2407</v>
      </c>
      <c r="B643" s="1771" t="s">
        <v>7</v>
      </c>
      <c r="C643" s="1771">
        <v>88309</v>
      </c>
      <c r="D643" s="1772" t="s">
        <v>103</v>
      </c>
      <c r="E643" s="1773" t="s">
        <v>387</v>
      </c>
      <c r="F643" s="1780">
        <v>2.0550000000000002</v>
      </c>
      <c r="G643" s="1774">
        <v>24.59</v>
      </c>
      <c r="H643" s="1775">
        <f>IF(E643="H",G643,TRUNC(G643*(1-$K$7),2))</f>
        <v>24.59</v>
      </c>
      <c r="I643" s="1776">
        <f t="shared" si="81"/>
        <v>50.53</v>
      </c>
      <c r="J643" s="1768"/>
    </row>
    <row r="644" spans="1:10">
      <c r="A644" s="1770" t="s">
        <v>2407</v>
      </c>
      <c r="B644" s="1771" t="s">
        <v>7</v>
      </c>
      <c r="C644" s="1771">
        <v>88316</v>
      </c>
      <c r="D644" s="1772" t="s">
        <v>66</v>
      </c>
      <c r="E644" s="1773" t="s">
        <v>387</v>
      </c>
      <c r="F644" s="1780">
        <v>1.028</v>
      </c>
      <c r="G644" s="1774">
        <v>19.45</v>
      </c>
      <c r="H644" s="1775">
        <f>IF(E644="H",G644,TRUNC(G644*(1-$K$7),2))</f>
        <v>19.45</v>
      </c>
      <c r="I644" s="1776">
        <f t="shared" si="81"/>
        <v>19.989999999999998</v>
      </c>
      <c r="J644" s="1768"/>
    </row>
    <row r="645" spans="1:10" ht="36">
      <c r="A645" s="1770" t="s">
        <v>2407</v>
      </c>
      <c r="B645" s="1771" t="s">
        <v>7</v>
      </c>
      <c r="C645" s="1771">
        <v>100489</v>
      </c>
      <c r="D645" s="1772" t="s">
        <v>2581</v>
      </c>
      <c r="E645" s="1773" t="s">
        <v>1132</v>
      </c>
      <c r="F645" s="1780">
        <v>0.01</v>
      </c>
      <c r="G645" s="1774">
        <v>652.98</v>
      </c>
      <c r="H645" s="1775">
        <f>IF(E645="H",G645,TRUNC(G645*(1-$K$7),2))</f>
        <v>649.05999999999995</v>
      </c>
      <c r="I645" s="1776">
        <f t="shared" si="81"/>
        <v>6.49</v>
      </c>
      <c r="J645" s="1768"/>
    </row>
    <row r="646" spans="1:10">
      <c r="A646" s="1917" t="s">
        <v>2408</v>
      </c>
      <c r="B646" s="1918"/>
      <c r="C646" s="1918"/>
      <c r="D646" s="1918"/>
      <c r="E646" s="1918"/>
      <c r="F646" s="1918"/>
      <c r="G646" s="1918"/>
      <c r="H646" s="1919"/>
      <c r="I646" s="1778">
        <f>SUM(I642:I645)</f>
        <v>216.56000000000003</v>
      </c>
      <c r="J646" s="1768"/>
    </row>
    <row r="647" spans="1:10">
      <c r="A647" s="1920"/>
      <c r="B647" s="1921"/>
      <c r="C647" s="1921"/>
      <c r="D647" s="1921"/>
      <c r="E647" s="1921"/>
      <c r="F647" s="1921"/>
      <c r="G647" s="1921"/>
      <c r="H647" s="1921"/>
      <c r="I647" s="1922"/>
      <c r="J647" s="1768"/>
    </row>
    <row r="648" spans="1:10" ht="30.75" customHeight="1">
      <c r="A648" s="1757">
        <f>'PLANILHA SEM DESON'!B98</f>
        <v>93192</v>
      </c>
      <c r="B648" s="1923" t="str">
        <f>VLOOKUP(A648,'PLANILHA SEM DESON'!$B$17:$D$1699,2,FALSE)</f>
        <v>VERGA MOLDADA IN LOCO COM UTILIZAÇÃO DE BLOCOS CANALETA PARA PORTAS COM ATÉ 1,5 M DE VÃO. AF_03/2016</v>
      </c>
      <c r="C648" s="1924"/>
      <c r="D648" s="1924"/>
      <c r="E648" s="1924"/>
      <c r="F648" s="1924"/>
      <c r="G648" s="1924"/>
      <c r="H648" s="1925"/>
      <c r="I648" s="1758" t="str">
        <f>VLOOKUP(A648,'PLANILHA SEM DESON'!$B$17:$D$1699,3,FALSE)</f>
        <v>m</v>
      </c>
      <c r="J648" s="1759">
        <f>I658</f>
        <v>58.26</v>
      </c>
    </row>
    <row r="649" spans="1:10" ht="24">
      <c r="A649" s="1761" t="s">
        <v>2401</v>
      </c>
      <c r="B649" s="1762" t="s">
        <v>2402</v>
      </c>
      <c r="C649" s="1763" t="s">
        <v>2399</v>
      </c>
      <c r="D649" s="1764" t="s">
        <v>284</v>
      </c>
      <c r="E649" s="1763" t="s">
        <v>193</v>
      </c>
      <c r="F649" s="1765" t="s">
        <v>2403</v>
      </c>
      <c r="G649" s="1763" t="s">
        <v>2404</v>
      </c>
      <c r="H649" s="1766" t="s">
        <v>2405</v>
      </c>
      <c r="I649" s="1767" t="s">
        <v>2406</v>
      </c>
      <c r="J649" s="1768"/>
    </row>
    <row r="650" spans="1:10" ht="24">
      <c r="A650" s="1770" t="s">
        <v>2407</v>
      </c>
      <c r="B650" s="1771" t="s">
        <v>2410</v>
      </c>
      <c r="C650" s="1771">
        <v>660</v>
      </c>
      <c r="D650" s="1772" t="s">
        <v>2582</v>
      </c>
      <c r="E650" s="1773" t="s">
        <v>2432</v>
      </c>
      <c r="F650" s="1780">
        <v>5.34</v>
      </c>
      <c r="G650" s="1774">
        <v>3.35</v>
      </c>
      <c r="H650" s="1775">
        <f t="shared" ref="H650:H657" si="82">IF(E650="H",G650,TRUNC(G650*(1-$K$7),2))</f>
        <v>3.32</v>
      </c>
      <c r="I650" s="1776">
        <f t="shared" ref="I650:I657" si="83">TRUNC(H650*F650,2)</f>
        <v>17.72</v>
      </c>
      <c r="J650" s="1768"/>
    </row>
    <row r="651" spans="1:10" ht="24">
      <c r="A651" s="1770" t="s">
        <v>2407</v>
      </c>
      <c r="B651" s="1771" t="s">
        <v>2410</v>
      </c>
      <c r="C651" s="1771">
        <v>4491</v>
      </c>
      <c r="D651" s="1772" t="s">
        <v>1390</v>
      </c>
      <c r="E651" s="1773" t="s">
        <v>158</v>
      </c>
      <c r="F651" s="1780">
        <v>1.222</v>
      </c>
      <c r="G651" s="1774">
        <v>11.67</v>
      </c>
      <c r="H651" s="1775">
        <f t="shared" si="82"/>
        <v>11.59</v>
      </c>
      <c r="I651" s="1776">
        <f t="shared" si="83"/>
        <v>14.16</v>
      </c>
      <c r="J651" s="1768"/>
    </row>
    <row r="652" spans="1:10" ht="36">
      <c r="A652" s="1770" t="s">
        <v>2407</v>
      </c>
      <c r="B652" s="1771" t="s">
        <v>2410</v>
      </c>
      <c r="C652" s="1771">
        <v>6193</v>
      </c>
      <c r="D652" s="1772" t="s">
        <v>2504</v>
      </c>
      <c r="E652" s="1773" t="s">
        <v>158</v>
      </c>
      <c r="F652" s="1780">
        <v>0.17100000000000001</v>
      </c>
      <c r="G652" s="1774">
        <v>18.010000000000002</v>
      </c>
      <c r="H652" s="1775">
        <f t="shared" si="82"/>
        <v>17.899999999999999</v>
      </c>
      <c r="I652" s="1776">
        <f t="shared" si="83"/>
        <v>3.06</v>
      </c>
      <c r="J652" s="1768"/>
    </row>
    <row r="653" spans="1:10" ht="60">
      <c r="A653" s="1770" t="s">
        <v>2407</v>
      </c>
      <c r="B653" s="1771" t="s">
        <v>7</v>
      </c>
      <c r="C653" s="1771">
        <v>87294</v>
      </c>
      <c r="D653" s="1772" t="s">
        <v>2583</v>
      </c>
      <c r="E653" s="1773" t="s">
        <v>1132</v>
      </c>
      <c r="F653" s="1780">
        <v>1.9E-3</v>
      </c>
      <c r="G653" s="1774">
        <v>553.63</v>
      </c>
      <c r="H653" s="1775">
        <f t="shared" si="82"/>
        <v>550.29999999999995</v>
      </c>
      <c r="I653" s="1776">
        <f t="shared" ref="I653" si="84">TRUNC(H653*F653,2)</f>
        <v>1.04</v>
      </c>
      <c r="J653" s="1768"/>
    </row>
    <row r="654" spans="1:10">
      <c r="A654" s="1770" t="s">
        <v>2407</v>
      </c>
      <c r="B654" s="1771" t="s">
        <v>7</v>
      </c>
      <c r="C654" s="1771">
        <v>88309</v>
      </c>
      <c r="D654" s="1772" t="s">
        <v>103</v>
      </c>
      <c r="E654" s="1773" t="s">
        <v>387</v>
      </c>
      <c r="F654" s="1780">
        <v>0.27900000000000003</v>
      </c>
      <c r="G654" s="1774">
        <v>24.59</v>
      </c>
      <c r="H654" s="1775">
        <f t="shared" si="82"/>
        <v>24.59</v>
      </c>
      <c r="I654" s="1776">
        <f t="shared" si="83"/>
        <v>6.86</v>
      </c>
      <c r="J654" s="1768"/>
    </row>
    <row r="655" spans="1:10">
      <c r="A655" s="1770" t="s">
        <v>2407</v>
      </c>
      <c r="B655" s="1771" t="s">
        <v>7</v>
      </c>
      <c r="C655" s="1771">
        <v>88316</v>
      </c>
      <c r="D655" s="1772" t="s">
        <v>66</v>
      </c>
      <c r="E655" s="1773" t="s">
        <v>387</v>
      </c>
      <c r="F655" s="1780">
        <v>0.13900000000000001</v>
      </c>
      <c r="G655" s="1774">
        <v>19.45</v>
      </c>
      <c r="H655" s="1775">
        <f t="shared" si="82"/>
        <v>19.45</v>
      </c>
      <c r="I655" s="1776">
        <f t="shared" si="83"/>
        <v>2.7</v>
      </c>
      <c r="J655" s="1768"/>
    </row>
    <row r="656" spans="1:10" ht="48">
      <c r="A656" s="1770" t="s">
        <v>2407</v>
      </c>
      <c r="B656" s="1771" t="s">
        <v>7</v>
      </c>
      <c r="C656" s="1771">
        <v>90279</v>
      </c>
      <c r="D656" s="1772" t="s">
        <v>2584</v>
      </c>
      <c r="E656" s="1773" t="s">
        <v>1132</v>
      </c>
      <c r="F656" s="1780">
        <v>1.4E-2</v>
      </c>
      <c r="G656" s="1774">
        <v>642.92999999999995</v>
      </c>
      <c r="H656" s="1775">
        <f t="shared" si="82"/>
        <v>639.07000000000005</v>
      </c>
      <c r="I656" s="1776">
        <f t="shared" si="83"/>
        <v>8.94</v>
      </c>
      <c r="J656" s="1768"/>
    </row>
    <row r="657" spans="1:10" ht="24">
      <c r="A657" s="1770" t="s">
        <v>2407</v>
      </c>
      <c r="B657" s="1771" t="s">
        <v>7</v>
      </c>
      <c r="C657" s="1771">
        <v>92800</v>
      </c>
      <c r="D657" s="1772" t="s">
        <v>2366</v>
      </c>
      <c r="E657" s="1773" t="s">
        <v>1145</v>
      </c>
      <c r="F657" s="1780">
        <v>0.308</v>
      </c>
      <c r="G657" s="1774">
        <v>12.37</v>
      </c>
      <c r="H657" s="1775">
        <f t="shared" si="82"/>
        <v>12.29</v>
      </c>
      <c r="I657" s="1776">
        <f t="shared" si="83"/>
        <v>3.78</v>
      </c>
      <c r="J657" s="1768"/>
    </row>
    <row r="658" spans="1:10">
      <c r="A658" s="1917" t="s">
        <v>2408</v>
      </c>
      <c r="B658" s="1918"/>
      <c r="C658" s="1918"/>
      <c r="D658" s="1918"/>
      <c r="E658" s="1918"/>
      <c r="F658" s="1918"/>
      <c r="G658" s="1918"/>
      <c r="H658" s="1919"/>
      <c r="I658" s="1778">
        <f>SUM(I650:I657)</f>
        <v>58.26</v>
      </c>
      <c r="J658" s="1768"/>
    </row>
    <row r="659" spans="1:10">
      <c r="A659" s="1920"/>
      <c r="B659" s="1921"/>
      <c r="C659" s="1921"/>
      <c r="D659" s="1921"/>
      <c r="E659" s="1921"/>
      <c r="F659" s="1921"/>
      <c r="G659" s="1921"/>
      <c r="H659" s="1921"/>
      <c r="I659" s="1922"/>
      <c r="J659" s="1768"/>
    </row>
    <row r="660" spans="1:10" ht="25.5" customHeight="1">
      <c r="A660" s="1757">
        <f>'PLANILHA SEM DESON'!B99</f>
        <v>93193</v>
      </c>
      <c r="B660" s="1923" t="str">
        <f>VLOOKUP(A660,'PLANILHA SEM DESON'!$B$17:$D$1699,2,FALSE)</f>
        <v>VERGA MOLDADA IN LOCO COM UTILIZAÇÃO DE BLOCOS CANALETA PARA PORTAS COM MAIS DE 1,5 M DE VÃO. AF_03/2016</v>
      </c>
      <c r="C660" s="1924"/>
      <c r="D660" s="1924"/>
      <c r="E660" s="1924"/>
      <c r="F660" s="1924"/>
      <c r="G660" s="1924"/>
      <c r="H660" s="1925"/>
      <c r="I660" s="1758" t="str">
        <f>VLOOKUP(A660,'PLANILHA SEM DESON'!$B$17:$D$1699,3,FALSE)</f>
        <v>m</v>
      </c>
      <c r="J660" s="1759">
        <f>I670</f>
        <v>53.999999999999993</v>
      </c>
    </row>
    <row r="661" spans="1:10" ht="24">
      <c r="A661" s="1761" t="s">
        <v>2401</v>
      </c>
      <c r="B661" s="1762" t="s">
        <v>2402</v>
      </c>
      <c r="C661" s="1763" t="s">
        <v>2399</v>
      </c>
      <c r="D661" s="1764" t="s">
        <v>284</v>
      </c>
      <c r="E661" s="1763" t="s">
        <v>193</v>
      </c>
      <c r="F661" s="1765" t="s">
        <v>2403</v>
      </c>
      <c r="G661" s="1763" t="s">
        <v>2404</v>
      </c>
      <c r="H661" s="1766" t="s">
        <v>2405</v>
      </c>
      <c r="I661" s="1767" t="s">
        <v>2406</v>
      </c>
      <c r="J661" s="1768"/>
    </row>
    <row r="662" spans="1:10" ht="24">
      <c r="A662" s="1770" t="s">
        <v>2407</v>
      </c>
      <c r="B662" s="1771" t="s">
        <v>2410</v>
      </c>
      <c r="C662" s="1771">
        <v>660</v>
      </c>
      <c r="D662" s="1772" t="s">
        <v>2582</v>
      </c>
      <c r="E662" s="1773" t="s">
        <v>2432</v>
      </c>
      <c r="F662" s="1780">
        <v>5.34</v>
      </c>
      <c r="G662" s="1774">
        <v>3.35</v>
      </c>
      <c r="H662" s="1775">
        <f t="shared" ref="H662:H669" si="85">IF(E662="H",G662,TRUNC(G662*(1-$K$7),2))</f>
        <v>3.32</v>
      </c>
      <c r="I662" s="1776">
        <f t="shared" ref="I662:I669" si="86">TRUNC(H662*F662,2)</f>
        <v>17.72</v>
      </c>
      <c r="J662" s="1768"/>
    </row>
    <row r="663" spans="1:10" ht="24">
      <c r="A663" s="1770" t="s">
        <v>2407</v>
      </c>
      <c r="B663" s="1771" t="s">
        <v>2410</v>
      </c>
      <c r="C663" s="1771">
        <v>4491</v>
      </c>
      <c r="D663" s="1772" t="s">
        <v>1390</v>
      </c>
      <c r="E663" s="1773" t="s">
        <v>158</v>
      </c>
      <c r="F663" s="1780">
        <v>0.379</v>
      </c>
      <c r="G663" s="1774">
        <v>11.67</v>
      </c>
      <c r="H663" s="1775">
        <f t="shared" si="85"/>
        <v>11.59</v>
      </c>
      <c r="I663" s="1776">
        <f t="shared" si="86"/>
        <v>4.3899999999999997</v>
      </c>
      <c r="J663" s="1768"/>
    </row>
    <row r="664" spans="1:10" ht="36">
      <c r="A664" s="1770" t="s">
        <v>2407</v>
      </c>
      <c r="B664" s="1771" t="s">
        <v>2410</v>
      </c>
      <c r="C664" s="1771">
        <v>6193</v>
      </c>
      <c r="D664" s="1772" t="s">
        <v>2504</v>
      </c>
      <c r="E664" s="1773" t="s">
        <v>158</v>
      </c>
      <c r="F664" s="1780">
        <v>0.19</v>
      </c>
      <c r="G664" s="1774">
        <v>18.010000000000002</v>
      </c>
      <c r="H664" s="1775">
        <f t="shared" si="85"/>
        <v>17.899999999999999</v>
      </c>
      <c r="I664" s="1776">
        <f t="shared" ref="I664" si="87">TRUNC(H664*F664,2)</f>
        <v>3.4</v>
      </c>
      <c r="J664" s="1768"/>
    </row>
    <row r="665" spans="1:10" ht="60">
      <c r="A665" s="1770" t="s">
        <v>2407</v>
      </c>
      <c r="B665" s="1771" t="s">
        <v>7</v>
      </c>
      <c r="C665" s="1771">
        <v>87294</v>
      </c>
      <c r="D665" s="1772" t="s">
        <v>2583</v>
      </c>
      <c r="E665" s="1773" t="s">
        <v>1132</v>
      </c>
      <c r="F665" s="1780">
        <v>1.9E-3</v>
      </c>
      <c r="G665" s="1774">
        <v>553.63</v>
      </c>
      <c r="H665" s="1775">
        <f t="shared" si="85"/>
        <v>550.29999999999995</v>
      </c>
      <c r="I665" s="1776">
        <f t="shared" si="86"/>
        <v>1.04</v>
      </c>
      <c r="J665" s="1768"/>
    </row>
    <row r="666" spans="1:10">
      <c r="A666" s="1770" t="s">
        <v>2407</v>
      </c>
      <c r="B666" s="1771" t="s">
        <v>7</v>
      </c>
      <c r="C666" s="1771">
        <v>88309</v>
      </c>
      <c r="D666" s="1772" t="s">
        <v>103</v>
      </c>
      <c r="E666" s="1773" t="s">
        <v>387</v>
      </c>
      <c r="F666" s="1780">
        <v>0.24299999999999999</v>
      </c>
      <c r="G666" s="1774">
        <v>24.59</v>
      </c>
      <c r="H666" s="1775">
        <f t="shared" si="85"/>
        <v>24.59</v>
      </c>
      <c r="I666" s="1776">
        <f t="shared" si="86"/>
        <v>5.97</v>
      </c>
      <c r="J666" s="1768"/>
    </row>
    <row r="667" spans="1:10">
      <c r="A667" s="1770" t="s">
        <v>2407</v>
      </c>
      <c r="B667" s="1771" t="s">
        <v>7</v>
      </c>
      <c r="C667" s="1771">
        <v>88316</v>
      </c>
      <c r="D667" s="1772" t="s">
        <v>66</v>
      </c>
      <c r="E667" s="1773" t="s">
        <v>387</v>
      </c>
      <c r="F667" s="1780">
        <v>0.121</v>
      </c>
      <c r="G667" s="1774">
        <v>19.45</v>
      </c>
      <c r="H667" s="1775">
        <f t="shared" si="85"/>
        <v>19.45</v>
      </c>
      <c r="I667" s="1776">
        <f t="shared" si="86"/>
        <v>2.35</v>
      </c>
      <c r="J667" s="1768"/>
    </row>
    <row r="668" spans="1:10" ht="48">
      <c r="A668" s="1770" t="s">
        <v>2407</v>
      </c>
      <c r="B668" s="1771" t="s">
        <v>7</v>
      </c>
      <c r="C668" s="1771">
        <v>90279</v>
      </c>
      <c r="D668" s="1772" t="s">
        <v>2584</v>
      </c>
      <c r="E668" s="1773" t="s">
        <v>1132</v>
      </c>
      <c r="F668" s="1780">
        <v>1.4E-2</v>
      </c>
      <c r="G668" s="1774">
        <v>642.92999999999995</v>
      </c>
      <c r="H668" s="1775">
        <f t="shared" si="85"/>
        <v>639.07000000000005</v>
      </c>
      <c r="I668" s="1776">
        <f t="shared" si="86"/>
        <v>8.94</v>
      </c>
      <c r="J668" s="1768"/>
    </row>
    <row r="669" spans="1:10" ht="24">
      <c r="A669" s="1770" t="s">
        <v>2407</v>
      </c>
      <c r="B669" s="1771" t="s">
        <v>7</v>
      </c>
      <c r="C669" s="1771">
        <v>92802</v>
      </c>
      <c r="D669" s="1772" t="s">
        <v>2560</v>
      </c>
      <c r="E669" s="1773" t="s">
        <v>1145</v>
      </c>
      <c r="F669" s="1780">
        <v>0.79</v>
      </c>
      <c r="G669" s="1774">
        <v>12.98</v>
      </c>
      <c r="H669" s="1775">
        <f t="shared" si="85"/>
        <v>12.9</v>
      </c>
      <c r="I669" s="1776">
        <f t="shared" si="86"/>
        <v>10.19</v>
      </c>
      <c r="J669" s="1768"/>
    </row>
    <row r="670" spans="1:10">
      <c r="A670" s="1917" t="s">
        <v>2408</v>
      </c>
      <c r="B670" s="1918"/>
      <c r="C670" s="1918"/>
      <c r="D670" s="1918"/>
      <c r="E670" s="1918"/>
      <c r="F670" s="1918"/>
      <c r="G670" s="1918"/>
      <c r="H670" s="1919"/>
      <c r="I670" s="1778">
        <f>SUM(I662:I669)</f>
        <v>53.999999999999993</v>
      </c>
      <c r="J670" s="1768"/>
    </row>
    <row r="671" spans="1:10">
      <c r="A671" s="1920"/>
      <c r="B671" s="1921"/>
      <c r="C671" s="1921"/>
      <c r="D671" s="1921"/>
      <c r="E671" s="1921"/>
      <c r="F671" s="1921"/>
      <c r="G671" s="1921"/>
      <c r="H671" s="1921"/>
      <c r="I671" s="1922"/>
      <c r="J671" s="1768"/>
    </row>
    <row r="672" spans="1:10" ht="26.25" customHeight="1">
      <c r="A672" s="1757">
        <f>'PLANILHA SEM DESON'!B100</f>
        <v>93190</v>
      </c>
      <c r="B672" s="1923" t="str">
        <f>VLOOKUP(A672,'PLANILHA SEM DESON'!$B$17:$D$1699,2,FALSE)</f>
        <v>VERGA MOLDADA IN LOCO COM UTILIZAÇÃO DE BLOCOS CANALETA PARA JANELAS COM ATÉ 1,5 M DE VÃO. AF_03/2016</v>
      </c>
      <c r="C672" s="1924"/>
      <c r="D672" s="1924"/>
      <c r="E672" s="1924"/>
      <c r="F672" s="1924"/>
      <c r="G672" s="1924"/>
      <c r="H672" s="1925"/>
      <c r="I672" s="1758" t="str">
        <f>VLOOKUP(A672,'PLANILHA SEM DESON'!$B$17:$D$1699,3,FALSE)</f>
        <v>m</v>
      </c>
      <c r="J672" s="1759">
        <f>I682</f>
        <v>50.389999999999993</v>
      </c>
    </row>
    <row r="673" spans="1:10" ht="24">
      <c r="A673" s="1761" t="s">
        <v>2401</v>
      </c>
      <c r="B673" s="1762" t="s">
        <v>2402</v>
      </c>
      <c r="C673" s="1763" t="s">
        <v>2399</v>
      </c>
      <c r="D673" s="1764" t="s">
        <v>284</v>
      </c>
      <c r="E673" s="1763" t="s">
        <v>193</v>
      </c>
      <c r="F673" s="1765" t="s">
        <v>2403</v>
      </c>
      <c r="G673" s="1763" t="s">
        <v>2404</v>
      </c>
      <c r="H673" s="1766" t="s">
        <v>2405</v>
      </c>
      <c r="I673" s="1767" t="s">
        <v>2406</v>
      </c>
      <c r="J673" s="1768"/>
    </row>
    <row r="674" spans="1:10" ht="24">
      <c r="A674" s="1770" t="s">
        <v>2407</v>
      </c>
      <c r="B674" s="1771" t="s">
        <v>2410</v>
      </c>
      <c r="C674" s="1771">
        <v>660</v>
      </c>
      <c r="D674" s="1772" t="s">
        <v>2582</v>
      </c>
      <c r="E674" s="1773" t="s">
        <v>2432</v>
      </c>
      <c r="F674" s="1780">
        <v>5.34</v>
      </c>
      <c r="G674" s="1774">
        <v>3.35</v>
      </c>
      <c r="H674" s="1775">
        <f t="shared" ref="H674:H681" si="88">IF(E674="H",G674,TRUNC(G674*(1-$K$7),2))</f>
        <v>3.32</v>
      </c>
      <c r="I674" s="1776">
        <f t="shared" ref="I674:I681" si="89">TRUNC(H674*F674,2)</f>
        <v>17.72</v>
      </c>
      <c r="J674" s="1768"/>
    </row>
    <row r="675" spans="1:10" ht="24">
      <c r="A675" s="1770" t="s">
        <v>2407</v>
      </c>
      <c r="B675" s="1771" t="s">
        <v>2410</v>
      </c>
      <c r="C675" s="1771">
        <v>4491</v>
      </c>
      <c r="D675" s="1772" t="s">
        <v>1390</v>
      </c>
      <c r="E675" s="1773" t="s">
        <v>158</v>
      </c>
      <c r="F675" s="1780">
        <v>0.35199999999999998</v>
      </c>
      <c r="G675" s="1774">
        <v>11.67</v>
      </c>
      <c r="H675" s="1775">
        <f t="shared" si="88"/>
        <v>11.59</v>
      </c>
      <c r="I675" s="1776">
        <f t="shared" si="89"/>
        <v>4.07</v>
      </c>
      <c r="J675" s="1768"/>
    </row>
    <row r="676" spans="1:10" ht="36">
      <c r="A676" s="1770" t="s">
        <v>2407</v>
      </c>
      <c r="B676" s="1771" t="s">
        <v>2410</v>
      </c>
      <c r="C676" s="1771">
        <v>6193</v>
      </c>
      <c r="D676" s="1772" t="s">
        <v>2504</v>
      </c>
      <c r="E676" s="1773" t="s">
        <v>158</v>
      </c>
      <c r="F676" s="1780">
        <v>0.17599999999999999</v>
      </c>
      <c r="G676" s="1774">
        <v>18.010000000000002</v>
      </c>
      <c r="H676" s="1775">
        <f t="shared" si="88"/>
        <v>17.899999999999999</v>
      </c>
      <c r="I676" s="1776">
        <f t="shared" ref="I676" si="90">TRUNC(H676*F676,2)</f>
        <v>3.15</v>
      </c>
      <c r="J676" s="1768"/>
    </row>
    <row r="677" spans="1:10" ht="60">
      <c r="A677" s="1770" t="s">
        <v>2407</v>
      </c>
      <c r="B677" s="1771" t="s">
        <v>7</v>
      </c>
      <c r="C677" s="1771">
        <v>87294</v>
      </c>
      <c r="D677" s="1772" t="s">
        <v>2583</v>
      </c>
      <c r="E677" s="1773" t="s">
        <v>1132</v>
      </c>
      <c r="F677" s="1780">
        <v>1.9E-3</v>
      </c>
      <c r="G677" s="1774">
        <v>553.63</v>
      </c>
      <c r="H677" s="1775">
        <f t="shared" si="88"/>
        <v>550.29999999999995</v>
      </c>
      <c r="I677" s="1776">
        <f t="shared" si="89"/>
        <v>1.04</v>
      </c>
      <c r="J677" s="1768"/>
    </row>
    <row r="678" spans="1:10">
      <c r="A678" s="1770" t="s">
        <v>2407</v>
      </c>
      <c r="B678" s="1771" t="s">
        <v>7</v>
      </c>
      <c r="C678" s="1771">
        <v>88309</v>
      </c>
      <c r="D678" s="1772" t="s">
        <v>103</v>
      </c>
      <c r="E678" s="1773" t="s">
        <v>387</v>
      </c>
      <c r="F678" s="1780">
        <v>0.26900000000000002</v>
      </c>
      <c r="G678" s="1774">
        <v>24.59</v>
      </c>
      <c r="H678" s="1775">
        <f t="shared" si="88"/>
        <v>24.59</v>
      </c>
      <c r="I678" s="1776">
        <f t="shared" si="89"/>
        <v>6.61</v>
      </c>
      <c r="J678" s="1768"/>
    </row>
    <row r="679" spans="1:10">
      <c r="A679" s="1770" t="s">
        <v>2407</v>
      </c>
      <c r="B679" s="1771" t="s">
        <v>7</v>
      </c>
      <c r="C679" s="1771">
        <v>88316</v>
      </c>
      <c r="D679" s="1772" t="s">
        <v>66</v>
      </c>
      <c r="E679" s="1773" t="s">
        <v>387</v>
      </c>
      <c r="F679" s="1780">
        <v>0.13400000000000001</v>
      </c>
      <c r="G679" s="1774">
        <v>19.45</v>
      </c>
      <c r="H679" s="1775">
        <f t="shared" si="88"/>
        <v>19.45</v>
      </c>
      <c r="I679" s="1776">
        <f t="shared" si="89"/>
        <v>2.6</v>
      </c>
      <c r="J679" s="1768"/>
    </row>
    <row r="680" spans="1:10" ht="48">
      <c r="A680" s="1770" t="s">
        <v>2407</v>
      </c>
      <c r="B680" s="1771" t="s">
        <v>7</v>
      </c>
      <c r="C680" s="1771">
        <v>90279</v>
      </c>
      <c r="D680" s="1772" t="s">
        <v>2584</v>
      </c>
      <c r="E680" s="1773" t="s">
        <v>1132</v>
      </c>
      <c r="F680" s="1780">
        <v>1.4E-2</v>
      </c>
      <c r="G680" s="1774">
        <v>642.92999999999995</v>
      </c>
      <c r="H680" s="1775">
        <f t="shared" si="88"/>
        <v>639.07000000000005</v>
      </c>
      <c r="I680" s="1776">
        <f t="shared" si="89"/>
        <v>8.94</v>
      </c>
      <c r="J680" s="1768"/>
    </row>
    <row r="681" spans="1:10" ht="24">
      <c r="A681" s="1770" t="s">
        <v>2407</v>
      </c>
      <c r="B681" s="1771" t="s">
        <v>7</v>
      </c>
      <c r="C681" s="1771">
        <v>92801</v>
      </c>
      <c r="D681" s="1772" t="s">
        <v>2566</v>
      </c>
      <c r="E681" s="1773" t="s">
        <v>1145</v>
      </c>
      <c r="F681" s="1780">
        <v>0.49</v>
      </c>
      <c r="G681" s="1774">
        <v>12.86</v>
      </c>
      <c r="H681" s="1775">
        <f t="shared" si="88"/>
        <v>12.78</v>
      </c>
      <c r="I681" s="1776">
        <f t="shared" si="89"/>
        <v>6.26</v>
      </c>
      <c r="J681" s="1768"/>
    </row>
    <row r="682" spans="1:10">
      <c r="A682" s="1917" t="s">
        <v>2408</v>
      </c>
      <c r="B682" s="1918"/>
      <c r="C682" s="1918"/>
      <c r="D682" s="1918"/>
      <c r="E682" s="1918"/>
      <c r="F682" s="1918"/>
      <c r="G682" s="1918"/>
      <c r="H682" s="1919"/>
      <c r="I682" s="1778">
        <f>SUM(I674:I681)</f>
        <v>50.389999999999993</v>
      </c>
      <c r="J682" s="1768"/>
    </row>
    <row r="683" spans="1:10">
      <c r="A683" s="1920"/>
      <c r="B683" s="1921"/>
      <c r="C683" s="1921"/>
      <c r="D683" s="1921"/>
      <c r="E683" s="1921"/>
      <c r="F683" s="1921"/>
      <c r="G683" s="1921"/>
      <c r="H683" s="1921"/>
      <c r="I683" s="1922"/>
      <c r="J683" s="1768"/>
    </row>
    <row r="684" spans="1:10">
      <c r="A684" s="1757">
        <f>'PLANILHA SEM DESON'!B101</f>
        <v>93187</v>
      </c>
      <c r="B684" s="1923" t="str">
        <f>VLOOKUP(A684,'PLANILHA SEM DESON'!$B$17:$D$1699,2,FALSE)</f>
        <v>VERGA MOLDADA IN LOCO EM CONCRETO PARA JANELAS COM MAIS DE 1,5 M DE VÃO. AF_03/2016</v>
      </c>
      <c r="C684" s="1924"/>
      <c r="D684" s="1924"/>
      <c r="E684" s="1924"/>
      <c r="F684" s="1924"/>
      <c r="G684" s="1924"/>
      <c r="H684" s="1925"/>
      <c r="I684" s="1758" t="str">
        <f>VLOOKUP(A684,'PLANILHA SEM DESON'!$B$17:$D$1699,3,FALSE)</f>
        <v>m</v>
      </c>
      <c r="J684" s="1759">
        <f>I694</f>
        <v>104.98</v>
      </c>
    </row>
    <row r="685" spans="1:10" ht="24">
      <c r="A685" s="1761" t="s">
        <v>2401</v>
      </c>
      <c r="B685" s="1762" t="s">
        <v>2402</v>
      </c>
      <c r="C685" s="1763" t="s">
        <v>2399</v>
      </c>
      <c r="D685" s="1764" t="s">
        <v>284</v>
      </c>
      <c r="E685" s="1763" t="s">
        <v>193</v>
      </c>
      <c r="F685" s="1765" t="s">
        <v>2403</v>
      </c>
      <c r="G685" s="1763" t="s">
        <v>2404</v>
      </c>
      <c r="H685" s="1766" t="s">
        <v>2405</v>
      </c>
      <c r="I685" s="1767" t="s">
        <v>2406</v>
      </c>
      <c r="J685" s="1768"/>
    </row>
    <row r="686" spans="1:10" ht="24">
      <c r="A686" s="1770" t="s">
        <v>2407</v>
      </c>
      <c r="B686" s="1771" t="s">
        <v>2410</v>
      </c>
      <c r="C686" s="1771">
        <v>2692</v>
      </c>
      <c r="D686" s="1772" t="s">
        <v>1679</v>
      </c>
      <c r="E686" s="1773" t="s">
        <v>424</v>
      </c>
      <c r="F686" s="1780">
        <v>7.0000000000000001E-3</v>
      </c>
      <c r="G686" s="1774">
        <v>8.84</v>
      </c>
      <c r="H686" s="1775">
        <f t="shared" ref="H686:H693" si="91">IF(E686="H",G686,TRUNC(G686*(1-$K$7),2))</f>
        <v>8.7799999999999994</v>
      </c>
      <c r="I686" s="1776">
        <f t="shared" ref="I686:I693" si="92">TRUNC(H686*F686,2)</f>
        <v>0.06</v>
      </c>
      <c r="J686" s="1768"/>
    </row>
    <row r="687" spans="1:10" ht="24">
      <c r="A687" s="1770" t="s">
        <v>2407</v>
      </c>
      <c r="B687" s="1771" t="s">
        <v>2410</v>
      </c>
      <c r="C687" s="1771">
        <v>4491</v>
      </c>
      <c r="D687" s="1772" t="s">
        <v>1390</v>
      </c>
      <c r="E687" s="1773" t="s">
        <v>158</v>
      </c>
      <c r="F687" s="1780">
        <v>0.22</v>
      </c>
      <c r="G687" s="1774">
        <v>11.67</v>
      </c>
      <c r="H687" s="1775">
        <f t="shared" si="91"/>
        <v>11.59</v>
      </c>
      <c r="I687" s="1776">
        <f t="shared" si="92"/>
        <v>2.54</v>
      </c>
      <c r="J687" s="1768"/>
    </row>
    <row r="688" spans="1:10" ht="36">
      <c r="A688" s="1770" t="s">
        <v>2407</v>
      </c>
      <c r="B688" s="1771" t="s">
        <v>2410</v>
      </c>
      <c r="C688" s="1771">
        <v>39017</v>
      </c>
      <c r="D688" s="1772" t="s">
        <v>2558</v>
      </c>
      <c r="E688" s="1773" t="s">
        <v>2432</v>
      </c>
      <c r="F688" s="1780">
        <v>6</v>
      </c>
      <c r="G688" s="1774">
        <v>0.22</v>
      </c>
      <c r="H688" s="1775">
        <f t="shared" si="91"/>
        <v>0.21</v>
      </c>
      <c r="I688" s="1776">
        <f t="shared" ref="I688" si="93">TRUNC(H688*F688,2)</f>
        <v>1.26</v>
      </c>
      <c r="J688" s="1768"/>
    </row>
    <row r="689" spans="1:10">
      <c r="A689" s="1770" t="s">
        <v>2407</v>
      </c>
      <c r="B689" s="1771" t="s">
        <v>7</v>
      </c>
      <c r="C689" s="1771">
        <v>88309</v>
      </c>
      <c r="D689" s="1772" t="s">
        <v>103</v>
      </c>
      <c r="E689" s="1773" t="s">
        <v>387</v>
      </c>
      <c r="F689" s="1780">
        <v>0.36</v>
      </c>
      <c r="G689" s="1774">
        <v>24.59</v>
      </c>
      <c r="H689" s="1775">
        <f t="shared" si="91"/>
        <v>24.59</v>
      </c>
      <c r="I689" s="1776">
        <f t="shared" si="92"/>
        <v>8.85</v>
      </c>
      <c r="J689" s="1768"/>
    </row>
    <row r="690" spans="1:10">
      <c r="A690" s="1770" t="s">
        <v>2407</v>
      </c>
      <c r="B690" s="1771" t="s">
        <v>7</v>
      </c>
      <c r="C690" s="1771">
        <v>88316</v>
      </c>
      <c r="D690" s="1772" t="s">
        <v>66</v>
      </c>
      <c r="E690" s="1773" t="s">
        <v>387</v>
      </c>
      <c r="F690" s="1780">
        <v>0.18</v>
      </c>
      <c r="G690" s="1774">
        <v>19.45</v>
      </c>
      <c r="H690" s="1775">
        <f t="shared" si="91"/>
        <v>19.45</v>
      </c>
      <c r="I690" s="1776">
        <f t="shared" si="92"/>
        <v>3.5</v>
      </c>
      <c r="J690" s="1768"/>
    </row>
    <row r="691" spans="1:10" ht="24">
      <c r="A691" s="1770" t="s">
        <v>2407</v>
      </c>
      <c r="B691" s="1771" t="s">
        <v>7</v>
      </c>
      <c r="C691" s="1771">
        <v>92270</v>
      </c>
      <c r="D691" s="1772" t="s">
        <v>2585</v>
      </c>
      <c r="E691" s="1773" t="s">
        <v>1137</v>
      </c>
      <c r="F691" s="1780">
        <v>0.4</v>
      </c>
      <c r="G691" s="1774">
        <v>165.78</v>
      </c>
      <c r="H691" s="1775">
        <f t="shared" si="91"/>
        <v>164.78</v>
      </c>
      <c r="I691" s="1776">
        <f t="shared" si="92"/>
        <v>65.91</v>
      </c>
      <c r="J691" s="1768"/>
    </row>
    <row r="692" spans="1:10" ht="24">
      <c r="A692" s="1770" t="s">
        <v>2407</v>
      </c>
      <c r="B692" s="1771" t="s">
        <v>7</v>
      </c>
      <c r="C692" s="1771">
        <v>92802</v>
      </c>
      <c r="D692" s="1772" t="s">
        <v>2560</v>
      </c>
      <c r="E692" s="1773" t="s">
        <v>1145</v>
      </c>
      <c r="F692" s="1780">
        <v>0.79</v>
      </c>
      <c r="G692" s="1774">
        <v>12.98</v>
      </c>
      <c r="H692" s="1775">
        <f t="shared" si="91"/>
        <v>12.9</v>
      </c>
      <c r="I692" s="1776">
        <f t="shared" si="92"/>
        <v>10.19</v>
      </c>
      <c r="J692" s="1768"/>
    </row>
    <row r="693" spans="1:10" ht="36">
      <c r="A693" s="1770" t="s">
        <v>2407</v>
      </c>
      <c r="B693" s="1771" t="s">
        <v>7</v>
      </c>
      <c r="C693" s="1771">
        <v>94970</v>
      </c>
      <c r="D693" s="1772" t="s">
        <v>2586</v>
      </c>
      <c r="E693" s="1773" t="s">
        <v>1132</v>
      </c>
      <c r="F693" s="1780">
        <v>2.4E-2</v>
      </c>
      <c r="G693" s="1774">
        <v>531.49</v>
      </c>
      <c r="H693" s="1775">
        <f t="shared" si="91"/>
        <v>528.29999999999995</v>
      </c>
      <c r="I693" s="1776">
        <f t="shared" si="92"/>
        <v>12.67</v>
      </c>
      <c r="J693" s="1768"/>
    </row>
    <row r="694" spans="1:10">
      <c r="A694" s="1917" t="s">
        <v>2408</v>
      </c>
      <c r="B694" s="1918"/>
      <c r="C694" s="1918"/>
      <c r="D694" s="1918"/>
      <c r="E694" s="1918"/>
      <c r="F694" s="1918"/>
      <c r="G694" s="1918"/>
      <c r="H694" s="1919"/>
      <c r="I694" s="1778">
        <f>SUM(I686:I693)</f>
        <v>104.98</v>
      </c>
      <c r="J694" s="1768"/>
    </row>
    <row r="695" spans="1:10">
      <c r="A695" s="1920"/>
      <c r="B695" s="1921"/>
      <c r="C695" s="1921"/>
      <c r="D695" s="1921"/>
      <c r="E695" s="1921"/>
      <c r="F695" s="1921"/>
      <c r="G695" s="1921"/>
      <c r="H695" s="1921"/>
      <c r="I695" s="1922"/>
      <c r="J695" s="1768"/>
    </row>
    <row r="696" spans="1:10" ht="27.75" customHeight="1">
      <c r="A696" s="1757">
        <f>'PLANILHA SEM DESON'!B102</f>
        <v>93198</v>
      </c>
      <c r="B696" s="1923" t="str">
        <f>VLOOKUP(A696,'PLANILHA SEM DESON'!$B$17:$D$1699,2,FALSE)</f>
        <v>CONTRAVERGA MOLDADA IN LOCO COM UTILIZAÇÃO DE BLOCOS CANALETA PARA VÃOS DE ATÉ 1,5 M DE COMPRIMENTO. AF_03/2016</v>
      </c>
      <c r="C696" s="1924"/>
      <c r="D696" s="1924"/>
      <c r="E696" s="1924"/>
      <c r="F696" s="1924"/>
      <c r="G696" s="1924"/>
      <c r="H696" s="1925"/>
      <c r="I696" s="1758" t="str">
        <f>VLOOKUP(A696,'PLANILHA SEM DESON'!$B$17:$D$1699,3,FALSE)</f>
        <v>m</v>
      </c>
      <c r="J696" s="1759">
        <f>I704</f>
        <v>43.169999999999995</v>
      </c>
    </row>
    <row r="697" spans="1:10" ht="24">
      <c r="A697" s="1761" t="s">
        <v>2401</v>
      </c>
      <c r="B697" s="1762" t="s">
        <v>2402</v>
      </c>
      <c r="C697" s="1763" t="s">
        <v>2399</v>
      </c>
      <c r="D697" s="1764" t="s">
        <v>284</v>
      </c>
      <c r="E697" s="1763" t="s">
        <v>193</v>
      </c>
      <c r="F697" s="1765" t="s">
        <v>2403</v>
      </c>
      <c r="G697" s="1763" t="s">
        <v>2404</v>
      </c>
      <c r="H697" s="1766" t="s">
        <v>2405</v>
      </c>
      <c r="I697" s="1767" t="s">
        <v>2406</v>
      </c>
      <c r="J697" s="1768"/>
    </row>
    <row r="698" spans="1:10" ht="24">
      <c r="A698" s="1770" t="s">
        <v>2407</v>
      </c>
      <c r="B698" s="1771" t="s">
        <v>2410</v>
      </c>
      <c r="C698" s="1771">
        <v>660</v>
      </c>
      <c r="D698" s="1772" t="s">
        <v>2582</v>
      </c>
      <c r="E698" s="1773" t="s">
        <v>2432</v>
      </c>
      <c r="F698" s="1780">
        <v>5.34</v>
      </c>
      <c r="G698" s="1774">
        <v>3.35</v>
      </c>
      <c r="H698" s="1775">
        <f t="shared" ref="H698:H703" si="94">IF(E698="H",G698,TRUNC(G698*(1-$K$7),2))</f>
        <v>3.32</v>
      </c>
      <c r="I698" s="1776">
        <f t="shared" ref="I698:I703" si="95">TRUNC(H698*F698,2)</f>
        <v>17.72</v>
      </c>
      <c r="J698" s="1768"/>
    </row>
    <row r="699" spans="1:10" ht="60">
      <c r="A699" s="1770" t="s">
        <v>2407</v>
      </c>
      <c r="B699" s="1771" t="s">
        <v>7</v>
      </c>
      <c r="C699" s="1771">
        <v>87294</v>
      </c>
      <c r="D699" s="1772" t="s">
        <v>2583</v>
      </c>
      <c r="E699" s="1773" t="s">
        <v>1132</v>
      </c>
      <c r="F699" s="1780">
        <v>1.9E-3</v>
      </c>
      <c r="G699" s="1774">
        <v>553.63</v>
      </c>
      <c r="H699" s="1775">
        <f t="shared" si="94"/>
        <v>550.29999999999995</v>
      </c>
      <c r="I699" s="1776">
        <f t="shared" si="95"/>
        <v>1.04</v>
      </c>
      <c r="J699" s="1768"/>
    </row>
    <row r="700" spans="1:10">
      <c r="A700" s="1770" t="s">
        <v>2407</v>
      </c>
      <c r="B700" s="1771" t="s">
        <v>7</v>
      </c>
      <c r="C700" s="1771">
        <v>88309</v>
      </c>
      <c r="D700" s="1772" t="s">
        <v>103</v>
      </c>
      <c r="E700" s="1773" t="s">
        <v>387</v>
      </c>
      <c r="F700" s="1780">
        <v>0.26900000000000002</v>
      </c>
      <c r="G700" s="1774">
        <v>24.59</v>
      </c>
      <c r="H700" s="1775">
        <f t="shared" si="94"/>
        <v>24.59</v>
      </c>
      <c r="I700" s="1776">
        <f t="shared" si="95"/>
        <v>6.61</v>
      </c>
      <c r="J700" s="1768"/>
    </row>
    <row r="701" spans="1:10">
      <c r="A701" s="1770" t="s">
        <v>2407</v>
      </c>
      <c r="B701" s="1771" t="s">
        <v>7</v>
      </c>
      <c r="C701" s="1771">
        <v>88316</v>
      </c>
      <c r="D701" s="1772" t="s">
        <v>66</v>
      </c>
      <c r="E701" s="1773" t="s">
        <v>387</v>
      </c>
      <c r="F701" s="1780">
        <v>0.13400000000000001</v>
      </c>
      <c r="G701" s="1774">
        <v>19.45</v>
      </c>
      <c r="H701" s="1775">
        <f t="shared" si="94"/>
        <v>19.45</v>
      </c>
      <c r="I701" s="1776">
        <f t="shared" si="95"/>
        <v>2.6</v>
      </c>
      <c r="J701" s="1768"/>
    </row>
    <row r="702" spans="1:10" ht="48">
      <c r="A702" s="1770" t="s">
        <v>2407</v>
      </c>
      <c r="B702" s="1771" t="s">
        <v>7</v>
      </c>
      <c r="C702" s="1771">
        <v>90279</v>
      </c>
      <c r="D702" s="1772" t="s">
        <v>2584</v>
      </c>
      <c r="E702" s="1773" t="s">
        <v>1132</v>
      </c>
      <c r="F702" s="1780">
        <v>1.4E-2</v>
      </c>
      <c r="G702" s="1774">
        <v>642.92999999999995</v>
      </c>
      <c r="H702" s="1775">
        <f t="shared" si="94"/>
        <v>639.07000000000005</v>
      </c>
      <c r="I702" s="1776">
        <f t="shared" si="95"/>
        <v>8.94</v>
      </c>
      <c r="J702" s="1768"/>
    </row>
    <row r="703" spans="1:10" ht="24">
      <c r="A703" s="1770" t="s">
        <v>2407</v>
      </c>
      <c r="B703" s="1771" t="s">
        <v>7</v>
      </c>
      <c r="C703" s="1771">
        <v>92801</v>
      </c>
      <c r="D703" s="1772" t="s">
        <v>2566</v>
      </c>
      <c r="E703" s="1773" t="s">
        <v>1145</v>
      </c>
      <c r="F703" s="1780">
        <v>0.49</v>
      </c>
      <c r="G703" s="1774">
        <v>12.86</v>
      </c>
      <c r="H703" s="1775">
        <f t="shared" si="94"/>
        <v>12.78</v>
      </c>
      <c r="I703" s="1776">
        <f t="shared" si="95"/>
        <v>6.26</v>
      </c>
      <c r="J703" s="1768"/>
    </row>
    <row r="704" spans="1:10">
      <c r="A704" s="1917" t="s">
        <v>2408</v>
      </c>
      <c r="B704" s="1918"/>
      <c r="C704" s="1918"/>
      <c r="D704" s="1918"/>
      <c r="E704" s="1918"/>
      <c r="F704" s="1918"/>
      <c r="G704" s="1918"/>
      <c r="H704" s="1919"/>
      <c r="I704" s="1778">
        <f>SUM(I698:I703)</f>
        <v>43.169999999999995</v>
      </c>
      <c r="J704" s="1768"/>
    </row>
    <row r="705" spans="1:10">
      <c r="A705" s="1920"/>
      <c r="B705" s="1921"/>
      <c r="C705" s="1921"/>
      <c r="D705" s="1921"/>
      <c r="E705" s="1921"/>
      <c r="F705" s="1921"/>
      <c r="G705" s="1921"/>
      <c r="H705" s="1921"/>
      <c r="I705" s="1922"/>
      <c r="J705" s="1768"/>
    </row>
    <row r="706" spans="1:10" ht="22.5" customHeight="1">
      <c r="A706" s="1757">
        <f>'PLANILHA SEM DESON'!B103</f>
        <v>93199</v>
      </c>
      <c r="B706" s="1923" t="str">
        <f>VLOOKUP(A706,'PLANILHA SEM DESON'!$B$17:$D$1699,2,FALSE)</f>
        <v>CONTRAVERGA MOLDADA IN LOCO COM UTILIZAÇÃO DE BLOCOS CANALETA PARA VÃOS DE MAIS DE 1,5 M DE COMPRIMENTO. AF_03/2016</v>
      </c>
      <c r="C706" s="1924"/>
      <c r="D706" s="1924"/>
      <c r="E706" s="1924"/>
      <c r="F706" s="1924"/>
      <c r="G706" s="1924"/>
      <c r="H706" s="1925"/>
      <c r="I706" s="1758" t="str">
        <f>VLOOKUP(A706,'PLANILHA SEM DESON'!$B$17:$D$1699,3,FALSE)</f>
        <v>m</v>
      </c>
      <c r="J706" s="1759">
        <f>I714</f>
        <v>42.629999999999995</v>
      </c>
    </row>
    <row r="707" spans="1:10" ht="24">
      <c r="A707" s="1761" t="s">
        <v>2401</v>
      </c>
      <c r="B707" s="1762" t="s">
        <v>2402</v>
      </c>
      <c r="C707" s="1763" t="s">
        <v>2399</v>
      </c>
      <c r="D707" s="1764" t="s">
        <v>284</v>
      </c>
      <c r="E707" s="1763" t="s">
        <v>193</v>
      </c>
      <c r="F707" s="1765" t="s">
        <v>2403</v>
      </c>
      <c r="G707" s="1763" t="s">
        <v>2404</v>
      </c>
      <c r="H707" s="1766" t="s">
        <v>2405</v>
      </c>
      <c r="I707" s="1767" t="s">
        <v>2406</v>
      </c>
      <c r="J707" s="1768"/>
    </row>
    <row r="708" spans="1:10" ht="24">
      <c r="A708" s="1770" t="s">
        <v>2407</v>
      </c>
      <c r="B708" s="1771" t="s">
        <v>2410</v>
      </c>
      <c r="C708" s="1771">
        <v>660</v>
      </c>
      <c r="D708" s="1772" t="s">
        <v>2582</v>
      </c>
      <c r="E708" s="1773" t="s">
        <v>2432</v>
      </c>
      <c r="F708" s="1780">
        <v>5.34</v>
      </c>
      <c r="G708" s="1774">
        <v>3.35</v>
      </c>
      <c r="H708" s="1775">
        <f t="shared" ref="H708:H713" si="96">IF(E708="H",G708,TRUNC(G708*(1-$K$7),2))</f>
        <v>3.32</v>
      </c>
      <c r="I708" s="1776">
        <f t="shared" ref="I708:I713" si="97">TRUNC(H708*F708,2)</f>
        <v>17.72</v>
      </c>
      <c r="J708" s="1768"/>
    </row>
    <row r="709" spans="1:10" ht="60">
      <c r="A709" s="1770" t="s">
        <v>2407</v>
      </c>
      <c r="B709" s="1771" t="s">
        <v>7</v>
      </c>
      <c r="C709" s="1771">
        <v>87294</v>
      </c>
      <c r="D709" s="1772" t="s">
        <v>2583</v>
      </c>
      <c r="E709" s="1773" t="s">
        <v>1132</v>
      </c>
      <c r="F709" s="1780">
        <v>1.9E-3</v>
      </c>
      <c r="G709" s="1774">
        <v>553.63</v>
      </c>
      <c r="H709" s="1775">
        <f t="shared" si="96"/>
        <v>550.29999999999995</v>
      </c>
      <c r="I709" s="1776">
        <f t="shared" si="97"/>
        <v>1.04</v>
      </c>
      <c r="J709" s="1768"/>
    </row>
    <row r="710" spans="1:10">
      <c r="A710" s="1770" t="s">
        <v>2407</v>
      </c>
      <c r="B710" s="1771" t="s">
        <v>7</v>
      </c>
      <c r="C710" s="1771">
        <v>88309</v>
      </c>
      <c r="D710" s="1772" t="s">
        <v>103</v>
      </c>
      <c r="E710" s="1773" t="s">
        <v>387</v>
      </c>
      <c r="F710" s="1780">
        <v>0.253</v>
      </c>
      <c r="G710" s="1774">
        <v>24.59</v>
      </c>
      <c r="H710" s="1775">
        <f t="shared" si="96"/>
        <v>24.59</v>
      </c>
      <c r="I710" s="1776">
        <f t="shared" si="97"/>
        <v>6.22</v>
      </c>
      <c r="J710" s="1768"/>
    </row>
    <row r="711" spans="1:10">
      <c r="A711" s="1770" t="s">
        <v>2407</v>
      </c>
      <c r="B711" s="1771" t="s">
        <v>7</v>
      </c>
      <c r="C711" s="1771">
        <v>88316</v>
      </c>
      <c r="D711" s="1772" t="s">
        <v>66</v>
      </c>
      <c r="E711" s="1773" t="s">
        <v>387</v>
      </c>
      <c r="F711" s="1780">
        <v>0.126</v>
      </c>
      <c r="G711" s="1774">
        <v>19.45</v>
      </c>
      <c r="H711" s="1775">
        <f t="shared" si="96"/>
        <v>19.45</v>
      </c>
      <c r="I711" s="1776">
        <f t="shared" si="97"/>
        <v>2.4500000000000002</v>
      </c>
      <c r="J711" s="1768"/>
    </row>
    <row r="712" spans="1:10" ht="48">
      <c r="A712" s="1770" t="s">
        <v>2407</v>
      </c>
      <c r="B712" s="1771" t="s">
        <v>7</v>
      </c>
      <c r="C712" s="1771">
        <v>90279</v>
      </c>
      <c r="D712" s="1772" t="s">
        <v>2584</v>
      </c>
      <c r="E712" s="1773" t="s">
        <v>1132</v>
      </c>
      <c r="F712" s="1780">
        <v>1.4E-2</v>
      </c>
      <c r="G712" s="1774">
        <v>642.92999999999995</v>
      </c>
      <c r="H712" s="1775">
        <f t="shared" si="96"/>
        <v>639.07000000000005</v>
      </c>
      <c r="I712" s="1776">
        <f t="shared" si="97"/>
        <v>8.94</v>
      </c>
      <c r="J712" s="1768"/>
    </row>
    <row r="713" spans="1:10" ht="24">
      <c r="A713" s="1770" t="s">
        <v>2407</v>
      </c>
      <c r="B713" s="1771" t="s">
        <v>7</v>
      </c>
      <c r="C713" s="1771">
        <v>92801</v>
      </c>
      <c r="D713" s="1772" t="s">
        <v>2566</v>
      </c>
      <c r="E713" s="1773" t="s">
        <v>1145</v>
      </c>
      <c r="F713" s="1780">
        <v>0.49</v>
      </c>
      <c r="G713" s="1774">
        <v>12.86</v>
      </c>
      <c r="H713" s="1775">
        <f t="shared" si="96"/>
        <v>12.78</v>
      </c>
      <c r="I713" s="1776">
        <f t="shared" si="97"/>
        <v>6.26</v>
      </c>
      <c r="J713" s="1768"/>
    </row>
    <row r="714" spans="1:10">
      <c r="A714" s="1917" t="s">
        <v>2408</v>
      </c>
      <c r="B714" s="1918"/>
      <c r="C714" s="1918"/>
      <c r="D714" s="1918"/>
      <c r="E714" s="1918"/>
      <c r="F714" s="1918"/>
      <c r="G714" s="1918"/>
      <c r="H714" s="1919"/>
      <c r="I714" s="1778">
        <f>SUM(I708:I713)</f>
        <v>42.629999999999995</v>
      </c>
      <c r="J714" s="1768"/>
    </row>
    <row r="715" spans="1:10">
      <c r="A715" s="1920"/>
      <c r="B715" s="1921"/>
      <c r="C715" s="1921"/>
      <c r="D715" s="1921"/>
      <c r="E715" s="1921"/>
      <c r="F715" s="1921"/>
      <c r="G715" s="1921"/>
      <c r="H715" s="1921"/>
      <c r="I715" s="1922"/>
      <c r="J715" s="1768"/>
    </row>
    <row r="716" spans="1:10">
      <c r="A716" s="1757" t="str">
        <f>'PLANILHA SEM DESON'!B106</f>
        <v>COMP 13</v>
      </c>
      <c r="B716" s="1923" t="str">
        <f>VLOOKUP(A716,'PLANILHA SEM DESON'!$B$17:$D$1699,2,FALSE)</f>
        <v>APILOAMENTO DE SOLO, PARA RECEBIMENTO DE LASTRO, COM MAÇO DE 30KG</v>
      </c>
      <c r="C716" s="1924"/>
      <c r="D716" s="1924"/>
      <c r="E716" s="1924"/>
      <c r="F716" s="1924"/>
      <c r="G716" s="1924"/>
      <c r="H716" s="1925"/>
      <c r="I716" s="1758" t="str">
        <f>VLOOKUP(A716,'PLANILHA SEM DESON'!$B$17:$D$1699,3,FALSE)</f>
        <v>m²</v>
      </c>
      <c r="J716" s="1759">
        <f>I719</f>
        <v>14.58</v>
      </c>
    </row>
    <row r="717" spans="1:10" ht="24">
      <c r="A717" s="1761" t="s">
        <v>2401</v>
      </c>
      <c r="B717" s="1762" t="s">
        <v>2402</v>
      </c>
      <c r="C717" s="1763" t="s">
        <v>2399</v>
      </c>
      <c r="D717" s="1764" t="s">
        <v>284</v>
      </c>
      <c r="E717" s="1763" t="s">
        <v>193</v>
      </c>
      <c r="F717" s="1765" t="s">
        <v>2403</v>
      </c>
      <c r="G717" s="1763" t="s">
        <v>2404</v>
      </c>
      <c r="H717" s="1766" t="s">
        <v>2405</v>
      </c>
      <c r="I717" s="1767" t="s">
        <v>2406</v>
      </c>
      <c r="J717" s="1768"/>
    </row>
    <row r="718" spans="1:10">
      <c r="A718" s="1770"/>
      <c r="B718" s="1771"/>
      <c r="C718" s="1771">
        <v>88316</v>
      </c>
      <c r="D718" s="1772" t="s">
        <v>66</v>
      </c>
      <c r="E718" s="1773" t="s">
        <v>57</v>
      </c>
      <c r="F718" s="1779">
        <v>0.75</v>
      </c>
      <c r="G718" s="1781">
        <v>19.45</v>
      </c>
      <c r="H718" s="1775">
        <f>IF(E718="H",G718,TRUNC(G718*(1-$K$7),2))</f>
        <v>19.45</v>
      </c>
      <c r="I718" s="1776">
        <f t="shared" ref="I718" si="98">TRUNC(H718*F718,2)</f>
        <v>14.58</v>
      </c>
      <c r="J718" s="1768"/>
    </row>
    <row r="719" spans="1:10">
      <c r="A719" s="1917" t="s">
        <v>2408</v>
      </c>
      <c r="B719" s="1918"/>
      <c r="C719" s="1918"/>
      <c r="D719" s="1918"/>
      <c r="E719" s="1918"/>
      <c r="F719" s="1918"/>
      <c r="G719" s="1918"/>
      <c r="H719" s="1919"/>
      <c r="I719" s="1778">
        <f>SUM(I718:I718)</f>
        <v>14.58</v>
      </c>
      <c r="J719" s="1768"/>
    </row>
    <row r="720" spans="1:10">
      <c r="A720" s="1920"/>
      <c r="B720" s="1921"/>
      <c r="C720" s="1921"/>
      <c r="D720" s="1921"/>
      <c r="E720" s="1921"/>
      <c r="F720" s="1921"/>
      <c r="G720" s="1921"/>
      <c r="H720" s="1921"/>
      <c r="I720" s="1922"/>
      <c r="J720" s="1768"/>
    </row>
    <row r="721" spans="1:10">
      <c r="A721" s="1757">
        <f>'PLANILHA SEM DESON'!B107</f>
        <v>95241</v>
      </c>
      <c r="B721" s="1923" t="str">
        <f>VLOOKUP(A721,'PLANILHA SEM DESON'!$B$17:$D$1699,2,FALSE)</f>
        <v>LASTRO DE CONCRETO MAGRO, APLICADO EM PISOS, LAJES SOBRE SOLO OU RADIERS, ESPESSURA DE 5 CM. AF_07/2016</v>
      </c>
      <c r="C721" s="1924"/>
      <c r="D721" s="1924"/>
      <c r="E721" s="1924"/>
      <c r="F721" s="1924"/>
      <c r="G721" s="1924"/>
      <c r="H721" s="1925"/>
      <c r="I721" s="1758" t="str">
        <f>VLOOKUP(A721,'PLANILHA SEM DESON'!$B$17:$D$1699,3,FALSE)</f>
        <v>m²</v>
      </c>
      <c r="J721" s="1759">
        <f>I726</f>
        <v>32.67</v>
      </c>
    </row>
    <row r="722" spans="1:10" ht="24">
      <c r="A722" s="1761" t="s">
        <v>2401</v>
      </c>
      <c r="B722" s="1762" t="s">
        <v>2402</v>
      </c>
      <c r="C722" s="1763" t="s">
        <v>2399</v>
      </c>
      <c r="D722" s="1764" t="s">
        <v>284</v>
      </c>
      <c r="E722" s="1763" t="s">
        <v>193</v>
      </c>
      <c r="F722" s="1765" t="s">
        <v>2403</v>
      </c>
      <c r="G722" s="1763" t="s">
        <v>2404</v>
      </c>
      <c r="H722" s="1766" t="s">
        <v>2405</v>
      </c>
      <c r="I722" s="1767" t="s">
        <v>2406</v>
      </c>
      <c r="J722" s="1768"/>
    </row>
    <row r="723" spans="1:10">
      <c r="A723" s="1770" t="s">
        <v>2407</v>
      </c>
      <c r="B723" s="1771" t="s">
        <v>7</v>
      </c>
      <c r="C723" s="1771">
        <v>88309</v>
      </c>
      <c r="D723" s="1772" t="s">
        <v>103</v>
      </c>
      <c r="E723" s="1773" t="s">
        <v>387</v>
      </c>
      <c r="F723" s="1780">
        <v>0.27179999999999999</v>
      </c>
      <c r="G723" s="1774">
        <v>24.59</v>
      </c>
      <c r="H723" s="1775">
        <f>IF(E723="H",G723,TRUNC(G723*(1-$K$7),2))</f>
        <v>24.59</v>
      </c>
      <c r="I723" s="1776">
        <f t="shared" ref="I723:I725" si="99">TRUNC(H723*F723,2)</f>
        <v>6.68</v>
      </c>
      <c r="J723" s="1768"/>
    </row>
    <row r="724" spans="1:10">
      <c r="A724" s="1770" t="s">
        <v>2407</v>
      </c>
      <c r="B724" s="1771" t="s">
        <v>7</v>
      </c>
      <c r="C724" s="1771">
        <v>88316</v>
      </c>
      <c r="D724" s="1772" t="s">
        <v>66</v>
      </c>
      <c r="E724" s="1773" t="s">
        <v>387</v>
      </c>
      <c r="F724" s="1780">
        <v>7.4099999999999999E-2</v>
      </c>
      <c r="G724" s="1774">
        <v>19.45</v>
      </c>
      <c r="H724" s="1775">
        <f>IF(E724="H",G724,TRUNC(G724*(1-$K$7),2))</f>
        <v>19.45</v>
      </c>
      <c r="I724" s="1776">
        <f t="shared" si="99"/>
        <v>1.44</v>
      </c>
      <c r="J724" s="1768"/>
    </row>
    <row r="725" spans="1:10" ht="48">
      <c r="A725" s="1770" t="s">
        <v>2407</v>
      </c>
      <c r="B725" s="1771" t="s">
        <v>7</v>
      </c>
      <c r="C725" s="1771">
        <v>94968</v>
      </c>
      <c r="D725" s="1772" t="s">
        <v>2587</v>
      </c>
      <c r="E725" s="1773" t="s">
        <v>1132</v>
      </c>
      <c r="F725" s="1780">
        <v>5.6500000000000002E-2</v>
      </c>
      <c r="G725" s="1774">
        <v>437.18</v>
      </c>
      <c r="H725" s="1775">
        <f>IF(E725="H",G725,TRUNC(G725*(1-$K$7),2))</f>
        <v>434.55</v>
      </c>
      <c r="I725" s="1776">
        <f t="shared" si="99"/>
        <v>24.55</v>
      </c>
      <c r="J725" s="1768"/>
    </row>
    <row r="726" spans="1:10">
      <c r="A726" s="1917" t="s">
        <v>2408</v>
      </c>
      <c r="B726" s="1918"/>
      <c r="C726" s="1918"/>
      <c r="D726" s="1918"/>
      <c r="E726" s="1918"/>
      <c r="F726" s="1918"/>
      <c r="G726" s="1918"/>
      <c r="H726" s="1919"/>
      <c r="I726" s="1778">
        <f>SUM(I723:I725)</f>
        <v>32.67</v>
      </c>
      <c r="J726" s="1768"/>
    </row>
    <row r="727" spans="1:10">
      <c r="A727" s="1920"/>
      <c r="B727" s="1921"/>
      <c r="C727" s="1921"/>
      <c r="D727" s="1921"/>
      <c r="E727" s="1921"/>
      <c r="F727" s="1921"/>
      <c r="G727" s="1921"/>
      <c r="H727" s="1921"/>
      <c r="I727" s="1922"/>
      <c r="J727" s="1768"/>
    </row>
    <row r="728" spans="1:10" ht="34.5" customHeight="1">
      <c r="A728" s="1757">
        <f>'PLANILHA SEM DESON'!B108</f>
        <v>94438</v>
      </c>
      <c r="B728" s="1923" t="str">
        <f>VLOOKUP(A728,'PLANILHA SEM DESON'!$B$17:$D$1699,2,FALSE)</f>
        <v>(COMPOSIÇÃO REPRESENTATIVA) DO SERVIÇO DE CONTRAPISO EM ARGAMASSA TRAÇO 1:4 (CIM E AREIA), EM BETONEIRA 400 L, ESPESSURA 3 CM ÁREAS SECAS E 3 CM ÁREAS MOLHADAS, PARA EDIFICAÇÃO HABITACIONAL UNIFAMILIAR (CASA) E EDIFICAÇÃO PÚBLICA PADRÃO. AF_11/2014</v>
      </c>
      <c r="C728" s="1924"/>
      <c r="D728" s="1924"/>
      <c r="E728" s="1924"/>
      <c r="F728" s="1924"/>
      <c r="G728" s="1924"/>
      <c r="H728" s="1925"/>
      <c r="I728" s="1758" t="str">
        <f>VLOOKUP(A728,'PLANILHA SEM DESON'!$B$17:$D$1699,3,FALSE)</f>
        <v>m²</v>
      </c>
      <c r="J728" s="1759">
        <f>I733</f>
        <v>46.36</v>
      </c>
    </row>
    <row r="729" spans="1:10" ht="24">
      <c r="A729" s="1761" t="s">
        <v>2401</v>
      </c>
      <c r="B729" s="1762" t="s">
        <v>2402</v>
      </c>
      <c r="C729" s="1763" t="s">
        <v>2399</v>
      </c>
      <c r="D729" s="1764" t="s">
        <v>284</v>
      </c>
      <c r="E729" s="1763" t="s">
        <v>193</v>
      </c>
      <c r="F729" s="1765" t="s">
        <v>2403</v>
      </c>
      <c r="G729" s="1763" t="s">
        <v>2404</v>
      </c>
      <c r="H729" s="1766" t="s">
        <v>2405</v>
      </c>
      <c r="I729" s="1767" t="s">
        <v>2406</v>
      </c>
      <c r="J729" s="1768"/>
    </row>
    <row r="730" spans="1:10" ht="60">
      <c r="A730" s="1770" t="s">
        <v>2407</v>
      </c>
      <c r="B730" s="1771" t="s">
        <v>7</v>
      </c>
      <c r="C730" s="1771">
        <v>87630</v>
      </c>
      <c r="D730" s="1772" t="s">
        <v>2588</v>
      </c>
      <c r="E730" s="1773" t="s">
        <v>1137</v>
      </c>
      <c r="F730" s="1780">
        <v>0.6381</v>
      </c>
      <c r="G730" s="1774">
        <v>43.33</v>
      </c>
      <c r="H730" s="1775">
        <f>IF(E730="H",G730,TRUNC(G730*(1-$K$7),2))</f>
        <v>43.07</v>
      </c>
      <c r="I730" s="1776">
        <f t="shared" ref="I730:I732" si="100">TRUNC(H730*F730,2)</f>
        <v>27.48</v>
      </c>
      <c r="J730" s="1768"/>
    </row>
    <row r="731" spans="1:10" ht="60">
      <c r="A731" s="1770" t="s">
        <v>2407</v>
      </c>
      <c r="B731" s="1771" t="s">
        <v>7</v>
      </c>
      <c r="C731" s="1771">
        <v>87745</v>
      </c>
      <c r="D731" s="1772" t="s">
        <v>2589</v>
      </c>
      <c r="E731" s="1773" t="s">
        <v>1137</v>
      </c>
      <c r="F731" s="1780">
        <v>0.1996</v>
      </c>
      <c r="G731" s="1774">
        <v>54.15</v>
      </c>
      <c r="H731" s="1775">
        <f>IF(E731="H",G731,TRUNC(G731*(1-$K$7),2))</f>
        <v>53.82</v>
      </c>
      <c r="I731" s="1776">
        <f t="shared" si="100"/>
        <v>10.74</v>
      </c>
      <c r="J731" s="1768"/>
    </row>
    <row r="732" spans="1:10" ht="60">
      <c r="A732" s="1770" t="s">
        <v>2407</v>
      </c>
      <c r="B732" s="1771" t="s">
        <v>7</v>
      </c>
      <c r="C732" s="1771">
        <v>87755</v>
      </c>
      <c r="D732" s="1772" t="s">
        <v>2590</v>
      </c>
      <c r="E732" s="1773" t="s">
        <v>1137</v>
      </c>
      <c r="F732" s="1780">
        <v>0.1623</v>
      </c>
      <c r="G732" s="1774">
        <v>50.5</v>
      </c>
      <c r="H732" s="1775">
        <f>IF(E732="H",G732,TRUNC(G732*(1-$K$7),2))</f>
        <v>50.19</v>
      </c>
      <c r="I732" s="1776">
        <f t="shared" si="100"/>
        <v>8.14</v>
      </c>
      <c r="J732" s="1768"/>
    </row>
    <row r="733" spans="1:10">
      <c r="A733" s="1917" t="s">
        <v>2408</v>
      </c>
      <c r="B733" s="1918"/>
      <c r="C733" s="1918"/>
      <c r="D733" s="1918"/>
      <c r="E733" s="1918"/>
      <c r="F733" s="1918"/>
      <c r="G733" s="1918"/>
      <c r="H733" s="1919"/>
      <c r="I733" s="1778">
        <f>SUM(I730:I732)</f>
        <v>46.36</v>
      </c>
      <c r="J733" s="1768"/>
    </row>
    <row r="734" spans="1:10">
      <c r="A734" s="1920"/>
      <c r="B734" s="1921"/>
      <c r="C734" s="1921"/>
      <c r="D734" s="1921"/>
      <c r="E734" s="1921"/>
      <c r="F734" s="1921"/>
      <c r="G734" s="1921"/>
      <c r="H734" s="1921"/>
      <c r="I734" s="1922"/>
      <c r="J734" s="1768"/>
    </row>
    <row r="735" spans="1:10" ht="30.75" customHeight="1">
      <c r="A735" s="1757">
        <f>'PLANILHA SEM DESON'!B109</f>
        <v>87261</v>
      </c>
      <c r="B735" s="1923" t="str">
        <f>VLOOKUP(A735,'PLANILHA SEM DESON'!$B$17:$D$1699,2,FALSE)</f>
        <v>REVESTIMENTO CERÂMICO PARA PISO COM PLACAS TIPO PORCELANATO DE DIMENSÕES 60X60 CM APLICADA EM AMBIENTES DE ÁREA MENOR QUE 5 M². AF_06/2014</v>
      </c>
      <c r="C735" s="1924"/>
      <c r="D735" s="1924"/>
      <c r="E735" s="1924"/>
      <c r="F735" s="1924"/>
      <c r="G735" s="1924"/>
      <c r="H735" s="1925"/>
      <c r="I735" s="1758" t="str">
        <f>VLOOKUP(A735,'PLANILHA SEM DESON'!$B$17:$D$1699,3,FALSE)</f>
        <v>m²</v>
      </c>
      <c r="J735" s="1759">
        <f>I742</f>
        <v>183.10999999999999</v>
      </c>
    </row>
    <row r="736" spans="1:10" ht="24">
      <c r="A736" s="1761" t="s">
        <v>2401</v>
      </c>
      <c r="B736" s="1762" t="s">
        <v>2402</v>
      </c>
      <c r="C736" s="1763" t="s">
        <v>2399</v>
      </c>
      <c r="D736" s="1764" t="s">
        <v>284</v>
      </c>
      <c r="E736" s="1763" t="s">
        <v>193</v>
      </c>
      <c r="F736" s="1765" t="s">
        <v>2403</v>
      </c>
      <c r="G736" s="1763" t="s">
        <v>2404</v>
      </c>
      <c r="H736" s="1766" t="s">
        <v>2405</v>
      </c>
      <c r="I736" s="1767" t="s">
        <v>2406</v>
      </c>
      <c r="J736" s="1768"/>
    </row>
    <row r="737" spans="1:10">
      <c r="A737" s="1770" t="s">
        <v>2407</v>
      </c>
      <c r="B737" s="1771" t="s">
        <v>2410</v>
      </c>
      <c r="C737" s="1771">
        <v>34357</v>
      </c>
      <c r="D737" s="1772" t="s">
        <v>1430</v>
      </c>
      <c r="E737" s="1773" t="s">
        <v>1145</v>
      </c>
      <c r="F737" s="1780">
        <v>0.14000000000000001</v>
      </c>
      <c r="G737" s="1774">
        <v>5.87</v>
      </c>
      <c r="H737" s="1775">
        <f>IF(E737="H",G737,TRUNC(G737*(1-$K$7),2))</f>
        <v>5.83</v>
      </c>
      <c r="I737" s="1776">
        <f t="shared" ref="I737:I741" si="101">TRUNC(H737*F737,2)</f>
        <v>0.81</v>
      </c>
      <c r="J737" s="1768"/>
    </row>
    <row r="738" spans="1:10">
      <c r="A738" s="1770" t="s">
        <v>2407</v>
      </c>
      <c r="B738" s="1771" t="s">
        <v>2410</v>
      </c>
      <c r="C738" s="1771">
        <v>37595</v>
      </c>
      <c r="D738" s="1772" t="s">
        <v>536</v>
      </c>
      <c r="E738" s="1773" t="s">
        <v>1145</v>
      </c>
      <c r="F738" s="1780">
        <v>8.6199999999999992</v>
      </c>
      <c r="G738" s="1774">
        <v>3.07</v>
      </c>
      <c r="H738" s="1775">
        <f>IF(E738="H",G738,TRUNC(G738*(1-$K$7),2))</f>
        <v>3.05</v>
      </c>
      <c r="I738" s="1776">
        <f t="shared" si="101"/>
        <v>26.29</v>
      </c>
      <c r="J738" s="1768"/>
    </row>
    <row r="739" spans="1:10" ht="24">
      <c r="A739" s="1770" t="s">
        <v>2407</v>
      </c>
      <c r="B739" s="1771" t="s">
        <v>2410</v>
      </c>
      <c r="C739" s="1771">
        <v>38195</v>
      </c>
      <c r="D739" s="1772" t="s">
        <v>2591</v>
      </c>
      <c r="E739" s="1773" t="s">
        <v>1137</v>
      </c>
      <c r="F739" s="1780">
        <v>1.1200000000000001</v>
      </c>
      <c r="G739" s="1774">
        <v>110.38</v>
      </c>
      <c r="H739" s="1775">
        <f>IF(E739="H",G739,TRUNC(G739*(1-$K$7),2))</f>
        <v>109.71</v>
      </c>
      <c r="I739" s="1776">
        <f t="shared" si="101"/>
        <v>122.87</v>
      </c>
      <c r="J739" s="1768"/>
    </row>
    <row r="740" spans="1:10" ht="24">
      <c r="A740" s="1770" t="s">
        <v>2407</v>
      </c>
      <c r="B740" s="1771" t="s">
        <v>7</v>
      </c>
      <c r="C740" s="1771">
        <v>88256</v>
      </c>
      <c r="D740" s="1772" t="s">
        <v>1429</v>
      </c>
      <c r="E740" s="1773" t="s">
        <v>387</v>
      </c>
      <c r="F740" s="1780">
        <v>1.06</v>
      </c>
      <c r="G740" s="1774">
        <v>24.49</v>
      </c>
      <c r="H740" s="1775">
        <f>IF(E740="H",G740,TRUNC(G740*(1-$K$7),2))</f>
        <v>24.49</v>
      </c>
      <c r="I740" s="1776">
        <f t="shared" si="101"/>
        <v>25.95</v>
      </c>
      <c r="J740" s="1768"/>
    </row>
    <row r="741" spans="1:10">
      <c r="A741" s="1770" t="s">
        <v>2407</v>
      </c>
      <c r="B741" s="1771" t="s">
        <v>7</v>
      </c>
      <c r="C741" s="1771">
        <v>88316</v>
      </c>
      <c r="D741" s="1772" t="s">
        <v>66</v>
      </c>
      <c r="E741" s="1773" t="s">
        <v>387</v>
      </c>
      <c r="F741" s="1780">
        <v>0.37</v>
      </c>
      <c r="G741" s="1774">
        <v>19.45</v>
      </c>
      <c r="H741" s="1775">
        <f>IF(E741="H",G741,TRUNC(G741*(1-$K$7),2))</f>
        <v>19.45</v>
      </c>
      <c r="I741" s="1776">
        <f t="shared" si="101"/>
        <v>7.19</v>
      </c>
      <c r="J741" s="1768"/>
    </row>
    <row r="742" spans="1:10">
      <c r="A742" s="1917" t="s">
        <v>2408</v>
      </c>
      <c r="B742" s="1918"/>
      <c r="C742" s="1918"/>
      <c r="D742" s="1918"/>
      <c r="E742" s="1918"/>
      <c r="F742" s="1918"/>
      <c r="G742" s="1918"/>
      <c r="H742" s="1919"/>
      <c r="I742" s="1778">
        <f>SUM(I737:I741)</f>
        <v>183.10999999999999</v>
      </c>
      <c r="J742" s="1768"/>
    </row>
    <row r="743" spans="1:10">
      <c r="A743" s="1920"/>
      <c r="B743" s="1921"/>
      <c r="C743" s="1921"/>
      <c r="D743" s="1921"/>
      <c r="E743" s="1921"/>
      <c r="F743" s="1921"/>
      <c r="G743" s="1921"/>
      <c r="H743" s="1921"/>
      <c r="I743" s="1922"/>
      <c r="J743" s="1768"/>
    </row>
    <row r="744" spans="1:10" ht="27.75" customHeight="1">
      <c r="A744" s="1757">
        <f>'PLANILHA SEM DESON'!B110</f>
        <v>87262</v>
      </c>
      <c r="B744" s="1923" t="str">
        <f>VLOOKUP(A744,'PLANILHA SEM DESON'!$B$17:$D$1699,2,FALSE)</f>
        <v>REVESTIMENTO CERÂMICO PARA PISO COM PLACAS TIPO PORCELANATO DE DIMENSÕES 60X60 CM APLICADA EM AMBIENTES DE ÁREA ENTRE 5 M²  E 10 M². AF_06/2014</v>
      </c>
      <c r="C744" s="1924"/>
      <c r="D744" s="1924"/>
      <c r="E744" s="1924"/>
      <c r="F744" s="1924"/>
      <c r="G744" s="1924"/>
      <c r="H744" s="1925"/>
      <c r="I744" s="1758" t="str">
        <f>VLOOKUP(A744,'PLANILHA SEM DESON'!$B$17:$D$1699,3,FALSE)</f>
        <v>m²</v>
      </c>
      <c r="J744" s="1759">
        <f>I751</f>
        <v>167.97000000000003</v>
      </c>
    </row>
    <row r="745" spans="1:10" ht="24">
      <c r="A745" s="1761" t="s">
        <v>2401</v>
      </c>
      <c r="B745" s="1762" t="s">
        <v>2402</v>
      </c>
      <c r="C745" s="1763" t="s">
        <v>2399</v>
      </c>
      <c r="D745" s="1764" t="s">
        <v>284</v>
      </c>
      <c r="E745" s="1763" t="s">
        <v>193</v>
      </c>
      <c r="F745" s="1765" t="s">
        <v>2403</v>
      </c>
      <c r="G745" s="1763" t="s">
        <v>2404</v>
      </c>
      <c r="H745" s="1766" t="s">
        <v>2405</v>
      </c>
      <c r="I745" s="1767" t="s">
        <v>2406</v>
      </c>
      <c r="J745" s="1768"/>
    </row>
    <row r="746" spans="1:10">
      <c r="A746" s="1770" t="s">
        <v>2407</v>
      </c>
      <c r="B746" s="1771" t="s">
        <v>2410</v>
      </c>
      <c r="C746" s="1771">
        <v>34357</v>
      </c>
      <c r="D746" s="1772" t="s">
        <v>1430</v>
      </c>
      <c r="E746" s="1773" t="s">
        <v>1145</v>
      </c>
      <c r="F746" s="1780">
        <v>0.14000000000000001</v>
      </c>
      <c r="G746" s="1774">
        <v>5.87</v>
      </c>
      <c r="H746" s="1775">
        <f>IF(E746="H",G746,TRUNC(G746*(1-$K$7),2))</f>
        <v>5.83</v>
      </c>
      <c r="I746" s="1776">
        <f t="shared" ref="I746:I750" si="102">TRUNC(H746*F746,2)</f>
        <v>0.81</v>
      </c>
      <c r="J746" s="1768"/>
    </row>
    <row r="747" spans="1:10">
      <c r="A747" s="1770" t="s">
        <v>2407</v>
      </c>
      <c r="B747" s="1771" t="s">
        <v>2410</v>
      </c>
      <c r="C747" s="1771">
        <v>37595</v>
      </c>
      <c r="D747" s="1772" t="s">
        <v>536</v>
      </c>
      <c r="E747" s="1773" t="s">
        <v>1145</v>
      </c>
      <c r="F747" s="1780">
        <v>8.6199999999999992</v>
      </c>
      <c r="G747" s="1774">
        <v>3.07</v>
      </c>
      <c r="H747" s="1775">
        <f>IF(E747="H",G747,TRUNC(G747*(1-$K$7),2))</f>
        <v>3.05</v>
      </c>
      <c r="I747" s="1776">
        <f t="shared" si="102"/>
        <v>26.29</v>
      </c>
      <c r="J747" s="1768"/>
    </row>
    <row r="748" spans="1:10" ht="24">
      <c r="A748" s="1770" t="s">
        <v>2407</v>
      </c>
      <c r="B748" s="1771" t="s">
        <v>2410</v>
      </c>
      <c r="C748" s="1771">
        <v>38195</v>
      </c>
      <c r="D748" s="1772" t="s">
        <v>2591</v>
      </c>
      <c r="E748" s="1773" t="s">
        <v>1137</v>
      </c>
      <c r="F748" s="1780">
        <v>1.08</v>
      </c>
      <c r="G748" s="1774">
        <v>110.38</v>
      </c>
      <c r="H748" s="1775">
        <f>IF(E748="H",G748,TRUNC(G748*(1-$K$7),2))</f>
        <v>109.71</v>
      </c>
      <c r="I748" s="1776">
        <f t="shared" si="102"/>
        <v>118.48</v>
      </c>
      <c r="J748" s="1768"/>
    </row>
    <row r="749" spans="1:10" ht="24">
      <c r="A749" s="1770" t="s">
        <v>2407</v>
      </c>
      <c r="B749" s="1771" t="s">
        <v>7</v>
      </c>
      <c r="C749" s="1771">
        <v>88256</v>
      </c>
      <c r="D749" s="1772" t="s">
        <v>1429</v>
      </c>
      <c r="E749" s="1773" t="s">
        <v>387</v>
      </c>
      <c r="F749" s="1780">
        <v>0.7</v>
      </c>
      <c r="G749" s="1774">
        <v>24.49</v>
      </c>
      <c r="H749" s="1775">
        <f>IF(E749="H",G749,TRUNC(G749*(1-$K$7),2))</f>
        <v>24.49</v>
      </c>
      <c r="I749" s="1776">
        <f t="shared" si="102"/>
        <v>17.14</v>
      </c>
      <c r="J749" s="1768"/>
    </row>
    <row r="750" spans="1:10">
      <c r="A750" s="1770" t="s">
        <v>2407</v>
      </c>
      <c r="B750" s="1771" t="s">
        <v>7</v>
      </c>
      <c r="C750" s="1771">
        <v>88316</v>
      </c>
      <c r="D750" s="1772" t="s">
        <v>66</v>
      </c>
      <c r="E750" s="1773" t="s">
        <v>387</v>
      </c>
      <c r="F750" s="1780">
        <v>0.27</v>
      </c>
      <c r="G750" s="1774">
        <v>19.45</v>
      </c>
      <c r="H750" s="1775">
        <f>IF(E750="H",G750,TRUNC(G750*(1-$K$7),2))</f>
        <v>19.45</v>
      </c>
      <c r="I750" s="1776">
        <f t="shared" si="102"/>
        <v>5.25</v>
      </c>
      <c r="J750" s="1768"/>
    </row>
    <row r="751" spans="1:10">
      <c r="A751" s="1917" t="s">
        <v>2408</v>
      </c>
      <c r="B751" s="1918"/>
      <c r="C751" s="1918"/>
      <c r="D751" s="1918"/>
      <c r="E751" s="1918"/>
      <c r="F751" s="1918"/>
      <c r="G751" s="1918"/>
      <c r="H751" s="1919"/>
      <c r="I751" s="1778">
        <f>SUM(I746:I750)</f>
        <v>167.97000000000003</v>
      </c>
      <c r="J751" s="1768"/>
    </row>
    <row r="752" spans="1:10">
      <c r="A752" s="1920"/>
      <c r="B752" s="1921"/>
      <c r="C752" s="1921"/>
      <c r="D752" s="1921"/>
      <c r="E752" s="1921"/>
      <c r="F752" s="1921"/>
      <c r="G752" s="1921"/>
      <c r="H752" s="1921"/>
      <c r="I752" s="1922"/>
      <c r="J752" s="1768"/>
    </row>
    <row r="753" spans="1:10" ht="25.5" customHeight="1">
      <c r="A753" s="1757">
        <f>'PLANILHA SEM DESON'!B111</f>
        <v>87263</v>
      </c>
      <c r="B753" s="1923" t="str">
        <f>VLOOKUP(A753,'PLANILHA SEM DESON'!$B$17:$D$1699,2,FALSE)</f>
        <v>REVESTIMENTO CERÂMICO PARA PISO COM PLACAS TIPO PORCELANATO DE DIMENSÕES 60X60 CM APLICADA EM AMBIENTES DE ÁREA MAIOR QUE 10 M². AF_06/2014</v>
      </c>
      <c r="C753" s="1924"/>
      <c r="D753" s="1924"/>
      <c r="E753" s="1924"/>
      <c r="F753" s="1924"/>
      <c r="G753" s="1924"/>
      <c r="H753" s="1925"/>
      <c r="I753" s="1758" t="str">
        <f>VLOOKUP(A753,'PLANILHA SEM DESON'!$B$17:$D$1699,3,FALSE)</f>
        <v>m²</v>
      </c>
      <c r="J753" s="1759">
        <f>I760</f>
        <v>159.13999999999999</v>
      </c>
    </row>
    <row r="754" spans="1:10" ht="24">
      <c r="A754" s="1761" t="s">
        <v>2401</v>
      </c>
      <c r="B754" s="1762" t="s">
        <v>2402</v>
      </c>
      <c r="C754" s="1763" t="s">
        <v>2399</v>
      </c>
      <c r="D754" s="1764" t="s">
        <v>284</v>
      </c>
      <c r="E754" s="1763" t="s">
        <v>193</v>
      </c>
      <c r="F754" s="1765" t="s">
        <v>2403</v>
      </c>
      <c r="G754" s="1763" t="s">
        <v>2404</v>
      </c>
      <c r="H754" s="1766" t="s">
        <v>2405</v>
      </c>
      <c r="I754" s="1767" t="s">
        <v>2406</v>
      </c>
      <c r="J754" s="1768"/>
    </row>
    <row r="755" spans="1:10">
      <c r="A755" s="1770" t="s">
        <v>2407</v>
      </c>
      <c r="B755" s="1771" t="s">
        <v>2410</v>
      </c>
      <c r="C755" s="1771">
        <v>34357</v>
      </c>
      <c r="D755" s="1772" t="s">
        <v>1430</v>
      </c>
      <c r="E755" s="1773" t="s">
        <v>1145</v>
      </c>
      <c r="F755" s="1780">
        <v>0.14000000000000001</v>
      </c>
      <c r="G755" s="1774">
        <v>5.87</v>
      </c>
      <c r="H755" s="1775">
        <f>IF(E755="H",G755,TRUNC(G755*(1-$K$7),2))</f>
        <v>5.83</v>
      </c>
      <c r="I755" s="1776">
        <f t="shared" ref="I755:I759" si="103">TRUNC(H755*F755,2)</f>
        <v>0.81</v>
      </c>
      <c r="J755" s="1768"/>
    </row>
    <row r="756" spans="1:10">
      <c r="A756" s="1770" t="s">
        <v>2407</v>
      </c>
      <c r="B756" s="1771" t="s">
        <v>2410</v>
      </c>
      <c r="C756" s="1771">
        <v>37595</v>
      </c>
      <c r="D756" s="1772" t="s">
        <v>536</v>
      </c>
      <c r="E756" s="1773" t="s">
        <v>1145</v>
      </c>
      <c r="F756" s="1780">
        <v>8.6199999999999992</v>
      </c>
      <c r="G756" s="1774">
        <v>3.07</v>
      </c>
      <c r="H756" s="1775">
        <f>IF(E756="H",G756,TRUNC(G756*(1-$K$7),2))</f>
        <v>3.05</v>
      </c>
      <c r="I756" s="1776">
        <f t="shared" si="103"/>
        <v>26.29</v>
      </c>
      <c r="J756" s="1768"/>
    </row>
    <row r="757" spans="1:10" ht="24">
      <c r="A757" s="1770" t="s">
        <v>2407</v>
      </c>
      <c r="B757" s="1771" t="s">
        <v>2410</v>
      </c>
      <c r="C757" s="1771">
        <v>38195</v>
      </c>
      <c r="D757" s="1772" t="s">
        <v>2591</v>
      </c>
      <c r="E757" s="1773" t="s">
        <v>1137</v>
      </c>
      <c r="F757" s="1780">
        <v>1.07</v>
      </c>
      <c r="G757" s="1774">
        <v>110.38</v>
      </c>
      <c r="H757" s="1775">
        <f>IF(E757="H",G757,TRUNC(G757*(1-$K$7),2))</f>
        <v>109.71</v>
      </c>
      <c r="I757" s="1776">
        <f t="shared" si="103"/>
        <v>117.38</v>
      </c>
      <c r="J757" s="1768"/>
    </row>
    <row r="758" spans="1:10" ht="24">
      <c r="A758" s="1770" t="s">
        <v>2407</v>
      </c>
      <c r="B758" s="1771" t="s">
        <v>7</v>
      </c>
      <c r="C758" s="1771">
        <v>88256</v>
      </c>
      <c r="D758" s="1772" t="s">
        <v>1429</v>
      </c>
      <c r="E758" s="1773" t="s">
        <v>387</v>
      </c>
      <c r="F758" s="1780">
        <v>0.44</v>
      </c>
      <c r="G758" s="1774">
        <v>24.49</v>
      </c>
      <c r="H758" s="1775">
        <f>IF(E758="H",G758,TRUNC(G758*(1-$K$7),2))</f>
        <v>24.49</v>
      </c>
      <c r="I758" s="1776">
        <f t="shared" si="103"/>
        <v>10.77</v>
      </c>
      <c r="J758" s="1768"/>
    </row>
    <row r="759" spans="1:10">
      <c r="A759" s="1770" t="s">
        <v>2407</v>
      </c>
      <c r="B759" s="1771" t="s">
        <v>7</v>
      </c>
      <c r="C759" s="1771">
        <v>88316</v>
      </c>
      <c r="D759" s="1772" t="s">
        <v>66</v>
      </c>
      <c r="E759" s="1773" t="s">
        <v>387</v>
      </c>
      <c r="F759" s="1780">
        <v>0.2</v>
      </c>
      <c r="G759" s="1774">
        <v>19.45</v>
      </c>
      <c r="H759" s="1775">
        <f>IF(E759="H",G759,TRUNC(G759*(1-$K$7),2))</f>
        <v>19.45</v>
      </c>
      <c r="I759" s="1776">
        <f t="shared" si="103"/>
        <v>3.89</v>
      </c>
      <c r="J759" s="1768"/>
    </row>
    <row r="760" spans="1:10">
      <c r="A760" s="1917" t="s">
        <v>2408</v>
      </c>
      <c r="B760" s="1918"/>
      <c r="C760" s="1918"/>
      <c r="D760" s="1918"/>
      <c r="E760" s="1918"/>
      <c r="F760" s="1918"/>
      <c r="G760" s="1918"/>
      <c r="H760" s="1919"/>
      <c r="I760" s="1778">
        <f>SUM(I755:I759)</f>
        <v>159.13999999999999</v>
      </c>
      <c r="J760" s="1768"/>
    </row>
    <row r="761" spans="1:10">
      <c r="A761" s="1920"/>
      <c r="B761" s="1921"/>
      <c r="C761" s="1921"/>
      <c r="D761" s="1921"/>
      <c r="E761" s="1921"/>
      <c r="F761" s="1921"/>
      <c r="G761" s="1921"/>
      <c r="H761" s="1921"/>
      <c r="I761" s="1922"/>
      <c r="J761" s="1768"/>
    </row>
    <row r="762" spans="1:10" ht="24.75" customHeight="1">
      <c r="A762" s="1757" t="str">
        <f>'PLANILHA SEM DESON'!B112</f>
        <v>COMP 14</v>
      </c>
      <c r="B762" s="1923" t="str">
        <f>VLOOKUP(A762,'PLANILHA SEM DESON'!$B$17:$D$1699,2,FALSE)</f>
        <v>RODAPÉ EMBUTIDO EM PORCELANATO RETIFICADO, COR CINZA CLARO, PIV, ALTURA DE 15 CM, DIMENSÕES DE 60CMX60CM. REJUNTE CINZA</v>
      </c>
      <c r="C762" s="1924"/>
      <c r="D762" s="1924"/>
      <c r="E762" s="1924"/>
      <c r="F762" s="1924"/>
      <c r="G762" s="1924"/>
      <c r="H762" s="1925"/>
      <c r="I762" s="1758" t="str">
        <f>VLOOKUP(A762,'PLANILHA SEM DESON'!$B$17:$D$1699,3,FALSE)</f>
        <v>m</v>
      </c>
      <c r="J762" s="1759">
        <f>I769</f>
        <v>77.430000000000007</v>
      </c>
    </row>
    <row r="763" spans="1:10" ht="24">
      <c r="A763" s="1761" t="s">
        <v>2401</v>
      </c>
      <c r="B763" s="1762" t="s">
        <v>2402</v>
      </c>
      <c r="C763" s="1763" t="s">
        <v>2399</v>
      </c>
      <c r="D763" s="1764" t="s">
        <v>284</v>
      </c>
      <c r="E763" s="1763" t="s">
        <v>193</v>
      </c>
      <c r="F763" s="1765" t="s">
        <v>2403</v>
      </c>
      <c r="G763" s="1763" t="s">
        <v>2404</v>
      </c>
      <c r="H763" s="1766" t="s">
        <v>2405</v>
      </c>
      <c r="I763" s="1767" t="s">
        <v>2406</v>
      </c>
      <c r="J763" s="1768"/>
    </row>
    <row r="764" spans="1:10">
      <c r="A764" s="1770"/>
      <c r="B764" s="1771"/>
      <c r="C764" s="1771">
        <v>88316</v>
      </c>
      <c r="D764" s="1772" t="s">
        <v>66</v>
      </c>
      <c r="E764" s="1773" t="s">
        <v>57</v>
      </c>
      <c r="F764" s="1784">
        <v>3.1E-2</v>
      </c>
      <c r="G764" s="1781">
        <v>19.45</v>
      </c>
      <c r="H764" s="1775">
        <f>IF(E764="H",G764,TRUNC(G764*(1-$K$7),2))</f>
        <v>19.45</v>
      </c>
      <c r="I764" s="1776">
        <f t="shared" ref="I764:I768" si="104">TRUNC(H764*F764,2)</f>
        <v>0.6</v>
      </c>
      <c r="J764" s="1768"/>
    </row>
    <row r="765" spans="1:10" ht="24">
      <c r="A765" s="1770"/>
      <c r="B765" s="1771"/>
      <c r="C765" s="1771">
        <v>88256</v>
      </c>
      <c r="D765" s="1772" t="s">
        <v>1429</v>
      </c>
      <c r="E765" s="1773" t="s">
        <v>57</v>
      </c>
      <c r="F765" s="1784">
        <v>8.5000000000000006E-2</v>
      </c>
      <c r="G765" s="1779">
        <v>24.49</v>
      </c>
      <c r="H765" s="1775">
        <f>IF(E765="H",G765,TRUNC(G765*(1-$K$7),2))</f>
        <v>24.49</v>
      </c>
      <c r="I765" s="1776">
        <f t="shared" si="104"/>
        <v>2.08</v>
      </c>
      <c r="J765" s="1768"/>
    </row>
    <row r="766" spans="1:10">
      <c r="A766" s="1770"/>
      <c r="B766" s="1771"/>
      <c r="C766" s="1771">
        <v>1381</v>
      </c>
      <c r="D766" s="1772" t="s">
        <v>1431</v>
      </c>
      <c r="E766" s="1773" t="s">
        <v>100</v>
      </c>
      <c r="F766" s="1782">
        <v>0.60299999999999998</v>
      </c>
      <c r="G766" s="1781">
        <v>1</v>
      </c>
      <c r="H766" s="1775">
        <f>IF(E766="H",G766,TRUNC(G766*(1-$K$7),2))</f>
        <v>0.99</v>
      </c>
      <c r="I766" s="1776">
        <f t="shared" si="104"/>
        <v>0.59</v>
      </c>
      <c r="J766" s="1768"/>
    </row>
    <row r="767" spans="1:10">
      <c r="A767" s="1770"/>
      <c r="B767" s="1771"/>
      <c r="C767" s="1771">
        <v>34357</v>
      </c>
      <c r="D767" s="1772" t="s">
        <v>1430</v>
      </c>
      <c r="E767" s="1773" t="s">
        <v>100</v>
      </c>
      <c r="F767" s="1782">
        <v>8.4000000000000005E-2</v>
      </c>
      <c r="G767" s="1780">
        <v>5.87</v>
      </c>
      <c r="H767" s="1775">
        <f>IF(E767="H",G767,TRUNC(G767*(1-$K$7),2))</f>
        <v>5.83</v>
      </c>
      <c r="I767" s="1776">
        <f t="shared" si="104"/>
        <v>0.48</v>
      </c>
      <c r="J767" s="1768"/>
    </row>
    <row r="768" spans="1:10" ht="36">
      <c r="A768" s="1770"/>
      <c r="B768" s="1771"/>
      <c r="C768" s="1771">
        <v>87261</v>
      </c>
      <c r="D768" s="1772" t="s">
        <v>1425</v>
      </c>
      <c r="E768" s="1773" t="s">
        <v>46</v>
      </c>
      <c r="F768" s="1782">
        <v>0.40279999999999999</v>
      </c>
      <c r="G768" s="1780">
        <v>184.04</v>
      </c>
      <c r="H768" s="1775">
        <f>IF(E768="H",G768,TRUNC(G768*(1-$K$7),2))</f>
        <v>182.93</v>
      </c>
      <c r="I768" s="1776">
        <f t="shared" si="104"/>
        <v>73.680000000000007</v>
      </c>
      <c r="J768" s="1768"/>
    </row>
    <row r="769" spans="1:10">
      <c r="A769" s="1917" t="s">
        <v>2408</v>
      </c>
      <c r="B769" s="1918"/>
      <c r="C769" s="1918"/>
      <c r="D769" s="1918"/>
      <c r="E769" s="1918"/>
      <c r="F769" s="1918"/>
      <c r="G769" s="1918"/>
      <c r="H769" s="1919"/>
      <c r="I769" s="1778">
        <f>SUM(I764:I768)</f>
        <v>77.430000000000007</v>
      </c>
      <c r="J769" s="1768"/>
    </row>
    <row r="770" spans="1:10">
      <c r="A770" s="1920"/>
      <c r="B770" s="1921"/>
      <c r="C770" s="1921"/>
      <c r="D770" s="1921"/>
      <c r="E770" s="1921"/>
      <c r="F770" s="1921"/>
      <c r="G770" s="1921"/>
      <c r="H770" s="1921"/>
      <c r="I770" s="1922"/>
      <c r="J770" s="1768"/>
    </row>
    <row r="771" spans="1:10" ht="23.25" customHeight="1">
      <c r="A771" s="1757">
        <f>'PLANILHA SEM DESON'!B115</f>
        <v>87904</v>
      </c>
      <c r="B771" s="1923" t="str">
        <f>VLOOKUP(A771,'PLANILHA SEM DESON'!$B$17:$D$1699,2,FALSE)</f>
        <v>CHAPISCO APLICADO EM ALVENARIA (COM PRESENÇA DE VÃOS) E ESTRUTURAS DE CONCRETO DE FACHADA, COM COLHER DE PEDREIRO. ARGAMASSA TRAÇO 1:3 COM PREPARO MANUAL. AF_06/2014</v>
      </c>
      <c r="C771" s="1924"/>
      <c r="D771" s="1924"/>
      <c r="E771" s="1924"/>
      <c r="F771" s="1924"/>
      <c r="G771" s="1924"/>
      <c r="H771" s="1925"/>
      <c r="I771" s="1758" t="str">
        <f>VLOOKUP(A771,'PLANILHA SEM DESON'!$B$17:$D$1699,3,FALSE)</f>
        <v>m²</v>
      </c>
      <c r="J771" s="1759">
        <f>I776</f>
        <v>8.02</v>
      </c>
    </row>
    <row r="772" spans="1:10" ht="24">
      <c r="A772" s="1761" t="s">
        <v>2401</v>
      </c>
      <c r="B772" s="1762" t="s">
        <v>2402</v>
      </c>
      <c r="C772" s="1763" t="s">
        <v>2399</v>
      </c>
      <c r="D772" s="1764" t="s">
        <v>284</v>
      </c>
      <c r="E772" s="1763" t="s">
        <v>193</v>
      </c>
      <c r="F772" s="1765" t="s">
        <v>2403</v>
      </c>
      <c r="G772" s="1763" t="s">
        <v>2404</v>
      </c>
      <c r="H772" s="1766" t="s">
        <v>2405</v>
      </c>
      <c r="I772" s="1767" t="s">
        <v>2406</v>
      </c>
      <c r="J772" s="1768"/>
    </row>
    <row r="773" spans="1:10" ht="36">
      <c r="A773" s="1770" t="s">
        <v>2407</v>
      </c>
      <c r="B773" s="1771" t="s">
        <v>7</v>
      </c>
      <c r="C773" s="1771">
        <v>87377</v>
      </c>
      <c r="D773" s="1772" t="s">
        <v>2592</v>
      </c>
      <c r="E773" s="1773" t="s">
        <v>1132</v>
      </c>
      <c r="F773" s="1780">
        <v>3.7000000000000002E-3</v>
      </c>
      <c r="G773" s="1774">
        <v>730.63</v>
      </c>
      <c r="H773" s="1775">
        <f>IF(E773="H",G773,TRUNC(G773*(1-$K$7),2))</f>
        <v>726.24</v>
      </c>
      <c r="I773" s="1776">
        <f t="shared" ref="I773:I775" si="105">TRUNC(H773*F773,2)</f>
        <v>2.68</v>
      </c>
      <c r="J773" s="1768"/>
    </row>
    <row r="774" spans="1:10">
      <c r="A774" s="1770" t="s">
        <v>2407</v>
      </c>
      <c r="B774" s="1771" t="s">
        <v>7</v>
      </c>
      <c r="C774" s="1771">
        <v>88309</v>
      </c>
      <c r="D774" s="1772" t="s">
        <v>103</v>
      </c>
      <c r="E774" s="1773" t="s">
        <v>387</v>
      </c>
      <c r="F774" s="1780">
        <v>0.1724</v>
      </c>
      <c r="G774" s="1774">
        <v>24.59</v>
      </c>
      <c r="H774" s="1775">
        <f>IF(E774="H",G774,TRUNC(G774*(1-$K$7),2))</f>
        <v>24.59</v>
      </c>
      <c r="I774" s="1776">
        <f t="shared" si="105"/>
        <v>4.2300000000000004</v>
      </c>
      <c r="J774" s="1768"/>
    </row>
    <row r="775" spans="1:10">
      <c r="A775" s="1770" t="s">
        <v>2407</v>
      </c>
      <c r="B775" s="1771" t="s">
        <v>7</v>
      </c>
      <c r="C775" s="1771">
        <v>88316</v>
      </c>
      <c r="D775" s="1772" t="s">
        <v>66</v>
      </c>
      <c r="E775" s="1773" t="s">
        <v>387</v>
      </c>
      <c r="F775" s="1780">
        <v>5.7500000000000002E-2</v>
      </c>
      <c r="G775" s="1774">
        <v>19.45</v>
      </c>
      <c r="H775" s="1775">
        <f>IF(E775="H",G775,TRUNC(G775*(1-$K$7),2))</f>
        <v>19.45</v>
      </c>
      <c r="I775" s="1776">
        <f t="shared" si="105"/>
        <v>1.1100000000000001</v>
      </c>
      <c r="J775" s="1768"/>
    </row>
    <row r="776" spans="1:10">
      <c r="A776" s="1917" t="s">
        <v>2408</v>
      </c>
      <c r="B776" s="1918"/>
      <c r="C776" s="1918"/>
      <c r="D776" s="1918"/>
      <c r="E776" s="1918"/>
      <c r="F776" s="1918"/>
      <c r="G776" s="1918"/>
      <c r="H776" s="1919"/>
      <c r="I776" s="1778">
        <f>SUM(I773:I775)</f>
        <v>8.02</v>
      </c>
      <c r="J776" s="1768"/>
    </row>
    <row r="777" spans="1:10">
      <c r="A777" s="1920"/>
      <c r="B777" s="1921"/>
      <c r="C777" s="1921"/>
      <c r="D777" s="1921"/>
      <c r="E777" s="1921"/>
      <c r="F777" s="1921"/>
      <c r="G777" s="1921"/>
      <c r="H777" s="1921"/>
      <c r="I777" s="1922"/>
      <c r="J777" s="1768"/>
    </row>
    <row r="778" spans="1:10" ht="25.5" customHeight="1">
      <c r="A778" s="1757">
        <f>'PLANILHA SEM DESON'!B116</f>
        <v>87879</v>
      </c>
      <c r="B778" s="1923" t="str">
        <f>VLOOKUP(A778,'PLANILHA SEM DESON'!$B$17:$D$1699,2,FALSE)</f>
        <v>CHAPISCO APLICADO EM ALVENARIAS E ESTRUTURAS DE CONCRETO INTERNAS, COM COLHER DE PEDREIRO. ARGAMASSA TRAÇO 1:3 COM PREPARO EM BETONEIRA 400L. AF_06/2014</v>
      </c>
      <c r="C778" s="1924"/>
      <c r="D778" s="1924"/>
      <c r="E778" s="1924"/>
      <c r="F778" s="1924"/>
      <c r="G778" s="1924"/>
      <c r="H778" s="1925"/>
      <c r="I778" s="1758" t="str">
        <f>VLOOKUP(A778,'PLANILHA SEM DESON'!$B$17:$D$1699,3,FALSE)</f>
        <v>m²</v>
      </c>
      <c r="J778" s="1759">
        <f>I783</f>
        <v>4.37</v>
      </c>
    </row>
    <row r="779" spans="1:10" ht="24">
      <c r="A779" s="1761" t="s">
        <v>2401</v>
      </c>
      <c r="B779" s="1762" t="s">
        <v>2402</v>
      </c>
      <c r="C779" s="1763" t="s">
        <v>2399</v>
      </c>
      <c r="D779" s="1764" t="s">
        <v>284</v>
      </c>
      <c r="E779" s="1763" t="s">
        <v>193</v>
      </c>
      <c r="F779" s="1765" t="s">
        <v>2403</v>
      </c>
      <c r="G779" s="1763" t="s">
        <v>2404</v>
      </c>
      <c r="H779" s="1766" t="s">
        <v>2405</v>
      </c>
      <c r="I779" s="1767" t="s">
        <v>2406</v>
      </c>
      <c r="J779" s="1768"/>
    </row>
    <row r="780" spans="1:10" ht="48">
      <c r="A780" s="1770" t="s">
        <v>2407</v>
      </c>
      <c r="B780" s="1771" t="s">
        <v>7</v>
      </c>
      <c r="C780" s="1771">
        <v>87313</v>
      </c>
      <c r="D780" s="1772" t="s">
        <v>2593</v>
      </c>
      <c r="E780" s="1773" t="s">
        <v>1132</v>
      </c>
      <c r="F780" s="1780">
        <v>3.7000000000000002E-3</v>
      </c>
      <c r="G780" s="1774">
        <v>601.51</v>
      </c>
      <c r="H780" s="1775">
        <f>IF(E780="H",G780,TRUNC(G780*(1-$K$7),2))</f>
        <v>597.9</v>
      </c>
      <c r="I780" s="1776">
        <f t="shared" ref="I780:I782" si="106">TRUNC(H780*F780,2)</f>
        <v>2.21</v>
      </c>
      <c r="J780" s="1768"/>
    </row>
    <row r="781" spans="1:10">
      <c r="A781" s="1770" t="s">
        <v>2407</v>
      </c>
      <c r="B781" s="1771" t="s">
        <v>7</v>
      </c>
      <c r="C781" s="1771">
        <v>88309</v>
      </c>
      <c r="D781" s="1772" t="s">
        <v>103</v>
      </c>
      <c r="E781" s="1773" t="s">
        <v>387</v>
      </c>
      <c r="F781" s="1780">
        <v>6.8099999999999994E-2</v>
      </c>
      <c r="G781" s="1774">
        <v>24.59</v>
      </c>
      <c r="H781" s="1775">
        <f>IF(E781="H",G781,TRUNC(G781*(1-$K$7),2))</f>
        <v>24.59</v>
      </c>
      <c r="I781" s="1776">
        <f t="shared" si="106"/>
        <v>1.67</v>
      </c>
      <c r="J781" s="1768"/>
    </row>
    <row r="782" spans="1:10">
      <c r="A782" s="1770" t="s">
        <v>2407</v>
      </c>
      <c r="B782" s="1771" t="s">
        <v>7</v>
      </c>
      <c r="C782" s="1771">
        <v>88316</v>
      </c>
      <c r="D782" s="1772" t="s">
        <v>66</v>
      </c>
      <c r="E782" s="1773" t="s">
        <v>387</v>
      </c>
      <c r="F782" s="1780">
        <v>2.5499999999999998E-2</v>
      </c>
      <c r="G782" s="1774">
        <v>19.45</v>
      </c>
      <c r="H782" s="1775">
        <f>IF(E782="H",G782,TRUNC(G782*(1-$K$7),2))</f>
        <v>19.45</v>
      </c>
      <c r="I782" s="1776">
        <f t="shared" si="106"/>
        <v>0.49</v>
      </c>
      <c r="J782" s="1768"/>
    </row>
    <row r="783" spans="1:10">
      <c r="A783" s="1917" t="s">
        <v>2408</v>
      </c>
      <c r="B783" s="1918"/>
      <c r="C783" s="1918"/>
      <c r="D783" s="1918"/>
      <c r="E783" s="1918"/>
      <c r="F783" s="1918"/>
      <c r="G783" s="1918"/>
      <c r="H783" s="1919"/>
      <c r="I783" s="1778">
        <f>SUM(I780:I782)</f>
        <v>4.37</v>
      </c>
      <c r="J783" s="1768"/>
    </row>
    <row r="784" spans="1:10">
      <c r="A784" s="1920"/>
      <c r="B784" s="1921"/>
      <c r="C784" s="1921"/>
      <c r="D784" s="1921"/>
      <c r="E784" s="1921"/>
      <c r="F784" s="1921"/>
      <c r="G784" s="1921"/>
      <c r="H784" s="1921"/>
      <c r="I784" s="1922"/>
      <c r="J784" s="1768"/>
    </row>
    <row r="785" spans="1:10" ht="35.25" customHeight="1">
      <c r="A785" s="1757">
        <f>'PLANILHA SEM DESON'!B117</f>
        <v>87528</v>
      </c>
      <c r="B785" s="1923" t="str">
        <f>VLOOKUP(A785,'PLANILHA SEM DESON'!$B$17:$D$1699,2,FALSE)</f>
        <v>EMBOÇO, PARA RECEBIMENTO DE CERÂMICA, EM ARGAMASSA TRAÇO 1:2:8, PREPARO MANUAL, APLICADO MANUALMENTE EM FACES INTERNAS DE PAREDES, PARA AMBIENTE COM ÁREA MENOR QUE 5M2, ESPESSURA DE 20MM, COM EXECUÇÃO DE TALISCAS. AF_06/2014</v>
      </c>
      <c r="C785" s="1924"/>
      <c r="D785" s="1924"/>
      <c r="E785" s="1924"/>
      <c r="F785" s="1924"/>
      <c r="G785" s="1924"/>
      <c r="H785" s="1925"/>
      <c r="I785" s="1758" t="str">
        <f>VLOOKUP(A785,'PLANILHA SEM DESON'!$B$17:$D$1699,3,FALSE)</f>
        <v>m²</v>
      </c>
      <c r="J785" s="1759">
        <f>I790</f>
        <v>44.59</v>
      </c>
    </row>
    <row r="786" spans="1:10" ht="24">
      <c r="A786" s="1761" t="s">
        <v>2401</v>
      </c>
      <c r="B786" s="1762" t="s">
        <v>2402</v>
      </c>
      <c r="C786" s="1763" t="s">
        <v>2399</v>
      </c>
      <c r="D786" s="1764" t="s">
        <v>284</v>
      </c>
      <c r="E786" s="1763" t="s">
        <v>193</v>
      </c>
      <c r="F786" s="1765" t="s">
        <v>2403</v>
      </c>
      <c r="G786" s="1763" t="s">
        <v>2404</v>
      </c>
      <c r="H786" s="1766" t="s">
        <v>2405</v>
      </c>
      <c r="I786" s="1767" t="s">
        <v>2406</v>
      </c>
      <c r="J786" s="1768"/>
    </row>
    <row r="787" spans="1:10" ht="48">
      <c r="A787" s="1770" t="s">
        <v>2407</v>
      </c>
      <c r="B787" s="1771" t="s">
        <v>7</v>
      </c>
      <c r="C787" s="1771">
        <v>87369</v>
      </c>
      <c r="D787" s="1772" t="s">
        <v>2594</v>
      </c>
      <c r="E787" s="1773" t="s">
        <v>1132</v>
      </c>
      <c r="F787" s="1780">
        <v>3.7600000000000001E-2</v>
      </c>
      <c r="G787" s="1774">
        <v>701.92</v>
      </c>
      <c r="H787" s="1775">
        <f>IF(E787="H",G787,TRUNC(G787*(1-$K$7),2))</f>
        <v>697.7</v>
      </c>
      <c r="I787" s="1776">
        <f t="shared" ref="I787:I789" si="107">TRUNC(H787*F787,2)</f>
        <v>26.23</v>
      </c>
      <c r="J787" s="1768"/>
    </row>
    <row r="788" spans="1:10">
      <c r="A788" s="1770" t="s">
        <v>2407</v>
      </c>
      <c r="B788" s="1771" t="s">
        <v>7</v>
      </c>
      <c r="C788" s="1771">
        <v>88309</v>
      </c>
      <c r="D788" s="1772" t="s">
        <v>103</v>
      </c>
      <c r="E788" s="1773" t="s">
        <v>387</v>
      </c>
      <c r="F788" s="1780">
        <v>0.57999999999999996</v>
      </c>
      <c r="G788" s="1774">
        <v>24.59</v>
      </c>
      <c r="H788" s="1775">
        <f>IF(E788="H",G788,TRUNC(G788*(1-$K$7),2))</f>
        <v>24.59</v>
      </c>
      <c r="I788" s="1776">
        <f t="shared" si="107"/>
        <v>14.26</v>
      </c>
      <c r="J788" s="1768"/>
    </row>
    <row r="789" spans="1:10">
      <c r="A789" s="1770" t="s">
        <v>2407</v>
      </c>
      <c r="B789" s="1771" t="s">
        <v>7</v>
      </c>
      <c r="C789" s="1771">
        <v>88316</v>
      </c>
      <c r="D789" s="1772" t="s">
        <v>66</v>
      </c>
      <c r="E789" s="1773" t="s">
        <v>387</v>
      </c>
      <c r="F789" s="1780">
        <v>0.21099999999999999</v>
      </c>
      <c r="G789" s="1774">
        <v>19.45</v>
      </c>
      <c r="H789" s="1775">
        <f>IF(E789="H",G789,TRUNC(G789*(1-$K$7),2))</f>
        <v>19.45</v>
      </c>
      <c r="I789" s="1776">
        <f t="shared" si="107"/>
        <v>4.0999999999999996</v>
      </c>
      <c r="J789" s="1768"/>
    </row>
    <row r="790" spans="1:10">
      <c r="A790" s="1917" t="s">
        <v>2408</v>
      </c>
      <c r="B790" s="1918"/>
      <c r="C790" s="1918"/>
      <c r="D790" s="1918"/>
      <c r="E790" s="1918"/>
      <c r="F790" s="1918"/>
      <c r="G790" s="1918"/>
      <c r="H790" s="1919"/>
      <c r="I790" s="1778">
        <f>SUM(I787:I789)</f>
        <v>44.59</v>
      </c>
      <c r="J790" s="1768"/>
    </row>
    <row r="791" spans="1:10">
      <c r="A791" s="1920"/>
      <c r="B791" s="1921"/>
      <c r="C791" s="1921"/>
      <c r="D791" s="1921"/>
      <c r="E791" s="1921"/>
      <c r="F791" s="1921"/>
      <c r="G791" s="1921"/>
      <c r="H791" s="1921"/>
      <c r="I791" s="1922"/>
      <c r="J791" s="1768"/>
    </row>
    <row r="792" spans="1:10" ht="35.25" customHeight="1">
      <c r="A792" s="1757">
        <f>'PLANILHA SEM DESON'!B118</f>
        <v>87532</v>
      </c>
      <c r="B792" s="1923" t="str">
        <f>VLOOKUP(A792,'PLANILHA SEM DESON'!$B$17:$D$1699,2,FALSE)</f>
        <v>EMBOÇO, PARA RECEBIMENTO DE CERÂMICA, EM ARGAMASSA TRAÇO 1:2:8, PREPARO MANUAL, APLICADO MANUALMENTE EM FACES INTERNAS DE PAREDES, PARA AMBIENTE COM ÁREA ENTRE 5M2 E 10M2, ESPESSURA DE 20MM, COM EXECUÇÃO DE TALISCAS. AF_06/201410M2, ESPESSURA DE 20MM, COM EXECUÇÃO DE TALISCAS. AF_06/2014</v>
      </c>
      <c r="C792" s="1924"/>
      <c r="D792" s="1924"/>
      <c r="E792" s="1924"/>
      <c r="F792" s="1924"/>
      <c r="G792" s="1924"/>
      <c r="H792" s="1925"/>
      <c r="I792" s="1758" t="str">
        <f>VLOOKUP(A792,'PLANILHA SEM DESON'!$B$17:$D$1699,3,FALSE)</f>
        <v>m²</v>
      </c>
      <c r="J792" s="1759">
        <f>I797</f>
        <v>39.869999999999997</v>
      </c>
    </row>
    <row r="793" spans="1:10" ht="24">
      <c r="A793" s="1761" t="s">
        <v>2401</v>
      </c>
      <c r="B793" s="1762" t="s">
        <v>2402</v>
      </c>
      <c r="C793" s="1763" t="s">
        <v>2399</v>
      </c>
      <c r="D793" s="1764" t="s">
        <v>284</v>
      </c>
      <c r="E793" s="1763" t="s">
        <v>193</v>
      </c>
      <c r="F793" s="1765" t="s">
        <v>2403</v>
      </c>
      <c r="G793" s="1763" t="s">
        <v>2404</v>
      </c>
      <c r="H793" s="1766" t="s">
        <v>2405</v>
      </c>
      <c r="I793" s="1767" t="s">
        <v>2406</v>
      </c>
      <c r="J793" s="1768"/>
    </row>
    <row r="794" spans="1:10" ht="48">
      <c r="A794" s="1770" t="s">
        <v>2407</v>
      </c>
      <c r="B794" s="1771" t="s">
        <v>7</v>
      </c>
      <c r="C794" s="1771">
        <v>87369</v>
      </c>
      <c r="D794" s="1772" t="s">
        <v>2594</v>
      </c>
      <c r="E794" s="1773" t="s">
        <v>1132</v>
      </c>
      <c r="F794" s="1780">
        <v>3.7600000000000001E-2</v>
      </c>
      <c r="G794" s="1774">
        <v>701.92</v>
      </c>
      <c r="H794" s="1775">
        <f>IF(E794="H",G794,TRUNC(G794*(1-$K$7),2))</f>
        <v>697.7</v>
      </c>
      <c r="I794" s="1776">
        <f t="shared" ref="I794:I796" si="108">TRUNC(H794*F794,2)</f>
        <v>26.23</v>
      </c>
      <c r="J794" s="1768"/>
    </row>
    <row r="795" spans="1:10">
      <c r="A795" s="1770" t="s">
        <v>2407</v>
      </c>
      <c r="B795" s="1771" t="s">
        <v>7</v>
      </c>
      <c r="C795" s="1771">
        <v>88309</v>
      </c>
      <c r="D795" s="1772" t="s">
        <v>103</v>
      </c>
      <c r="E795" s="1773" t="s">
        <v>387</v>
      </c>
      <c r="F795" s="1780">
        <v>0.43</v>
      </c>
      <c r="G795" s="1774">
        <v>24.59</v>
      </c>
      <c r="H795" s="1775">
        <f>IF(E795="H",G795,TRUNC(G795*(1-$K$7),2))</f>
        <v>24.59</v>
      </c>
      <c r="I795" s="1776">
        <f t="shared" si="108"/>
        <v>10.57</v>
      </c>
      <c r="J795" s="1768"/>
    </row>
    <row r="796" spans="1:10">
      <c r="A796" s="1770" t="s">
        <v>2407</v>
      </c>
      <c r="B796" s="1771" t="s">
        <v>7</v>
      </c>
      <c r="C796" s="1771">
        <v>88316</v>
      </c>
      <c r="D796" s="1772" t="s">
        <v>66</v>
      </c>
      <c r="E796" s="1773" t="s">
        <v>387</v>
      </c>
      <c r="F796" s="1780">
        <v>0.158</v>
      </c>
      <c r="G796" s="1774">
        <v>19.45</v>
      </c>
      <c r="H796" s="1775">
        <f>IF(E796="H",G796,TRUNC(G796*(1-$K$7),2))</f>
        <v>19.45</v>
      </c>
      <c r="I796" s="1776">
        <f t="shared" si="108"/>
        <v>3.07</v>
      </c>
      <c r="J796" s="1768"/>
    </row>
    <row r="797" spans="1:10">
      <c r="A797" s="1917" t="s">
        <v>2408</v>
      </c>
      <c r="B797" s="1918"/>
      <c r="C797" s="1918"/>
      <c r="D797" s="1918"/>
      <c r="E797" s="1918"/>
      <c r="F797" s="1918"/>
      <c r="G797" s="1918"/>
      <c r="H797" s="1919"/>
      <c r="I797" s="1778">
        <f>SUM(I794:I796)</f>
        <v>39.869999999999997</v>
      </c>
      <c r="J797" s="1768"/>
    </row>
    <row r="798" spans="1:10">
      <c r="A798" s="1920"/>
      <c r="B798" s="1921"/>
      <c r="C798" s="1921"/>
      <c r="D798" s="1921"/>
      <c r="E798" s="1921"/>
      <c r="F798" s="1921"/>
      <c r="G798" s="1921"/>
      <c r="H798" s="1921"/>
      <c r="I798" s="1922"/>
      <c r="J798" s="1768"/>
    </row>
    <row r="799" spans="1:10" ht="39" customHeight="1">
      <c r="A799" s="1757">
        <f>'PLANILHA SEM DESON'!B119</f>
        <v>87536</v>
      </c>
      <c r="B799" s="1923" t="str">
        <f>VLOOKUP(A799,'PLANILHA SEM DESON'!$B$17:$D$1699,2,FALSE)</f>
        <v>EMBOÇO, PARA RECEBIMENTO DE CERÂMICA, EM ARGAMASSA TRAÇO 1:2:8, PREPARO MANUAL, APLICADO MANUALMENTE EM FACES INTERNAS DE PAREDES, PARA AMBIENTE COM ÁREA MAIOR QUE 10M2, ESPESSURA DE 20MM, COM EXECUÇÃO DE TALISCAS. AF_06/2014</v>
      </c>
      <c r="C799" s="1924"/>
      <c r="D799" s="1924"/>
      <c r="E799" s="1924"/>
      <c r="F799" s="1924"/>
      <c r="G799" s="1924"/>
      <c r="H799" s="1925"/>
      <c r="I799" s="1758" t="str">
        <f>VLOOKUP(A799,'PLANILHA SEM DESON'!$B$17:$D$1699,3,FALSE)</f>
        <v>m²</v>
      </c>
      <c r="J799" s="1759">
        <f>I804</f>
        <v>36.380000000000003</v>
      </c>
    </row>
    <row r="800" spans="1:10" ht="24">
      <c r="A800" s="1761" t="s">
        <v>2401</v>
      </c>
      <c r="B800" s="1762" t="s">
        <v>2402</v>
      </c>
      <c r="C800" s="1763" t="s">
        <v>2399</v>
      </c>
      <c r="D800" s="1764" t="s">
        <v>284</v>
      </c>
      <c r="E800" s="1763" t="s">
        <v>193</v>
      </c>
      <c r="F800" s="1765" t="s">
        <v>2403</v>
      </c>
      <c r="G800" s="1763" t="s">
        <v>2404</v>
      </c>
      <c r="H800" s="1766" t="s">
        <v>2405</v>
      </c>
      <c r="I800" s="1767" t="s">
        <v>2406</v>
      </c>
      <c r="J800" s="1768"/>
    </row>
    <row r="801" spans="1:10" ht="48">
      <c r="A801" s="1770" t="s">
        <v>2407</v>
      </c>
      <c r="B801" s="1771" t="s">
        <v>7</v>
      </c>
      <c r="C801" s="1771">
        <v>87369</v>
      </c>
      <c r="D801" s="1772" t="s">
        <v>2594</v>
      </c>
      <c r="E801" s="1773" t="s">
        <v>1132</v>
      </c>
      <c r="F801" s="1780">
        <v>3.7600000000000001E-2</v>
      </c>
      <c r="G801" s="1774">
        <v>701.92</v>
      </c>
      <c r="H801" s="1775">
        <f>IF(E801="H",G801,TRUNC(G801*(1-$K$7),2))</f>
        <v>697.7</v>
      </c>
      <c r="I801" s="1776">
        <f t="shared" ref="I801:I803" si="109">TRUNC(H801*F801,2)</f>
        <v>26.23</v>
      </c>
      <c r="J801" s="1768"/>
    </row>
    <row r="802" spans="1:10">
      <c r="A802" s="1770" t="s">
        <v>2407</v>
      </c>
      <c r="B802" s="1771" t="s">
        <v>7</v>
      </c>
      <c r="C802" s="1771">
        <v>88309</v>
      </c>
      <c r="D802" s="1772" t="s">
        <v>103</v>
      </c>
      <c r="E802" s="1773" t="s">
        <v>387</v>
      </c>
      <c r="F802" s="1780">
        <v>0.32</v>
      </c>
      <c r="G802" s="1774">
        <v>24.59</v>
      </c>
      <c r="H802" s="1775">
        <f>IF(E802="H",G802,TRUNC(G802*(1-$K$7),2))</f>
        <v>24.59</v>
      </c>
      <c r="I802" s="1776">
        <f t="shared" si="109"/>
        <v>7.86</v>
      </c>
      <c r="J802" s="1768"/>
    </row>
    <row r="803" spans="1:10">
      <c r="A803" s="1770" t="s">
        <v>2407</v>
      </c>
      <c r="B803" s="1771" t="s">
        <v>7</v>
      </c>
      <c r="C803" s="1771">
        <v>88316</v>
      </c>
      <c r="D803" s="1772" t="s">
        <v>66</v>
      </c>
      <c r="E803" s="1773" t="s">
        <v>387</v>
      </c>
      <c r="F803" s="1780">
        <v>0.11799999999999999</v>
      </c>
      <c r="G803" s="1774">
        <v>19.45</v>
      </c>
      <c r="H803" s="1775">
        <f>IF(E803="H",G803,TRUNC(G803*(1-$K$7),2))</f>
        <v>19.45</v>
      </c>
      <c r="I803" s="1776">
        <f t="shared" si="109"/>
        <v>2.29</v>
      </c>
      <c r="J803" s="1768"/>
    </row>
    <row r="804" spans="1:10">
      <c r="A804" s="1917" t="s">
        <v>2408</v>
      </c>
      <c r="B804" s="1918"/>
      <c r="C804" s="1918"/>
      <c r="D804" s="1918"/>
      <c r="E804" s="1918"/>
      <c r="F804" s="1918"/>
      <c r="G804" s="1918"/>
      <c r="H804" s="1919"/>
      <c r="I804" s="1778">
        <f>SUM(I801:I803)</f>
        <v>36.380000000000003</v>
      </c>
      <c r="J804" s="1768"/>
    </row>
    <row r="805" spans="1:10">
      <c r="A805" s="1920"/>
      <c r="B805" s="1921"/>
      <c r="C805" s="1921"/>
      <c r="D805" s="1921"/>
      <c r="E805" s="1921"/>
      <c r="F805" s="1921"/>
      <c r="G805" s="1921"/>
      <c r="H805" s="1921"/>
      <c r="I805" s="1922"/>
      <c r="J805" s="1768"/>
    </row>
    <row r="806" spans="1:10" ht="23.25" customHeight="1">
      <c r="A806" s="1757" t="str">
        <f>'PLANILHA SEM DESON'!B120</f>
        <v>COMP 22</v>
      </c>
      <c r="B806" s="1923" t="str">
        <f>VLOOKUP(A806,'PLANILHA SEM DESON'!$B$17:$D$1699,2,FALSE)</f>
        <v>REVESTIMENTO CERÂMICO DE PAREDE  BOLD 6,5X23 CM  APLICADO COM ARGAMASSA INDUSTRIAL , INCLUSIVE REJUNTE.</v>
      </c>
      <c r="C806" s="1924"/>
      <c r="D806" s="1924"/>
      <c r="E806" s="1924"/>
      <c r="F806" s="1924"/>
      <c r="G806" s="1924"/>
      <c r="H806" s="1925"/>
      <c r="I806" s="1758" t="str">
        <f>VLOOKUP(A806,'PLANILHA SEM DESON'!$B$17:$D$1699,3,FALSE)</f>
        <v>m²</v>
      </c>
      <c r="J806" s="1759">
        <f>I813</f>
        <v>189.26000000000002</v>
      </c>
    </row>
    <row r="807" spans="1:10" ht="24">
      <c r="A807" s="1761" t="s">
        <v>2401</v>
      </c>
      <c r="B807" s="1762" t="s">
        <v>2402</v>
      </c>
      <c r="C807" s="1763" t="s">
        <v>2399</v>
      </c>
      <c r="D807" s="1764" t="s">
        <v>284</v>
      </c>
      <c r="E807" s="1763" t="s">
        <v>193</v>
      </c>
      <c r="F807" s="1765" t="s">
        <v>2403</v>
      </c>
      <c r="G807" s="1763" t="s">
        <v>2404</v>
      </c>
      <c r="H807" s="1766" t="s">
        <v>2405</v>
      </c>
      <c r="I807" s="1767" t="s">
        <v>2406</v>
      </c>
      <c r="J807" s="1768"/>
    </row>
    <row r="808" spans="1:10" ht="24">
      <c r="A808" s="1770"/>
      <c r="B808" s="1771"/>
      <c r="C808" s="1771">
        <v>88256</v>
      </c>
      <c r="D808" s="1772" t="s">
        <v>1429</v>
      </c>
      <c r="E808" s="1773" t="s">
        <v>57</v>
      </c>
      <c r="F808" s="1782">
        <v>0.4</v>
      </c>
      <c r="G808" s="1779">
        <v>24.49</v>
      </c>
      <c r="H808" s="1775">
        <f>IF(E808="H",G808,TRUNC(G808*(1-$K$7),2))</f>
        <v>24.49</v>
      </c>
      <c r="I808" s="1776">
        <f t="shared" ref="I808:I812" si="110">TRUNC(H808*F808,2)</f>
        <v>9.7899999999999991</v>
      </c>
      <c r="J808" s="1768"/>
    </row>
    <row r="809" spans="1:10">
      <c r="A809" s="1770"/>
      <c r="B809" s="1771"/>
      <c r="C809" s="1771">
        <v>88316</v>
      </c>
      <c r="D809" s="1772" t="s">
        <v>66</v>
      </c>
      <c r="E809" s="1773" t="s">
        <v>57</v>
      </c>
      <c r="F809" s="1782">
        <v>0.34</v>
      </c>
      <c r="G809" s="1781">
        <v>19.45</v>
      </c>
      <c r="H809" s="1775">
        <f>IF(E809="H",G809,TRUNC(G809*(1-$K$7),2))</f>
        <v>19.45</v>
      </c>
      <c r="I809" s="1776">
        <f t="shared" si="110"/>
        <v>6.61</v>
      </c>
      <c r="J809" s="1768"/>
    </row>
    <row r="810" spans="1:10" ht="24">
      <c r="A810" s="1770"/>
      <c r="B810" s="1771"/>
      <c r="C810" s="1771" t="s">
        <v>65</v>
      </c>
      <c r="D810" s="1772" t="s">
        <v>1479</v>
      </c>
      <c r="E810" s="1773" t="s">
        <v>46</v>
      </c>
      <c r="F810" s="1779">
        <v>1.05</v>
      </c>
      <c r="G810" s="1779">
        <v>154.9</v>
      </c>
      <c r="H810" s="1775">
        <f>IF(E810="H",G810,TRUNC(G810*(1-$K$7),2))</f>
        <v>153.97</v>
      </c>
      <c r="I810" s="1776">
        <f t="shared" si="110"/>
        <v>161.66</v>
      </c>
      <c r="J810" s="1768"/>
    </row>
    <row r="811" spans="1:10">
      <c r="A811" s="1770"/>
      <c r="B811" s="1771"/>
      <c r="C811" s="1771">
        <v>34353</v>
      </c>
      <c r="D811" s="1772" t="s">
        <v>1477</v>
      </c>
      <c r="E811" s="1773" t="s">
        <v>100</v>
      </c>
      <c r="F811" s="1779">
        <v>4</v>
      </c>
      <c r="G811" s="1779">
        <v>1.86</v>
      </c>
      <c r="H811" s="1775">
        <f>IF(E811="H",G811,TRUNC(G811*(1-$K$7),2))</f>
        <v>1.84</v>
      </c>
      <c r="I811" s="1776">
        <f t="shared" si="110"/>
        <v>7.36</v>
      </c>
      <c r="J811" s="1768"/>
    </row>
    <row r="812" spans="1:10">
      <c r="A812" s="1770"/>
      <c r="B812" s="1771"/>
      <c r="C812" s="1771">
        <v>34357</v>
      </c>
      <c r="D812" s="1772" t="s">
        <v>1430</v>
      </c>
      <c r="E812" s="1773" t="s">
        <v>100</v>
      </c>
      <c r="F812" s="1779">
        <v>0.66</v>
      </c>
      <c r="G812" s="1779">
        <v>5.87</v>
      </c>
      <c r="H812" s="1775">
        <f>IF(E812="H",G812,TRUNC(G812*(1-$K$7),2))</f>
        <v>5.83</v>
      </c>
      <c r="I812" s="1776">
        <f t="shared" si="110"/>
        <v>3.84</v>
      </c>
      <c r="J812" s="1768"/>
    </row>
    <row r="813" spans="1:10">
      <c r="A813" s="1917" t="s">
        <v>2408</v>
      </c>
      <c r="B813" s="1918"/>
      <c r="C813" s="1918"/>
      <c r="D813" s="1918"/>
      <c r="E813" s="1918"/>
      <c r="F813" s="1918"/>
      <c r="G813" s="1918"/>
      <c r="H813" s="1919"/>
      <c r="I813" s="1778">
        <f>SUM(I808:I812)</f>
        <v>189.26000000000002</v>
      </c>
      <c r="J813" s="1768"/>
    </row>
    <row r="814" spans="1:10">
      <c r="A814" s="1920"/>
      <c r="B814" s="1921"/>
      <c r="C814" s="1921"/>
      <c r="D814" s="1921"/>
      <c r="E814" s="1921"/>
      <c r="F814" s="1921"/>
      <c r="G814" s="1921"/>
      <c r="H814" s="1921"/>
      <c r="I814" s="1922"/>
      <c r="J814" s="1768"/>
    </row>
    <row r="815" spans="1:10" ht="37.5" customHeight="1">
      <c r="A815" s="1757">
        <f>'PLANILHA SEM DESON'!B121</f>
        <v>89173</v>
      </c>
      <c r="B815" s="1923" t="str">
        <f>VLOOKUP(A815,'PLANILHA SEM DESON'!$B$17:$D$1699,2,FALSE)</f>
        <v>(COMPOSIÇÃO REPRESENTATIVA) DO SERVIÇO DE EMBOÇO/MASSA ÚNICA, APLICADO MANUALMENTE, TRAÇO 1:2:8, EM BETONEIRA DE 400L, PAREDES INTERNAS, COM EXECUÇÃO DE TALISCAS, EDIFICAÇÃO HABITACIONAL UNIFAMILIAR (CASAS) E EDIFICAÇÃO PÚBLICA PADRÃO. AF_12/2014</v>
      </c>
      <c r="C815" s="1924"/>
      <c r="D815" s="1924"/>
      <c r="E815" s="1924"/>
      <c r="F815" s="1924"/>
      <c r="G815" s="1924"/>
      <c r="H815" s="1925"/>
      <c r="I815" s="1758" t="str">
        <f>VLOOKUP(A815,'PLANILHA SEM DESON'!$B$17:$D$1699,3,FALSE)</f>
        <v>m²</v>
      </c>
      <c r="J815" s="1759">
        <f>I820</f>
        <v>36.56</v>
      </c>
    </row>
    <row r="816" spans="1:10" ht="24">
      <c r="A816" s="1761" t="s">
        <v>2401</v>
      </c>
      <c r="B816" s="1762" t="s">
        <v>2402</v>
      </c>
      <c r="C816" s="1763" t="s">
        <v>2399</v>
      </c>
      <c r="D816" s="1764" t="s">
        <v>284</v>
      </c>
      <c r="E816" s="1763" t="s">
        <v>193</v>
      </c>
      <c r="F816" s="1765" t="s">
        <v>2403</v>
      </c>
      <c r="G816" s="1763" t="s">
        <v>2404</v>
      </c>
      <c r="H816" s="1766" t="s">
        <v>2405</v>
      </c>
      <c r="I816" s="1767" t="s">
        <v>2406</v>
      </c>
      <c r="J816" s="1768"/>
    </row>
    <row r="817" spans="1:10" ht="72">
      <c r="A817" s="1770" t="s">
        <v>2407</v>
      </c>
      <c r="B817" s="1771" t="s">
        <v>7</v>
      </c>
      <c r="C817" s="1771">
        <v>87527</v>
      </c>
      <c r="D817" s="1772" t="s">
        <v>2595</v>
      </c>
      <c r="E817" s="1773" t="s">
        <v>1137</v>
      </c>
      <c r="F817" s="1780">
        <v>0.11210000000000001</v>
      </c>
      <c r="G817" s="1774">
        <v>40.090000000000003</v>
      </c>
      <c r="H817" s="1775">
        <f>IF(E817="H",G817,TRUNC(G817*(1-$K$7),2))</f>
        <v>39.840000000000003</v>
      </c>
      <c r="I817" s="1776">
        <f t="shared" ref="I817:I819" si="111">TRUNC(H817*F817,2)</f>
        <v>4.46</v>
      </c>
      <c r="J817" s="1768"/>
    </row>
    <row r="818" spans="1:10" ht="60">
      <c r="A818" s="1770" t="s">
        <v>2407</v>
      </c>
      <c r="B818" s="1771" t="s">
        <v>7</v>
      </c>
      <c r="C818" s="1771">
        <v>87529</v>
      </c>
      <c r="D818" s="1772" t="s">
        <v>2596</v>
      </c>
      <c r="E818" s="1773" t="s">
        <v>1137</v>
      </c>
      <c r="F818" s="1780">
        <v>0.7339</v>
      </c>
      <c r="G818" s="1774">
        <v>36.6</v>
      </c>
      <c r="H818" s="1775">
        <f>IF(E818="H",G818,TRUNC(G818*(1-$K$7),2))</f>
        <v>36.380000000000003</v>
      </c>
      <c r="I818" s="1776">
        <f t="shared" si="111"/>
        <v>26.69</v>
      </c>
      <c r="J818" s="1768"/>
    </row>
    <row r="819" spans="1:10" ht="72">
      <c r="A819" s="1770" t="s">
        <v>2407</v>
      </c>
      <c r="B819" s="1771" t="s">
        <v>7</v>
      </c>
      <c r="C819" s="1771">
        <v>87531</v>
      </c>
      <c r="D819" s="1772" t="s">
        <v>1454</v>
      </c>
      <c r="E819" s="1773" t="s">
        <v>1137</v>
      </c>
      <c r="F819" s="1780">
        <v>0.154</v>
      </c>
      <c r="G819" s="1774">
        <v>35.369999999999997</v>
      </c>
      <c r="H819" s="1775">
        <f>IF(E819="H",G819,TRUNC(G819*(1-$K$7),2))</f>
        <v>35.15</v>
      </c>
      <c r="I819" s="1776">
        <f t="shared" si="111"/>
        <v>5.41</v>
      </c>
      <c r="J819" s="1768"/>
    </row>
    <row r="820" spans="1:10">
      <c r="A820" s="1917" t="s">
        <v>2408</v>
      </c>
      <c r="B820" s="1918"/>
      <c r="C820" s="1918"/>
      <c r="D820" s="1918"/>
      <c r="E820" s="1918"/>
      <c r="F820" s="1918"/>
      <c r="G820" s="1918"/>
      <c r="H820" s="1919"/>
      <c r="I820" s="1778">
        <f>SUM(I817:I819)</f>
        <v>36.56</v>
      </c>
      <c r="J820" s="1768"/>
    </row>
    <row r="821" spans="1:10">
      <c r="A821" s="1920"/>
      <c r="B821" s="1921"/>
      <c r="C821" s="1921"/>
      <c r="D821" s="1921"/>
      <c r="E821" s="1921"/>
      <c r="F821" s="1921"/>
      <c r="G821" s="1921"/>
      <c r="H821" s="1921"/>
      <c r="I821" s="1922"/>
      <c r="J821" s="1768"/>
    </row>
    <row r="822" spans="1:10" ht="40.5" customHeight="1">
      <c r="A822" s="1757">
        <f>'PLANILHA SEM DESON'!B122</f>
        <v>90406</v>
      </c>
      <c r="B822" s="1923" t="str">
        <f>VLOOKUP(A822,'PLANILHA SEM DESON'!$B$17:$D$1699,2,FALSE)</f>
        <v>MASSA ÚNICA, PARA RECEBIMENTO DE PINTURA, EM ARGAMASSA TRAÇO 1:2:8, PREPARO MECÂNICO COM BETONEIRA 400L, APLICADA MANUALMENTE EM TETO, ESPESSURA DE 20MM, COM EXECUÇÃO DE TALISCAS. AF_03/2015</v>
      </c>
      <c r="C822" s="1924"/>
      <c r="D822" s="1924"/>
      <c r="E822" s="1924"/>
      <c r="F822" s="1924"/>
      <c r="G822" s="1924"/>
      <c r="H822" s="1925"/>
      <c r="I822" s="1758" t="str">
        <f>VLOOKUP(A822,'PLANILHA SEM DESON'!$B$17:$D$1699,3,FALSE)</f>
        <v>m²</v>
      </c>
      <c r="J822" s="1759">
        <f>I827</f>
        <v>46.64</v>
      </c>
    </row>
    <row r="823" spans="1:10" ht="24">
      <c r="A823" s="1761" t="s">
        <v>2401</v>
      </c>
      <c r="B823" s="1762" t="s">
        <v>2402</v>
      </c>
      <c r="C823" s="1763" t="s">
        <v>2399</v>
      </c>
      <c r="D823" s="1764" t="s">
        <v>284</v>
      </c>
      <c r="E823" s="1763" t="s">
        <v>193</v>
      </c>
      <c r="F823" s="1765" t="s">
        <v>2403</v>
      </c>
      <c r="G823" s="1763" t="s">
        <v>2404</v>
      </c>
      <c r="H823" s="1766" t="s">
        <v>2405</v>
      </c>
      <c r="I823" s="1767" t="s">
        <v>2406</v>
      </c>
      <c r="J823" s="1768"/>
    </row>
    <row r="824" spans="1:10" ht="60">
      <c r="A824" s="1770" t="s">
        <v>2407</v>
      </c>
      <c r="B824" s="1771" t="s">
        <v>7</v>
      </c>
      <c r="C824" s="1771">
        <v>87292</v>
      </c>
      <c r="D824" s="1772" t="s">
        <v>2579</v>
      </c>
      <c r="E824" s="1773" t="s">
        <v>1132</v>
      </c>
      <c r="F824" s="1780">
        <v>3.7600000000000001E-2</v>
      </c>
      <c r="G824" s="1774">
        <v>578.16</v>
      </c>
      <c r="H824" s="1775">
        <f>IF(E824="H",G824,TRUNC(G824*(1-$K$7),2))</f>
        <v>574.69000000000005</v>
      </c>
      <c r="I824" s="1776">
        <f t="shared" ref="I824:I826" si="112">TRUNC(H824*F824,2)</f>
        <v>21.6</v>
      </c>
      <c r="J824" s="1768"/>
    </row>
    <row r="825" spans="1:10">
      <c r="A825" s="1770" t="s">
        <v>2407</v>
      </c>
      <c r="B825" s="1771" t="s">
        <v>7</v>
      </c>
      <c r="C825" s="1771">
        <v>88309</v>
      </c>
      <c r="D825" s="1772" t="s">
        <v>103</v>
      </c>
      <c r="E825" s="1773" t="s">
        <v>387</v>
      </c>
      <c r="F825" s="1780">
        <v>0.79</v>
      </c>
      <c r="G825" s="1774">
        <v>24.59</v>
      </c>
      <c r="H825" s="1775">
        <f>IF(E825="H",G825,TRUNC(G825*(1-$K$7),2))</f>
        <v>24.59</v>
      </c>
      <c r="I825" s="1776">
        <f t="shared" si="112"/>
        <v>19.420000000000002</v>
      </c>
      <c r="J825" s="1768"/>
    </row>
    <row r="826" spans="1:10">
      <c r="A826" s="1770" t="s">
        <v>2407</v>
      </c>
      <c r="B826" s="1771" t="s">
        <v>7</v>
      </c>
      <c r="C826" s="1771">
        <v>88316</v>
      </c>
      <c r="D826" s="1772" t="s">
        <v>66</v>
      </c>
      <c r="E826" s="1773" t="s">
        <v>387</v>
      </c>
      <c r="F826" s="1780">
        <v>0.28899999999999998</v>
      </c>
      <c r="G826" s="1774">
        <v>19.45</v>
      </c>
      <c r="H826" s="1775">
        <f>IF(E826="H",G826,TRUNC(G826*(1-$K$7),2))</f>
        <v>19.45</v>
      </c>
      <c r="I826" s="1776">
        <f t="shared" si="112"/>
        <v>5.62</v>
      </c>
      <c r="J826" s="1768"/>
    </row>
    <row r="827" spans="1:10">
      <c r="A827" s="1917" t="s">
        <v>2408</v>
      </c>
      <c r="B827" s="1918"/>
      <c r="C827" s="1918"/>
      <c r="D827" s="1918"/>
      <c r="E827" s="1918"/>
      <c r="F827" s="1918"/>
      <c r="G827" s="1918"/>
      <c r="H827" s="1919"/>
      <c r="I827" s="1778">
        <f>SUM(I824:I826)</f>
        <v>46.64</v>
      </c>
      <c r="J827" s="1768"/>
    </row>
    <row r="828" spans="1:10">
      <c r="A828" s="1920"/>
      <c r="B828" s="1921"/>
      <c r="C828" s="1921"/>
      <c r="D828" s="1921"/>
      <c r="E828" s="1921"/>
      <c r="F828" s="1921"/>
      <c r="G828" s="1921"/>
      <c r="H828" s="1921"/>
      <c r="I828" s="1922"/>
      <c r="J828" s="1768"/>
    </row>
    <row r="829" spans="1:10" ht="25.5" customHeight="1">
      <c r="A829" s="1757" t="str">
        <f>'PLANILHA SEM DESON'!B123</f>
        <v>COMP 20</v>
      </c>
      <c r="B829" s="1923" t="str">
        <f>VLOOKUP(A829,'PLANILHA SEM DESON'!$B$17:$D$1699,2,FALSE)</f>
        <v>REVESTIMENTO CERÂMICO PARA PAREDES INTERNAS COM PLACAS TIPO ESMALTADA EXTRA DE DIMENSÕES 30X60 CM APLICADAS EM AMBIENTES DE ÁREA MAIOR QUE 5 M² A MEIA ALTURA DAS PAREDES</v>
      </c>
      <c r="C829" s="1924"/>
      <c r="D829" s="1924"/>
      <c r="E829" s="1924"/>
      <c r="F829" s="1924"/>
      <c r="G829" s="1924"/>
      <c r="H829" s="1925"/>
      <c r="I829" s="1758" t="str">
        <f>VLOOKUP(A829,'PLANILHA SEM DESON'!$B$17:$D$1699,3,FALSE)</f>
        <v>m²</v>
      </c>
      <c r="J829" s="1759">
        <f>I836</f>
        <v>76.38</v>
      </c>
    </row>
    <row r="830" spans="1:10" ht="24">
      <c r="A830" s="1761" t="s">
        <v>2401</v>
      </c>
      <c r="B830" s="1762" t="s">
        <v>2402</v>
      </c>
      <c r="C830" s="1763" t="s">
        <v>2399</v>
      </c>
      <c r="D830" s="1764" t="s">
        <v>284</v>
      </c>
      <c r="E830" s="1763" t="s">
        <v>193</v>
      </c>
      <c r="F830" s="1765" t="s">
        <v>2403</v>
      </c>
      <c r="G830" s="1763" t="s">
        <v>2404</v>
      </c>
      <c r="H830" s="1766" t="s">
        <v>2405</v>
      </c>
      <c r="I830" s="1767" t="s">
        <v>2406</v>
      </c>
      <c r="J830" s="1768"/>
    </row>
    <row r="831" spans="1:10" ht="24">
      <c r="A831" s="1770"/>
      <c r="B831" s="1771"/>
      <c r="C831" s="1771">
        <v>88256</v>
      </c>
      <c r="D831" s="1772" t="s">
        <v>1429</v>
      </c>
      <c r="E831" s="1773" t="s">
        <v>57</v>
      </c>
      <c r="F831" s="1782">
        <v>0.91</v>
      </c>
      <c r="G831" s="1779">
        <v>24.49</v>
      </c>
      <c r="H831" s="1775">
        <f>IF(E831="H",G831,TRUNC(G831*(1-$K$7),2))</f>
        <v>24.49</v>
      </c>
      <c r="I831" s="1776">
        <f t="shared" ref="I831:I835" si="113">TRUNC(H831*F831,2)</f>
        <v>22.28</v>
      </c>
      <c r="J831" s="1768"/>
    </row>
    <row r="832" spans="1:10">
      <c r="A832" s="1770"/>
      <c r="B832" s="1771"/>
      <c r="C832" s="1771">
        <v>88316</v>
      </c>
      <c r="D832" s="1772" t="s">
        <v>66</v>
      </c>
      <c r="E832" s="1773" t="s">
        <v>57</v>
      </c>
      <c r="F832" s="1782">
        <v>0.46</v>
      </c>
      <c r="G832" s="1781">
        <v>19.45</v>
      </c>
      <c r="H832" s="1775">
        <f>IF(E832="H",G832,TRUNC(G832*(1-$K$7),2))</f>
        <v>19.45</v>
      </c>
      <c r="I832" s="1776">
        <f t="shared" si="113"/>
        <v>8.94</v>
      </c>
      <c r="J832" s="1768"/>
    </row>
    <row r="833" spans="1:10" ht="36">
      <c r="A833" s="1770"/>
      <c r="B833" s="1771"/>
      <c r="C833" s="1771">
        <v>536</v>
      </c>
      <c r="D833" s="1772" t="s">
        <v>1457</v>
      </c>
      <c r="E833" s="1773" t="s">
        <v>46</v>
      </c>
      <c r="F833" s="1779">
        <v>1.0900000000000001</v>
      </c>
      <c r="G833" s="1779">
        <v>34.9</v>
      </c>
      <c r="H833" s="1775">
        <f>IF(E833="H",G833,TRUNC(G833*(1-$K$7),2))</f>
        <v>34.69</v>
      </c>
      <c r="I833" s="1776">
        <f t="shared" si="113"/>
        <v>37.81</v>
      </c>
      <c r="J833" s="1768"/>
    </row>
    <row r="834" spans="1:10">
      <c r="A834" s="1770"/>
      <c r="B834" s="1771"/>
      <c r="C834" s="1771">
        <v>1381</v>
      </c>
      <c r="D834" s="1772" t="s">
        <v>1458</v>
      </c>
      <c r="E834" s="1773" t="s">
        <v>100</v>
      </c>
      <c r="F834" s="1779">
        <v>6.14</v>
      </c>
      <c r="G834" s="1779">
        <v>1</v>
      </c>
      <c r="H834" s="1775">
        <f>IF(E834="H",G834,TRUNC(G834*(1-$K$7),2))</f>
        <v>0.99</v>
      </c>
      <c r="I834" s="1776">
        <f t="shared" si="113"/>
        <v>6.07</v>
      </c>
      <c r="J834" s="1768"/>
    </row>
    <row r="835" spans="1:10">
      <c r="A835" s="1770"/>
      <c r="B835" s="1771"/>
      <c r="C835" s="1771">
        <v>34357</v>
      </c>
      <c r="D835" s="1772" t="s">
        <v>1430</v>
      </c>
      <c r="E835" s="1773" t="s">
        <v>100</v>
      </c>
      <c r="F835" s="1779">
        <v>0.22</v>
      </c>
      <c r="G835" s="1779">
        <v>5.87</v>
      </c>
      <c r="H835" s="1775">
        <f>IF(E835="H",G835,TRUNC(G835*(1-$K$7),2))</f>
        <v>5.83</v>
      </c>
      <c r="I835" s="1776">
        <f t="shared" si="113"/>
        <v>1.28</v>
      </c>
      <c r="J835" s="1768"/>
    </row>
    <row r="836" spans="1:10">
      <c r="A836" s="1917" t="s">
        <v>2408</v>
      </c>
      <c r="B836" s="1918"/>
      <c r="C836" s="1918"/>
      <c r="D836" s="1918"/>
      <c r="E836" s="1918"/>
      <c r="F836" s="1918"/>
      <c r="G836" s="1918"/>
      <c r="H836" s="1919"/>
      <c r="I836" s="1778">
        <f>SUM(I831:I835)</f>
        <v>76.38</v>
      </c>
      <c r="J836" s="1768"/>
    </row>
    <row r="837" spans="1:10">
      <c r="A837" s="1920"/>
      <c r="B837" s="1921"/>
      <c r="C837" s="1921"/>
      <c r="D837" s="1921"/>
      <c r="E837" s="1921"/>
      <c r="F837" s="1921"/>
      <c r="G837" s="1921"/>
      <c r="H837" s="1921"/>
      <c r="I837" s="1922"/>
      <c r="J837" s="1768"/>
    </row>
    <row r="838" spans="1:10" ht="24" customHeight="1">
      <c r="A838" s="1757" t="str">
        <f>'PLANILHA SEM DESON'!B124</f>
        <v>COMP 21</v>
      </c>
      <c r="B838" s="1923" t="str">
        <f>VLOOKUP(A838,'PLANILHA SEM DESON'!$B$17:$D$1699,2,FALSE)</f>
        <v>REVESTIMENTO CERÂMICO PARA PAREDES INTERNAS COM PLACAS TIPO ESMALTADA EXTRA DE DIMENSÕES 30X60 CM APLICADAS EM AMBIENTES DE ÁREA MENOR QUE 5 M² A MEIA ALTURA DAS PAREDES</v>
      </c>
      <c r="C838" s="1924"/>
      <c r="D838" s="1924"/>
      <c r="E838" s="1924"/>
      <c r="F838" s="1924"/>
      <c r="G838" s="1924"/>
      <c r="H838" s="1925"/>
      <c r="I838" s="1758" t="str">
        <f>VLOOKUP(A838,'PLANILHA SEM DESON'!$B$17:$D$1699,3,FALSE)</f>
        <v>m²</v>
      </c>
      <c r="J838" s="1759">
        <f>I845</f>
        <v>79.849999999999994</v>
      </c>
    </row>
    <row r="839" spans="1:10" ht="24">
      <c r="A839" s="1761" t="s">
        <v>2401</v>
      </c>
      <c r="B839" s="1762" t="s">
        <v>2402</v>
      </c>
      <c r="C839" s="1763" t="s">
        <v>2399</v>
      </c>
      <c r="D839" s="1764" t="s">
        <v>284</v>
      </c>
      <c r="E839" s="1763" t="s">
        <v>193</v>
      </c>
      <c r="F839" s="1765" t="s">
        <v>2403</v>
      </c>
      <c r="G839" s="1763" t="s">
        <v>2404</v>
      </c>
      <c r="H839" s="1766" t="s">
        <v>2405</v>
      </c>
      <c r="I839" s="1767" t="s">
        <v>2406</v>
      </c>
      <c r="J839" s="1768"/>
    </row>
    <row r="840" spans="1:10" ht="24">
      <c r="A840" s="1770"/>
      <c r="B840" s="1771"/>
      <c r="C840" s="1771">
        <v>88256</v>
      </c>
      <c r="D840" s="1772" t="s">
        <v>1429</v>
      </c>
      <c r="E840" s="1773" t="s">
        <v>57</v>
      </c>
      <c r="F840" s="1782">
        <v>1.02</v>
      </c>
      <c r="G840" s="1779">
        <v>24.49</v>
      </c>
      <c r="H840" s="1775">
        <f>IF(E840="H",G840,TRUNC(G840*(1-$K$7),2))</f>
        <v>24.49</v>
      </c>
      <c r="I840" s="1776">
        <f t="shared" ref="I840:I844" si="114">TRUNC(H840*F840,2)</f>
        <v>24.97</v>
      </c>
      <c r="J840" s="1768"/>
    </row>
    <row r="841" spans="1:10">
      <c r="A841" s="1770"/>
      <c r="B841" s="1771"/>
      <c r="C841" s="1771">
        <v>88316</v>
      </c>
      <c r="D841" s="1772" t="s">
        <v>66</v>
      </c>
      <c r="E841" s="1773" t="s">
        <v>57</v>
      </c>
      <c r="F841" s="1782">
        <v>0.5</v>
      </c>
      <c r="G841" s="1781">
        <v>19.45</v>
      </c>
      <c r="H841" s="1775">
        <f>IF(E841="H",G841,TRUNC(G841*(1-$K$7),2))</f>
        <v>19.45</v>
      </c>
      <c r="I841" s="1776">
        <f t="shared" si="114"/>
        <v>9.7200000000000006</v>
      </c>
      <c r="J841" s="1768"/>
    </row>
    <row r="842" spans="1:10" ht="36">
      <c r="A842" s="1770"/>
      <c r="B842" s="1771"/>
      <c r="C842" s="1771">
        <v>536</v>
      </c>
      <c r="D842" s="1772" t="s">
        <v>1457</v>
      </c>
      <c r="E842" s="1773" t="s">
        <v>46</v>
      </c>
      <c r="F842" s="1779">
        <v>1.0900000000000001</v>
      </c>
      <c r="G842" s="1779">
        <v>34.9</v>
      </c>
      <c r="H842" s="1775">
        <f>IF(E842="H",G842,TRUNC(G842*(1-$K$7),2))</f>
        <v>34.69</v>
      </c>
      <c r="I842" s="1776">
        <f t="shared" si="114"/>
        <v>37.81</v>
      </c>
      <c r="J842" s="1768"/>
    </row>
    <row r="843" spans="1:10">
      <c r="A843" s="1770"/>
      <c r="B843" s="1771"/>
      <c r="C843" s="1771">
        <v>1381</v>
      </c>
      <c r="D843" s="1772" t="s">
        <v>1458</v>
      </c>
      <c r="E843" s="1773" t="s">
        <v>100</v>
      </c>
      <c r="F843" s="1779">
        <v>6.14</v>
      </c>
      <c r="G843" s="1779">
        <v>1</v>
      </c>
      <c r="H843" s="1775">
        <f>IF(E843="H",G843,TRUNC(G843*(1-$K$7),2))</f>
        <v>0.99</v>
      </c>
      <c r="I843" s="1776">
        <f t="shared" si="114"/>
        <v>6.07</v>
      </c>
      <c r="J843" s="1768"/>
    </row>
    <row r="844" spans="1:10">
      <c r="A844" s="1770"/>
      <c r="B844" s="1771"/>
      <c r="C844" s="1771">
        <v>34357</v>
      </c>
      <c r="D844" s="1772" t="s">
        <v>1430</v>
      </c>
      <c r="E844" s="1773" t="s">
        <v>100</v>
      </c>
      <c r="F844" s="1779">
        <v>0.22</v>
      </c>
      <c r="G844" s="1779">
        <v>5.87</v>
      </c>
      <c r="H844" s="1775">
        <f>IF(E844="H",G844,TRUNC(G844*(1-$K$7),2))</f>
        <v>5.83</v>
      </c>
      <c r="I844" s="1776">
        <f t="shared" si="114"/>
        <v>1.28</v>
      </c>
      <c r="J844" s="1768"/>
    </row>
    <row r="845" spans="1:10">
      <c r="A845" s="1917" t="s">
        <v>2408</v>
      </c>
      <c r="B845" s="1918"/>
      <c r="C845" s="1918"/>
      <c r="D845" s="1918"/>
      <c r="E845" s="1918"/>
      <c r="F845" s="1918"/>
      <c r="G845" s="1918"/>
      <c r="H845" s="1919"/>
      <c r="I845" s="1778">
        <f>SUM(I840:I844)</f>
        <v>79.849999999999994</v>
      </c>
      <c r="J845" s="1768"/>
    </row>
    <row r="846" spans="1:10">
      <c r="A846" s="1920"/>
      <c r="B846" s="1921"/>
      <c r="C846" s="1921"/>
      <c r="D846" s="1921"/>
      <c r="E846" s="1921"/>
      <c r="F846" s="1921"/>
      <c r="G846" s="1921"/>
      <c r="H846" s="1921"/>
      <c r="I846" s="1922"/>
      <c r="J846" s="1768"/>
    </row>
    <row r="847" spans="1:10">
      <c r="A847" s="1757" t="str">
        <f>'PLANILHA SEM DESON'!B128</f>
        <v>COMP 07</v>
      </c>
      <c r="B847" s="1923" t="str">
        <f>VLOOKUP(A847,'PLANILHA SEM DESON'!$B$17:$D$1699,2,FALSE)</f>
        <v>PORTA DE MADEIRA 1,00 X 2,10 M; COM SUPORTE PARA PCD</v>
      </c>
      <c r="C847" s="1924"/>
      <c r="D847" s="1924"/>
      <c r="E847" s="1924"/>
      <c r="F847" s="1924"/>
      <c r="G847" s="1924"/>
      <c r="H847" s="1925"/>
      <c r="I847" s="1758" t="str">
        <f>VLOOKUP(A847,'PLANILHA SEM DESON'!$B$17:$D$1699,3,FALSE)</f>
        <v xml:space="preserve">un </v>
      </c>
      <c r="J847" s="1759">
        <f>I851</f>
        <v>2217.0500000000002</v>
      </c>
    </row>
    <row r="848" spans="1:10" ht="24">
      <c r="A848" s="1761" t="s">
        <v>2401</v>
      </c>
      <c r="B848" s="1762" t="s">
        <v>2402</v>
      </c>
      <c r="C848" s="1763" t="s">
        <v>2399</v>
      </c>
      <c r="D848" s="1764" t="s">
        <v>284</v>
      </c>
      <c r="E848" s="1763" t="s">
        <v>193</v>
      </c>
      <c r="F848" s="1765" t="s">
        <v>2403</v>
      </c>
      <c r="G848" s="1763" t="s">
        <v>2404</v>
      </c>
      <c r="H848" s="1766" t="s">
        <v>2405</v>
      </c>
      <c r="I848" s="1767" t="s">
        <v>2406</v>
      </c>
      <c r="J848" s="1768"/>
    </row>
    <row r="849" spans="1:10" ht="24">
      <c r="A849" s="1770"/>
      <c r="B849" s="1771"/>
      <c r="C849" s="1771" t="s">
        <v>65</v>
      </c>
      <c r="D849" s="1772" t="s">
        <v>1595</v>
      </c>
      <c r="E849" s="1773" t="s">
        <v>55</v>
      </c>
      <c r="F849" s="1782">
        <v>1</v>
      </c>
      <c r="G849" s="1781">
        <v>1820</v>
      </c>
      <c r="H849" s="1775">
        <f>IF(E849="H",G849,TRUNC(G849*(1-$K$7),2))</f>
        <v>1809.08</v>
      </c>
      <c r="I849" s="1776">
        <f t="shared" ref="I849:I850" si="115">TRUNC(H849*F849,2)</f>
        <v>1809.08</v>
      </c>
      <c r="J849" s="1768"/>
    </row>
    <row r="850" spans="1:10" ht="24">
      <c r="A850" s="1770"/>
      <c r="B850" s="1771"/>
      <c r="C850" s="1771" t="s">
        <v>527</v>
      </c>
      <c r="D850" s="1772" t="s">
        <v>528</v>
      </c>
      <c r="E850" s="1773" t="s">
        <v>55</v>
      </c>
      <c r="F850" s="1784">
        <v>1</v>
      </c>
      <c r="G850" s="1781">
        <v>410.44</v>
      </c>
      <c r="H850" s="1775">
        <f>IF(E850="H",G850,TRUNC(G850*(1-$K$7),2))</f>
        <v>407.97</v>
      </c>
      <c r="I850" s="1776">
        <f t="shared" si="115"/>
        <v>407.97</v>
      </c>
      <c r="J850" s="1768"/>
    </row>
    <row r="851" spans="1:10">
      <c r="A851" s="1917" t="s">
        <v>2408</v>
      </c>
      <c r="B851" s="1918"/>
      <c r="C851" s="1918"/>
      <c r="D851" s="1918"/>
      <c r="E851" s="1918"/>
      <c r="F851" s="1918"/>
      <c r="G851" s="1918"/>
      <c r="H851" s="1919"/>
      <c r="I851" s="1778">
        <f>SUM(I849:I850)</f>
        <v>2217.0500000000002</v>
      </c>
      <c r="J851" s="1768"/>
    </row>
    <row r="852" spans="1:10">
      <c r="A852" s="1920"/>
      <c r="B852" s="1921"/>
      <c r="C852" s="1921"/>
      <c r="D852" s="1921"/>
      <c r="E852" s="1921"/>
      <c r="F852" s="1921"/>
      <c r="G852" s="1921"/>
      <c r="H852" s="1921"/>
      <c r="I852" s="1922"/>
      <c r="J852" s="1768"/>
    </row>
    <row r="853" spans="1:10" ht="41.25" customHeight="1">
      <c r="A853" s="1757">
        <f>'PLANILHA SEM DESON'!B129</f>
        <v>90845</v>
      </c>
      <c r="B853" s="1923" t="str">
        <f>VLOOKUP(A853,'PLANILHA SEM DESON'!$B$17:$D$1699,2,FALSE)</f>
        <v>KIT DE PORTA DE MADEIRA PARA PINTURA, SEMI-OCA (PESADA OU SUPERPESADA), PADRÃO MÉDIO, 80X210CM, ESPESSURA DE 3,5CM, ITENS INCLUSOS: DOBRADIÇAS, MONTAGEM E INSTALAÇÃO DO BATENTE, FECHADURA COM EXECUÇÃO DO FURO - FORNECIMENTO E INSTALAÇÃO. AF_12/2019</v>
      </c>
      <c r="C853" s="1924"/>
      <c r="D853" s="1924"/>
      <c r="E853" s="1924"/>
      <c r="F853" s="1924"/>
      <c r="G853" s="1924"/>
      <c r="H853" s="1925"/>
      <c r="I853" s="1758" t="str">
        <f>VLOOKUP(A853,'PLANILHA SEM DESON'!$B$17:$D$1699,3,FALSE)</f>
        <v xml:space="preserve">un </v>
      </c>
      <c r="J853" s="1759">
        <f>I859</f>
        <v>1371.16</v>
      </c>
    </row>
    <row r="854" spans="1:10" ht="24">
      <c r="A854" s="1761" t="s">
        <v>2401</v>
      </c>
      <c r="B854" s="1762" t="s">
        <v>2402</v>
      </c>
      <c r="C854" s="1763" t="s">
        <v>2399</v>
      </c>
      <c r="D854" s="1764" t="s">
        <v>284</v>
      </c>
      <c r="E854" s="1763" t="s">
        <v>193</v>
      </c>
      <c r="F854" s="1765" t="s">
        <v>2403</v>
      </c>
      <c r="G854" s="1763" t="s">
        <v>2404</v>
      </c>
      <c r="H854" s="1766" t="s">
        <v>2405</v>
      </c>
      <c r="I854" s="1767" t="s">
        <v>2406</v>
      </c>
      <c r="J854" s="1768"/>
    </row>
    <row r="855" spans="1:10" ht="36">
      <c r="A855" s="1770" t="s">
        <v>2407</v>
      </c>
      <c r="B855" s="1771" t="s">
        <v>7</v>
      </c>
      <c r="C855" s="1771">
        <v>90806</v>
      </c>
      <c r="D855" s="1772" t="s">
        <v>2597</v>
      </c>
      <c r="E855" s="1773" t="s">
        <v>2432</v>
      </c>
      <c r="F855" s="1780">
        <v>1</v>
      </c>
      <c r="G855" s="1774">
        <v>378.77</v>
      </c>
      <c r="H855" s="1775">
        <f>IF(E855="H",G855,TRUNC(G855*(1-$K$7),2))</f>
        <v>376.49</v>
      </c>
      <c r="I855" s="1776">
        <f t="shared" ref="I855:I858" si="116">TRUNC(H855*F855,2)</f>
        <v>376.49</v>
      </c>
      <c r="J855" s="1768"/>
    </row>
    <row r="856" spans="1:10" ht="48">
      <c r="A856" s="1770" t="s">
        <v>2407</v>
      </c>
      <c r="B856" s="1771" t="s">
        <v>7</v>
      </c>
      <c r="C856" s="1771">
        <v>90824</v>
      </c>
      <c r="D856" s="1772" t="s">
        <v>2598</v>
      </c>
      <c r="E856" s="1773" t="s">
        <v>2432</v>
      </c>
      <c r="F856" s="1780">
        <v>1</v>
      </c>
      <c r="G856" s="1774">
        <v>701.97</v>
      </c>
      <c r="H856" s="1775">
        <f>IF(E856="H",G856,TRUNC(G856*(1-$K$7),2))</f>
        <v>697.75</v>
      </c>
      <c r="I856" s="1776">
        <f t="shared" si="116"/>
        <v>697.75</v>
      </c>
      <c r="J856" s="1768"/>
    </row>
    <row r="857" spans="1:10" ht="48">
      <c r="A857" s="1770" t="s">
        <v>2407</v>
      </c>
      <c r="B857" s="1771" t="s">
        <v>7</v>
      </c>
      <c r="C857" s="1771">
        <v>90830</v>
      </c>
      <c r="D857" s="1772" t="s">
        <v>2599</v>
      </c>
      <c r="E857" s="1773" t="s">
        <v>2432</v>
      </c>
      <c r="F857" s="1780">
        <v>1</v>
      </c>
      <c r="G857" s="1774">
        <v>191.07</v>
      </c>
      <c r="H857" s="1775">
        <f>IF(E857="H",G857,TRUNC(G857*(1-$K$7),2))</f>
        <v>189.92</v>
      </c>
      <c r="I857" s="1776">
        <f t="shared" si="116"/>
        <v>189.92</v>
      </c>
      <c r="J857" s="1768"/>
    </row>
    <row r="858" spans="1:10" ht="36">
      <c r="A858" s="1770" t="s">
        <v>2407</v>
      </c>
      <c r="B858" s="1771" t="s">
        <v>7</v>
      </c>
      <c r="C858" s="1771">
        <v>100659</v>
      </c>
      <c r="D858" s="1772" t="s">
        <v>2600</v>
      </c>
      <c r="E858" s="1773" t="s">
        <v>158</v>
      </c>
      <c r="F858" s="1780">
        <v>10</v>
      </c>
      <c r="G858" s="1774">
        <v>10.77</v>
      </c>
      <c r="H858" s="1775">
        <f>IF(E858="H",G858,TRUNC(G858*(1-$K$7),2))</f>
        <v>10.7</v>
      </c>
      <c r="I858" s="1776">
        <f t="shared" si="116"/>
        <v>107</v>
      </c>
      <c r="J858" s="1768"/>
    </row>
    <row r="859" spans="1:10">
      <c r="A859" s="1917" t="s">
        <v>2408</v>
      </c>
      <c r="B859" s="1918"/>
      <c r="C859" s="1918"/>
      <c r="D859" s="1918"/>
      <c r="E859" s="1918"/>
      <c r="F859" s="1918"/>
      <c r="G859" s="1918"/>
      <c r="H859" s="1919"/>
      <c r="I859" s="1778">
        <f>SUM(I855:I858)</f>
        <v>1371.16</v>
      </c>
      <c r="J859" s="1768"/>
    </row>
    <row r="860" spans="1:10">
      <c r="A860" s="1920"/>
      <c r="B860" s="1921"/>
      <c r="C860" s="1921"/>
      <c r="D860" s="1921"/>
      <c r="E860" s="1921"/>
      <c r="F860" s="1921"/>
      <c r="G860" s="1921"/>
      <c r="H860" s="1921"/>
      <c r="I860" s="1922"/>
      <c r="J860" s="1768"/>
    </row>
    <row r="861" spans="1:10" ht="24.75" customHeight="1">
      <c r="A861" s="1757" t="str">
        <f>'PLANILHA SEM DESON'!B130</f>
        <v>COMP 05</v>
      </c>
      <c r="B861" s="1923" t="str">
        <f>VLOOKUP(A861,'PLANILHA SEM DESON'!$B$17:$D$1699,2,FALSE)</f>
        <v xml:space="preserve">PORTA EM MADEIRA LISA COMUM, ENCABEÇADA DE CORRER COM TRILHO DE ALUMÍNIO - FORNECIMENTO E INSTALAÇÃO. </v>
      </c>
      <c r="C861" s="1924"/>
      <c r="D861" s="1924"/>
      <c r="E861" s="1924"/>
      <c r="F861" s="1924"/>
      <c r="G861" s="1924"/>
      <c r="H861" s="1925"/>
      <c r="I861" s="1758" t="str">
        <f>VLOOKUP(A861,'PLANILHA SEM DESON'!$B$17:$D$1699,3,FALSE)</f>
        <v xml:space="preserve">un </v>
      </c>
      <c r="J861" s="1759">
        <f>I864</f>
        <v>1749.44</v>
      </c>
    </row>
    <row r="862" spans="1:10" ht="24">
      <c r="A862" s="1761" t="s">
        <v>2401</v>
      </c>
      <c r="B862" s="1762" t="s">
        <v>2402</v>
      </c>
      <c r="C862" s="1763" t="s">
        <v>2399</v>
      </c>
      <c r="D862" s="1764" t="s">
        <v>284</v>
      </c>
      <c r="E862" s="1763" t="s">
        <v>193</v>
      </c>
      <c r="F862" s="1765" t="s">
        <v>2403</v>
      </c>
      <c r="G862" s="1763" t="s">
        <v>2404</v>
      </c>
      <c r="H862" s="1766" t="s">
        <v>2405</v>
      </c>
      <c r="I862" s="1767" t="s">
        <v>2406</v>
      </c>
      <c r="J862" s="1768"/>
    </row>
    <row r="863" spans="1:10" ht="24">
      <c r="A863" s="1770"/>
      <c r="B863" s="1771"/>
      <c r="C863" s="1771" t="s">
        <v>65</v>
      </c>
      <c r="D863" s="1772" t="s">
        <v>2162</v>
      </c>
      <c r="E863" s="1773" t="s">
        <v>55</v>
      </c>
      <c r="F863" s="1782">
        <v>1</v>
      </c>
      <c r="G863" s="1781">
        <v>1760</v>
      </c>
      <c r="H863" s="1775">
        <f>IF(E863="H",G863,TRUNC(G863*(1-$K$7),2))</f>
        <v>1749.44</v>
      </c>
      <c r="I863" s="1776">
        <f t="shared" ref="I863" si="117">TRUNC(H863*F863,2)</f>
        <v>1749.44</v>
      </c>
      <c r="J863" s="1768"/>
    </row>
    <row r="864" spans="1:10">
      <c r="A864" s="1917" t="s">
        <v>2408</v>
      </c>
      <c r="B864" s="1918"/>
      <c r="C864" s="1918"/>
      <c r="D864" s="1918"/>
      <c r="E864" s="1918"/>
      <c r="F864" s="1918"/>
      <c r="G864" s="1918"/>
      <c r="H864" s="1919"/>
      <c r="I864" s="1778">
        <f>SUM(I863:I863)</f>
        <v>1749.44</v>
      </c>
      <c r="J864" s="1768"/>
    </row>
    <row r="865" spans="1:10">
      <c r="A865" s="1920"/>
      <c r="B865" s="1921"/>
      <c r="C865" s="1921"/>
      <c r="D865" s="1921"/>
      <c r="E865" s="1921"/>
      <c r="F865" s="1921"/>
      <c r="G865" s="1921"/>
      <c r="H865" s="1921"/>
      <c r="I865" s="1922"/>
      <c r="J865" s="1768"/>
    </row>
    <row r="866" spans="1:10" ht="27.75" customHeight="1">
      <c r="A866" s="1757">
        <f>'PLANILHA SEM DESON'!B132</f>
        <v>101965</v>
      </c>
      <c r="B866" s="1923" t="str">
        <f>VLOOKUP(A866,'PLANILHA SEM DESON'!$B$17:$D$1699,2,FALSE)</f>
        <v>PEITORIL LINEAR EM GRANITO OU MÁRMORE, L = 15CM, COMPRIMENTO DE ATÉ 2M, ASSENTADO COM ARGAMASSA 1:6 COM ADITIVO. AF_11/2020</v>
      </c>
      <c r="C866" s="1924"/>
      <c r="D866" s="1924"/>
      <c r="E866" s="1924"/>
      <c r="F866" s="1924"/>
      <c r="G866" s="1924"/>
      <c r="H866" s="1925"/>
      <c r="I866" s="1758" t="str">
        <f>VLOOKUP(A866,'PLANILHA SEM DESON'!$B$17:$D$1699,3,FALSE)</f>
        <v>m</v>
      </c>
      <c r="J866" s="1759">
        <f>I874</f>
        <v>122.86000000000001</v>
      </c>
    </row>
    <row r="867" spans="1:10" ht="24">
      <c r="A867" s="1761" t="s">
        <v>2401</v>
      </c>
      <c r="B867" s="1762" t="s">
        <v>2402</v>
      </c>
      <c r="C867" s="1763" t="s">
        <v>2399</v>
      </c>
      <c r="D867" s="1764" t="s">
        <v>284</v>
      </c>
      <c r="E867" s="1763" t="s">
        <v>193</v>
      </c>
      <c r="F867" s="1765" t="s">
        <v>2403</v>
      </c>
      <c r="G867" s="1763" t="s">
        <v>2404</v>
      </c>
      <c r="H867" s="1766" t="s">
        <v>2405</v>
      </c>
      <c r="I867" s="1767" t="s">
        <v>2406</v>
      </c>
      <c r="J867" s="1768"/>
    </row>
    <row r="868" spans="1:10" ht="24">
      <c r="A868" s="1770" t="s">
        <v>2407</v>
      </c>
      <c r="B868" s="1771" t="s">
        <v>2410</v>
      </c>
      <c r="C868" s="1771">
        <v>34747</v>
      </c>
      <c r="D868" s="1772" t="s">
        <v>2601</v>
      </c>
      <c r="E868" s="1773" t="s">
        <v>158</v>
      </c>
      <c r="F868" s="1780">
        <v>1.04</v>
      </c>
      <c r="G868" s="1774">
        <v>94.46</v>
      </c>
      <c r="H868" s="1775">
        <f t="shared" ref="H868:H873" si="118">IF(E868="H",G868,TRUNC(G868*(1-$K$7),2))</f>
        <v>93.89</v>
      </c>
      <c r="I868" s="1776">
        <f t="shared" ref="I868:I873" si="119">TRUNC(H868*F868,2)</f>
        <v>97.64</v>
      </c>
      <c r="J868" s="1768"/>
    </row>
    <row r="869" spans="1:10" ht="60">
      <c r="A869" s="1770" t="s">
        <v>2407</v>
      </c>
      <c r="B869" s="1771" t="s">
        <v>7</v>
      </c>
      <c r="C869" s="1771">
        <v>87283</v>
      </c>
      <c r="D869" s="1772" t="s">
        <v>2602</v>
      </c>
      <c r="E869" s="1773" t="s">
        <v>1132</v>
      </c>
      <c r="F869" s="1780">
        <v>6.0000000000000001E-3</v>
      </c>
      <c r="G869" s="1774">
        <v>508.66</v>
      </c>
      <c r="H869" s="1775">
        <f t="shared" si="118"/>
        <v>505.6</v>
      </c>
      <c r="I869" s="1776">
        <f t="shared" si="119"/>
        <v>3.03</v>
      </c>
      <c r="J869" s="1768"/>
    </row>
    <row r="870" spans="1:10" ht="24">
      <c r="A870" s="1770" t="s">
        <v>2407</v>
      </c>
      <c r="B870" s="1771" t="s">
        <v>7</v>
      </c>
      <c r="C870" s="1771">
        <v>88274</v>
      </c>
      <c r="D870" s="1772" t="s">
        <v>2603</v>
      </c>
      <c r="E870" s="1773" t="s">
        <v>387</v>
      </c>
      <c r="F870" s="1780">
        <v>0.41899999999999998</v>
      </c>
      <c r="G870" s="1774">
        <v>24.49</v>
      </c>
      <c r="H870" s="1775">
        <f t="shared" si="118"/>
        <v>24.49</v>
      </c>
      <c r="I870" s="1776">
        <f t="shared" si="119"/>
        <v>10.26</v>
      </c>
      <c r="J870" s="1768"/>
    </row>
    <row r="871" spans="1:10">
      <c r="A871" s="1770" t="s">
        <v>2407</v>
      </c>
      <c r="B871" s="1771" t="s">
        <v>7</v>
      </c>
      <c r="C871" s="1771">
        <v>88316</v>
      </c>
      <c r="D871" s="1772" t="s">
        <v>66</v>
      </c>
      <c r="E871" s="1773" t="s">
        <v>387</v>
      </c>
      <c r="F871" s="1780">
        <v>0.20899999999999999</v>
      </c>
      <c r="G871" s="1774">
        <v>19.45</v>
      </c>
      <c r="H871" s="1775">
        <f t="shared" si="118"/>
        <v>19.45</v>
      </c>
      <c r="I871" s="1776">
        <f t="shared" si="119"/>
        <v>4.0599999999999996</v>
      </c>
      <c r="J871" s="1768"/>
    </row>
    <row r="872" spans="1:10" ht="36">
      <c r="A872" s="1770" t="s">
        <v>2407</v>
      </c>
      <c r="B872" s="1771" t="s">
        <v>7</v>
      </c>
      <c r="C872" s="1771">
        <v>91692</v>
      </c>
      <c r="D872" s="1772" t="s">
        <v>2424</v>
      </c>
      <c r="E872" s="1773" t="s">
        <v>425</v>
      </c>
      <c r="F872" s="1780">
        <v>2.1000000000000001E-2</v>
      </c>
      <c r="G872" s="1774">
        <v>20.41</v>
      </c>
      <c r="H872" s="1775">
        <f t="shared" si="118"/>
        <v>20.28</v>
      </c>
      <c r="I872" s="1776">
        <f t="shared" si="119"/>
        <v>0.42</v>
      </c>
      <c r="J872" s="1768"/>
    </row>
    <row r="873" spans="1:10" ht="36">
      <c r="A873" s="1770" t="s">
        <v>2407</v>
      </c>
      <c r="B873" s="1771" t="s">
        <v>7</v>
      </c>
      <c r="C873" s="1771">
        <v>91693</v>
      </c>
      <c r="D873" s="1772" t="s">
        <v>2425</v>
      </c>
      <c r="E873" s="1773" t="s">
        <v>545</v>
      </c>
      <c r="F873" s="1780">
        <v>0.39800000000000002</v>
      </c>
      <c r="G873" s="1774">
        <v>18.84</v>
      </c>
      <c r="H873" s="1775">
        <f t="shared" si="118"/>
        <v>18.72</v>
      </c>
      <c r="I873" s="1776">
        <f t="shared" si="119"/>
        <v>7.45</v>
      </c>
      <c r="J873" s="1768"/>
    </row>
    <row r="874" spans="1:10">
      <c r="A874" s="1917" t="s">
        <v>2408</v>
      </c>
      <c r="B874" s="1918"/>
      <c r="C874" s="1918"/>
      <c r="D874" s="1918"/>
      <c r="E874" s="1918"/>
      <c r="F874" s="1918"/>
      <c r="G874" s="1918"/>
      <c r="H874" s="1919"/>
      <c r="I874" s="1778">
        <f>SUM(I868:I873)</f>
        <v>122.86000000000001</v>
      </c>
      <c r="J874" s="1768"/>
    </row>
    <row r="875" spans="1:10">
      <c r="A875" s="1920"/>
      <c r="B875" s="1921"/>
      <c r="C875" s="1921"/>
      <c r="D875" s="1921"/>
      <c r="E875" s="1921"/>
      <c r="F875" s="1921"/>
      <c r="G875" s="1921"/>
      <c r="H875" s="1921"/>
      <c r="I875" s="1922"/>
      <c r="J875" s="1768"/>
    </row>
    <row r="876" spans="1:10">
      <c r="A876" s="1757">
        <f>'PLANILHA SEM DESON'!B133</f>
        <v>98689</v>
      </c>
      <c r="B876" s="1923" t="str">
        <f>VLOOKUP(A876,'PLANILHA SEM DESON'!$B$17:$D$1699,2,FALSE)</f>
        <v>SOLEIRA EM GRANITO, LARGURA 15 CM, ESPESSURA 2,0 CM. AF_09/2020</v>
      </c>
      <c r="C876" s="1924"/>
      <c r="D876" s="1924"/>
      <c r="E876" s="1924"/>
      <c r="F876" s="1924"/>
      <c r="G876" s="1924"/>
      <c r="H876" s="1925"/>
      <c r="I876" s="1758" t="str">
        <f>VLOOKUP(A876,'PLANILHA SEM DESON'!$B$17:$D$1699,3,FALSE)</f>
        <v>m</v>
      </c>
      <c r="J876" s="1759">
        <f>I882</f>
        <v>137.80000000000001</v>
      </c>
    </row>
    <row r="877" spans="1:10" ht="24">
      <c r="A877" s="1761" t="s">
        <v>2401</v>
      </c>
      <c r="B877" s="1762" t="s">
        <v>2402</v>
      </c>
      <c r="C877" s="1763" t="s">
        <v>2399</v>
      </c>
      <c r="D877" s="1764" t="s">
        <v>284</v>
      </c>
      <c r="E877" s="1763" t="s">
        <v>193</v>
      </c>
      <c r="F877" s="1765" t="s">
        <v>2403</v>
      </c>
      <c r="G877" s="1763" t="s">
        <v>2404</v>
      </c>
      <c r="H877" s="1766" t="s">
        <v>2405</v>
      </c>
      <c r="I877" s="1767" t="s">
        <v>2406</v>
      </c>
      <c r="J877" s="1768"/>
    </row>
    <row r="878" spans="1:10" ht="36">
      <c r="A878" s="1770" t="s">
        <v>2407</v>
      </c>
      <c r="B878" s="1771" t="s">
        <v>2410</v>
      </c>
      <c r="C878" s="1771">
        <v>20232</v>
      </c>
      <c r="D878" s="1772" t="s">
        <v>2604</v>
      </c>
      <c r="E878" s="1773" t="s">
        <v>158</v>
      </c>
      <c r="F878" s="1780">
        <v>1</v>
      </c>
      <c r="G878" s="1774">
        <v>115.88</v>
      </c>
      <c r="H878" s="1775">
        <f>IF(E878="H",G878,TRUNC(G878*(1-$K$7),2))</f>
        <v>115.18</v>
      </c>
      <c r="I878" s="1776">
        <f t="shared" ref="I878:I881" si="120">TRUNC(H878*F878,2)</f>
        <v>115.18</v>
      </c>
      <c r="J878" s="1768"/>
    </row>
    <row r="879" spans="1:10">
      <c r="A879" s="1770" t="s">
        <v>2407</v>
      </c>
      <c r="B879" s="1771" t="s">
        <v>2410</v>
      </c>
      <c r="C879" s="1771">
        <v>37595</v>
      </c>
      <c r="D879" s="1772" t="s">
        <v>536</v>
      </c>
      <c r="E879" s="1773" t="s">
        <v>1145</v>
      </c>
      <c r="F879" s="1780">
        <v>1.29</v>
      </c>
      <c r="G879" s="1774">
        <v>3.07</v>
      </c>
      <c r="H879" s="1775">
        <f>IF(E879="H",G879,TRUNC(G879*(1-$K$7),2))</f>
        <v>3.05</v>
      </c>
      <c r="I879" s="1776">
        <f t="shared" si="120"/>
        <v>3.93</v>
      </c>
      <c r="J879" s="1768"/>
    </row>
    <row r="880" spans="1:10" ht="24">
      <c r="A880" s="1770" t="s">
        <v>2407</v>
      </c>
      <c r="B880" s="1771" t="s">
        <v>7</v>
      </c>
      <c r="C880" s="1771">
        <v>88274</v>
      </c>
      <c r="D880" s="1772" t="s">
        <v>2603</v>
      </c>
      <c r="E880" s="1773" t="s">
        <v>387</v>
      </c>
      <c r="F880" s="1780">
        <v>0.54700000000000004</v>
      </c>
      <c r="G880" s="1774">
        <v>24.49</v>
      </c>
      <c r="H880" s="1775">
        <f>IF(E880="H",G880,TRUNC(G880*(1-$K$7),2))</f>
        <v>24.49</v>
      </c>
      <c r="I880" s="1776">
        <f t="shared" si="120"/>
        <v>13.39</v>
      </c>
      <c r="J880" s="1768"/>
    </row>
    <row r="881" spans="1:10">
      <c r="A881" s="1770" t="s">
        <v>2407</v>
      </c>
      <c r="B881" s="1771" t="s">
        <v>7</v>
      </c>
      <c r="C881" s="1771">
        <v>88316</v>
      </c>
      <c r="D881" s="1772" t="s">
        <v>66</v>
      </c>
      <c r="E881" s="1773" t="s">
        <v>387</v>
      </c>
      <c r="F881" s="1780">
        <v>0.27300000000000002</v>
      </c>
      <c r="G881" s="1774">
        <v>19.45</v>
      </c>
      <c r="H881" s="1775">
        <f>IF(E881="H",G881,TRUNC(G881*(1-$K$7),2))</f>
        <v>19.45</v>
      </c>
      <c r="I881" s="1776">
        <f t="shared" si="120"/>
        <v>5.3</v>
      </c>
      <c r="J881" s="1768"/>
    </row>
    <row r="882" spans="1:10">
      <c r="A882" s="1917" t="s">
        <v>2408</v>
      </c>
      <c r="B882" s="1918"/>
      <c r="C882" s="1918"/>
      <c r="D882" s="1918"/>
      <c r="E882" s="1918"/>
      <c r="F882" s="1918"/>
      <c r="G882" s="1918"/>
      <c r="H882" s="1919"/>
      <c r="I882" s="1778">
        <f>SUM(I878:I881)</f>
        <v>137.80000000000001</v>
      </c>
      <c r="J882" s="1768"/>
    </row>
    <row r="883" spans="1:10">
      <c r="A883" s="1920"/>
      <c r="B883" s="1921"/>
      <c r="C883" s="1921"/>
      <c r="D883" s="1921"/>
      <c r="E883" s="1921"/>
      <c r="F883" s="1921"/>
      <c r="G883" s="1921"/>
      <c r="H883" s="1921"/>
      <c r="I883" s="1922"/>
      <c r="J883" s="1768"/>
    </row>
    <row r="884" spans="1:10" ht="25.5" customHeight="1">
      <c r="A884" s="1757" t="str">
        <f>'PLANILHA SEM DESON'!B134</f>
        <v>COMP 04</v>
      </c>
      <c r="B884" s="1923" t="str">
        <f>VLOOKUP(A884,'PLANILHA SEM DESON'!$B$17:$D$1699,2,FALSE)</f>
        <v xml:space="preserve">PORTA EM ALUMÍNIO ANODIZADO DE ABRIR, 2 FOLHAS, PARA VIDRO COM GUARNIÇÃO, INCLUSIVE VIDROS - FORNECIMENTO E INSTALAÇÃO. </v>
      </c>
      <c r="C884" s="1924"/>
      <c r="D884" s="1924"/>
      <c r="E884" s="1924"/>
      <c r="F884" s="1924"/>
      <c r="G884" s="1924"/>
      <c r="H884" s="1925"/>
      <c r="I884" s="1758" t="str">
        <f>VLOOKUP(A884,'PLANILHA SEM DESON'!$B$17:$D$1699,3,FALSE)</f>
        <v xml:space="preserve">un </v>
      </c>
      <c r="J884" s="1759">
        <f>I890</f>
        <v>3908.56</v>
      </c>
    </row>
    <row r="885" spans="1:10" ht="24">
      <c r="A885" s="1761" t="s">
        <v>2401</v>
      </c>
      <c r="B885" s="1762" t="s">
        <v>2402</v>
      </c>
      <c r="C885" s="1763" t="s">
        <v>2399</v>
      </c>
      <c r="D885" s="1764" t="s">
        <v>284</v>
      </c>
      <c r="E885" s="1763" t="s">
        <v>193</v>
      </c>
      <c r="F885" s="1765" t="s">
        <v>2403</v>
      </c>
      <c r="G885" s="1763" t="s">
        <v>2404</v>
      </c>
      <c r="H885" s="1766" t="s">
        <v>2405</v>
      </c>
      <c r="I885" s="1767" t="s">
        <v>2406</v>
      </c>
      <c r="J885" s="1768"/>
    </row>
    <row r="886" spans="1:10">
      <c r="A886" s="1770"/>
      <c r="B886" s="1771"/>
      <c r="C886" s="1771">
        <v>88309</v>
      </c>
      <c r="D886" s="1772" t="s">
        <v>103</v>
      </c>
      <c r="E886" s="1773" t="s">
        <v>57</v>
      </c>
      <c r="F886" s="1782">
        <v>2.73</v>
      </c>
      <c r="G886" s="1780">
        <v>24.59</v>
      </c>
      <c r="H886" s="1775">
        <f>IF(E886="H",G886,TRUNC(G886*(1-$K$7),2))</f>
        <v>24.59</v>
      </c>
      <c r="I886" s="1776">
        <f t="shared" ref="I886:I889" si="121">TRUNC(H886*F886,2)</f>
        <v>67.13</v>
      </c>
      <c r="J886" s="1768"/>
    </row>
    <row r="887" spans="1:10">
      <c r="A887" s="1770"/>
      <c r="B887" s="1771"/>
      <c r="C887" s="1771">
        <v>88316</v>
      </c>
      <c r="D887" s="1772" t="s">
        <v>66</v>
      </c>
      <c r="E887" s="1773" t="s">
        <v>57</v>
      </c>
      <c r="F887" s="1782">
        <v>4.0949999999999998</v>
      </c>
      <c r="G887" s="1781">
        <v>19.45</v>
      </c>
      <c r="H887" s="1775">
        <f>IF(E887="H",G887,TRUNC(G887*(1-$K$7),2))</f>
        <v>19.45</v>
      </c>
      <c r="I887" s="1776">
        <f t="shared" si="121"/>
        <v>79.64</v>
      </c>
      <c r="J887" s="1768"/>
    </row>
    <row r="888" spans="1:10" ht="36">
      <c r="A888" s="1770"/>
      <c r="B888" s="1771"/>
      <c r="C888" s="1771">
        <v>88630</v>
      </c>
      <c r="D888" s="1772" t="s">
        <v>1590</v>
      </c>
      <c r="E888" s="1773" t="s">
        <v>47</v>
      </c>
      <c r="F888" s="1785">
        <v>8.1899999999999994E-3</v>
      </c>
      <c r="G888" s="1779">
        <v>549.95000000000005</v>
      </c>
      <c r="H888" s="1775">
        <f>IF(E888="H",G888,TRUNC(G888*(1-$K$7),2))</f>
        <v>546.65</v>
      </c>
      <c r="I888" s="1776">
        <f t="shared" si="121"/>
        <v>4.47</v>
      </c>
      <c r="J888" s="1768"/>
    </row>
    <row r="889" spans="1:10" ht="48">
      <c r="A889" s="1770"/>
      <c r="B889" s="1771"/>
      <c r="C889" s="1771" t="s">
        <v>65</v>
      </c>
      <c r="D889" s="1772" t="s">
        <v>2161</v>
      </c>
      <c r="E889" s="1773" t="s">
        <v>55</v>
      </c>
      <c r="F889" s="1784">
        <v>1</v>
      </c>
      <c r="G889" s="1779">
        <v>3780</v>
      </c>
      <c r="H889" s="1775">
        <f>IF(E889="H",G889,TRUNC(G889*(1-$K$7),2))</f>
        <v>3757.32</v>
      </c>
      <c r="I889" s="1776">
        <f t="shared" si="121"/>
        <v>3757.32</v>
      </c>
      <c r="J889" s="1768"/>
    </row>
    <row r="890" spans="1:10">
      <c r="A890" s="1917" t="s">
        <v>2408</v>
      </c>
      <c r="B890" s="1918"/>
      <c r="C890" s="1918"/>
      <c r="D890" s="1918"/>
      <c r="E890" s="1918"/>
      <c r="F890" s="1918"/>
      <c r="G890" s="1918"/>
      <c r="H890" s="1919"/>
      <c r="I890" s="1778">
        <f>SUM(I886:I889)</f>
        <v>3908.56</v>
      </c>
      <c r="J890" s="1768"/>
    </row>
    <row r="891" spans="1:10">
      <c r="A891" s="1920"/>
      <c r="B891" s="1921"/>
      <c r="C891" s="1921"/>
      <c r="D891" s="1921"/>
      <c r="E891" s="1921"/>
      <c r="F891" s="1921"/>
      <c r="G891" s="1921"/>
      <c r="H891" s="1921"/>
      <c r="I891" s="1922"/>
      <c r="J891" s="1768"/>
    </row>
    <row r="892" spans="1:10" ht="21" customHeight="1">
      <c r="A892" s="1757">
        <f>'PLANILHA SEM DESON'!B135</f>
        <v>91341</v>
      </c>
      <c r="B892" s="1923" t="str">
        <f>VLOOKUP(A892,'PLANILHA SEM DESON'!$B$17:$D$1699,2,FALSE)</f>
        <v>PORTA EM ALUMÍNIO DE ABRIR TIPO VENEZIANA COM GUARNIÇÃO, FIXAÇÃO COM PARAFUSOS - FORNECIMENTO E INSTALAÇÃO. AF_12/2019</v>
      </c>
      <c r="C892" s="1924"/>
      <c r="D892" s="1924"/>
      <c r="E892" s="1924"/>
      <c r="F892" s="1924"/>
      <c r="G892" s="1924"/>
      <c r="H892" s="1925"/>
      <c r="I892" s="1758" t="str">
        <f>VLOOKUP(A892,'PLANILHA SEM DESON'!$B$17:$D$1699,3,FALSE)</f>
        <v>m²</v>
      </c>
      <c r="J892" s="1759">
        <f>I900</f>
        <v>632.51</v>
      </c>
    </row>
    <row r="893" spans="1:10" ht="24">
      <c r="A893" s="1761" t="s">
        <v>2401</v>
      </c>
      <c r="B893" s="1762" t="s">
        <v>2402</v>
      </c>
      <c r="C893" s="1763" t="s">
        <v>2399</v>
      </c>
      <c r="D893" s="1764" t="s">
        <v>284</v>
      </c>
      <c r="E893" s="1763" t="s">
        <v>193</v>
      </c>
      <c r="F893" s="1765" t="s">
        <v>2403</v>
      </c>
      <c r="G893" s="1763" t="s">
        <v>2404</v>
      </c>
      <c r="H893" s="1766" t="s">
        <v>2405</v>
      </c>
      <c r="I893" s="1767" t="s">
        <v>2406</v>
      </c>
      <c r="J893" s="1768"/>
    </row>
    <row r="894" spans="1:10" ht="24">
      <c r="A894" s="1770" t="s">
        <v>2407</v>
      </c>
      <c r="B894" s="1771" t="s">
        <v>2410</v>
      </c>
      <c r="C894" s="1771">
        <v>142</v>
      </c>
      <c r="D894" s="1772" t="s">
        <v>2605</v>
      </c>
      <c r="E894" s="1773" t="s">
        <v>2606</v>
      </c>
      <c r="F894" s="1780">
        <v>0.88290000000000002</v>
      </c>
      <c r="G894" s="1774">
        <v>44.12</v>
      </c>
      <c r="H894" s="1775">
        <f t="shared" ref="H894:H899" si="122">IF(E894="H",G894,TRUNC(G894*(1-$K$7),2))</f>
        <v>43.85</v>
      </c>
      <c r="I894" s="1776">
        <f t="shared" ref="I894:I899" si="123">TRUNC(H894*F894,2)</f>
        <v>38.71</v>
      </c>
      <c r="J894" s="1768"/>
    </row>
    <row r="895" spans="1:10" ht="36">
      <c r="A895" s="1770" t="s">
        <v>2407</v>
      </c>
      <c r="B895" s="1771" t="s">
        <v>2410</v>
      </c>
      <c r="C895" s="1771">
        <v>7568</v>
      </c>
      <c r="D895" s="1772" t="s">
        <v>2303</v>
      </c>
      <c r="E895" s="1773" t="s">
        <v>2432</v>
      </c>
      <c r="F895" s="1780">
        <v>4.8166000000000002</v>
      </c>
      <c r="G895" s="1774">
        <v>0.61</v>
      </c>
      <c r="H895" s="1775">
        <f t="shared" si="122"/>
        <v>0.6</v>
      </c>
      <c r="I895" s="1776">
        <f t="shared" si="123"/>
        <v>2.88</v>
      </c>
      <c r="J895" s="1768"/>
    </row>
    <row r="896" spans="1:10" ht="48">
      <c r="A896" s="1770" t="s">
        <v>2407</v>
      </c>
      <c r="B896" s="1771" t="s">
        <v>2410</v>
      </c>
      <c r="C896" s="1771">
        <v>36888</v>
      </c>
      <c r="D896" s="1772" t="s">
        <v>2607</v>
      </c>
      <c r="E896" s="1773" t="s">
        <v>158</v>
      </c>
      <c r="F896" s="1780">
        <v>6.8503999999999996</v>
      </c>
      <c r="G896" s="1774">
        <v>28.94</v>
      </c>
      <c r="H896" s="1775">
        <f t="shared" si="122"/>
        <v>28.76</v>
      </c>
      <c r="I896" s="1776">
        <f t="shared" si="123"/>
        <v>197.01</v>
      </c>
      <c r="J896" s="1768"/>
    </row>
    <row r="897" spans="1:10" ht="36">
      <c r="A897" s="1770" t="s">
        <v>2407</v>
      </c>
      <c r="B897" s="1771" t="s">
        <v>2410</v>
      </c>
      <c r="C897" s="1771">
        <v>39025</v>
      </c>
      <c r="D897" s="1772" t="s">
        <v>2608</v>
      </c>
      <c r="E897" s="1773" t="s">
        <v>2432</v>
      </c>
      <c r="F897" s="1780">
        <v>0.54730000000000001</v>
      </c>
      <c r="G897" s="1774">
        <v>699.99</v>
      </c>
      <c r="H897" s="1775">
        <f t="shared" si="122"/>
        <v>695.79</v>
      </c>
      <c r="I897" s="1776">
        <f t="shared" si="123"/>
        <v>380.8</v>
      </c>
      <c r="J897" s="1768"/>
    </row>
    <row r="898" spans="1:10">
      <c r="A898" s="1770" t="s">
        <v>2407</v>
      </c>
      <c r="B898" s="1771" t="s">
        <v>7</v>
      </c>
      <c r="C898" s="1771">
        <v>88309</v>
      </c>
      <c r="D898" s="1772" t="s">
        <v>103</v>
      </c>
      <c r="E898" s="1773" t="s">
        <v>387</v>
      </c>
      <c r="F898" s="1780">
        <v>0.3826</v>
      </c>
      <c r="G898" s="1774">
        <v>24.59</v>
      </c>
      <c r="H898" s="1775">
        <f t="shared" si="122"/>
        <v>24.59</v>
      </c>
      <c r="I898" s="1776">
        <f t="shared" si="123"/>
        <v>9.4</v>
      </c>
      <c r="J898" s="1768"/>
    </row>
    <row r="899" spans="1:10">
      <c r="A899" s="1770" t="s">
        <v>2407</v>
      </c>
      <c r="B899" s="1771" t="s">
        <v>7</v>
      </c>
      <c r="C899" s="1771">
        <v>88316</v>
      </c>
      <c r="D899" s="1772" t="s">
        <v>66</v>
      </c>
      <c r="E899" s="1773" t="s">
        <v>387</v>
      </c>
      <c r="F899" s="1780">
        <v>0.191</v>
      </c>
      <c r="G899" s="1774">
        <v>19.45</v>
      </c>
      <c r="H899" s="1775">
        <f t="shared" si="122"/>
        <v>19.45</v>
      </c>
      <c r="I899" s="1776">
        <f t="shared" si="123"/>
        <v>3.71</v>
      </c>
      <c r="J899" s="1768"/>
    </row>
    <row r="900" spans="1:10">
      <c r="A900" s="1917" t="s">
        <v>2408</v>
      </c>
      <c r="B900" s="1918"/>
      <c r="C900" s="1918"/>
      <c r="D900" s="1918"/>
      <c r="E900" s="1918"/>
      <c r="F900" s="1918"/>
      <c r="G900" s="1918"/>
      <c r="H900" s="1919"/>
      <c r="I900" s="1778">
        <f>SUM(I894:I899)</f>
        <v>632.51</v>
      </c>
      <c r="J900" s="1768"/>
    </row>
    <row r="901" spans="1:10">
      <c r="A901" s="1920"/>
      <c r="B901" s="1921"/>
      <c r="C901" s="1921"/>
      <c r="D901" s="1921"/>
      <c r="E901" s="1921"/>
      <c r="F901" s="1921"/>
      <c r="G901" s="1921"/>
      <c r="H901" s="1921"/>
      <c r="I901" s="1922"/>
      <c r="J901" s="1768"/>
    </row>
    <row r="902" spans="1:10" ht="27" customHeight="1">
      <c r="A902" s="1757">
        <f>'PLANILHA SEM DESON'!B136</f>
        <v>94569</v>
      </c>
      <c r="B902" s="1923" t="str">
        <f>VLOOKUP(A902,'PLANILHA SEM DESON'!$B$17:$D$1699,2,FALSE)</f>
        <v>JANELA DE ALUMÍNIO TIPO MAXIM-AR, COM VIDROS, BATENTE E FERRAGENS. EXCLUSIVE ALIZAR, ACABAMENTO E CONTRAMARCO. FORNECIMENTO E INSTALAÇÃO. AF_12/2019</v>
      </c>
      <c r="C902" s="1924"/>
      <c r="D902" s="1924"/>
      <c r="E902" s="1924"/>
      <c r="F902" s="1924"/>
      <c r="G902" s="1924"/>
      <c r="H902" s="1925"/>
      <c r="I902" s="1758" t="str">
        <f>VLOOKUP(A902,'PLANILHA SEM DESON'!$B$17:$D$1699,3,FALSE)</f>
        <v>m²</v>
      </c>
      <c r="J902" s="1759">
        <f>I909</f>
        <v>701.22</v>
      </c>
    </row>
    <row r="903" spans="1:10" ht="24">
      <c r="A903" s="1761" t="s">
        <v>2401</v>
      </c>
      <c r="B903" s="1762" t="s">
        <v>2402</v>
      </c>
      <c r="C903" s="1763" t="s">
        <v>2399</v>
      </c>
      <c r="D903" s="1764" t="s">
        <v>284</v>
      </c>
      <c r="E903" s="1763" t="s">
        <v>193</v>
      </c>
      <c r="F903" s="1765" t="s">
        <v>2403</v>
      </c>
      <c r="G903" s="1763" t="s">
        <v>2404</v>
      </c>
      <c r="H903" s="1766" t="s">
        <v>2405</v>
      </c>
      <c r="I903" s="1767" t="s">
        <v>2406</v>
      </c>
      <c r="J903" s="1768"/>
    </row>
    <row r="904" spans="1:10" ht="36">
      <c r="A904" s="1770" t="s">
        <v>2407</v>
      </c>
      <c r="B904" s="1771" t="s">
        <v>2410</v>
      </c>
      <c r="C904" s="1771">
        <v>4377</v>
      </c>
      <c r="D904" s="1772" t="s">
        <v>2609</v>
      </c>
      <c r="E904" s="1773" t="s">
        <v>2432</v>
      </c>
      <c r="F904" s="1780">
        <v>24.4</v>
      </c>
      <c r="G904" s="1774">
        <v>0.2</v>
      </c>
      <c r="H904" s="1775">
        <f>IF(E904="H",G904,TRUNC(G904*(1-$K$7),2))</f>
        <v>0.19</v>
      </c>
      <c r="I904" s="1776">
        <f t="shared" ref="I904:I908" si="124">TRUNC(H904*F904,2)</f>
        <v>4.63</v>
      </c>
      <c r="J904" s="1768"/>
    </row>
    <row r="905" spans="1:10" ht="36">
      <c r="A905" s="1770" t="s">
        <v>2407</v>
      </c>
      <c r="B905" s="1771" t="s">
        <v>2410</v>
      </c>
      <c r="C905" s="1771">
        <v>34381</v>
      </c>
      <c r="D905" s="1772" t="s">
        <v>2610</v>
      </c>
      <c r="E905" s="1773" t="s">
        <v>2432</v>
      </c>
      <c r="F905" s="1780">
        <v>2.0832999999999999</v>
      </c>
      <c r="G905" s="1774">
        <v>290.68</v>
      </c>
      <c r="H905" s="1775">
        <f>IF(E905="H",G905,TRUNC(G905*(1-$K$7),2))</f>
        <v>288.93</v>
      </c>
      <c r="I905" s="1776">
        <f t="shared" si="124"/>
        <v>601.91999999999996</v>
      </c>
      <c r="J905" s="1768"/>
    </row>
    <row r="906" spans="1:10">
      <c r="A906" s="1770" t="s">
        <v>2407</v>
      </c>
      <c r="B906" s="1771" t="s">
        <v>2410</v>
      </c>
      <c r="C906" s="1771">
        <v>39961</v>
      </c>
      <c r="D906" s="1772" t="s">
        <v>2611</v>
      </c>
      <c r="E906" s="1773" t="s">
        <v>2432</v>
      </c>
      <c r="F906" s="1780">
        <v>1.2466999999999999</v>
      </c>
      <c r="G906" s="1774">
        <v>29.15</v>
      </c>
      <c r="H906" s="1775">
        <f>IF(E906="H",G906,TRUNC(G906*(1-$K$7),2))</f>
        <v>28.97</v>
      </c>
      <c r="I906" s="1776">
        <f t="shared" si="124"/>
        <v>36.11</v>
      </c>
      <c r="J906" s="1768"/>
    </row>
    <row r="907" spans="1:10">
      <c r="A907" s="1770" t="s">
        <v>2407</v>
      </c>
      <c r="B907" s="1771" t="s">
        <v>7</v>
      </c>
      <c r="C907" s="1771">
        <v>88309</v>
      </c>
      <c r="D907" s="1772" t="s">
        <v>103</v>
      </c>
      <c r="E907" s="1773" t="s">
        <v>387</v>
      </c>
      <c r="F907" s="1780">
        <v>1.7070000000000001</v>
      </c>
      <c r="G907" s="1774">
        <v>24.59</v>
      </c>
      <c r="H907" s="1775">
        <f>IF(E907="H",G907,TRUNC(G907*(1-$K$7),2))</f>
        <v>24.59</v>
      </c>
      <c r="I907" s="1776">
        <f t="shared" si="124"/>
        <v>41.97</v>
      </c>
      <c r="J907" s="1768"/>
    </row>
    <row r="908" spans="1:10">
      <c r="A908" s="1770" t="s">
        <v>2407</v>
      </c>
      <c r="B908" s="1771" t="s">
        <v>7</v>
      </c>
      <c r="C908" s="1771">
        <v>88316</v>
      </c>
      <c r="D908" s="1772" t="s">
        <v>66</v>
      </c>
      <c r="E908" s="1773" t="s">
        <v>387</v>
      </c>
      <c r="F908" s="1780">
        <v>0.85299999999999998</v>
      </c>
      <c r="G908" s="1774">
        <v>19.45</v>
      </c>
      <c r="H908" s="1775">
        <f>IF(E908="H",G908,TRUNC(G908*(1-$K$7),2))</f>
        <v>19.45</v>
      </c>
      <c r="I908" s="1776">
        <f t="shared" si="124"/>
        <v>16.59</v>
      </c>
      <c r="J908" s="1768"/>
    </row>
    <row r="909" spans="1:10">
      <c r="A909" s="1917" t="s">
        <v>2408</v>
      </c>
      <c r="B909" s="1918"/>
      <c r="C909" s="1918"/>
      <c r="D909" s="1918"/>
      <c r="E909" s="1918"/>
      <c r="F909" s="1918"/>
      <c r="G909" s="1918"/>
      <c r="H909" s="1919"/>
      <c r="I909" s="1778">
        <f>SUM(I904:I908)</f>
        <v>701.22</v>
      </c>
      <c r="J909" s="1768"/>
    </row>
    <row r="910" spans="1:10">
      <c r="A910" s="1920"/>
      <c r="B910" s="1921"/>
      <c r="C910" s="1921"/>
      <c r="D910" s="1921"/>
      <c r="E910" s="1921"/>
      <c r="F910" s="1921"/>
      <c r="G910" s="1921"/>
      <c r="H910" s="1921"/>
      <c r="I910" s="1922"/>
      <c r="J910" s="1768"/>
    </row>
    <row r="911" spans="1:10" ht="24.75" customHeight="1">
      <c r="A911" s="1757">
        <f>'PLANILHA SEM DESON'!B137</f>
        <v>94570</v>
      </c>
      <c r="B911" s="1923" t="str">
        <f>VLOOKUP(A911,'PLANILHA SEM DESON'!$B$17:$D$1699,2,FALSE)</f>
        <v>JANELA DE ALUMÍNIO DE CORRER COM 2 FOLHAS PARA VIDROS, COM VIDROS, BATENTE, ACABAMENTO COM ACETATO OU BRILHANTE E FERRAGENS. EXCLUSIVE ALIZAR E CONTRAMARCO. FORNECIMENTO E INSTALAÇÃO. AF_12/2019</v>
      </c>
      <c r="C911" s="1924"/>
      <c r="D911" s="1924"/>
      <c r="E911" s="1924"/>
      <c r="F911" s="1924"/>
      <c r="G911" s="1924"/>
      <c r="H911" s="1925"/>
      <c r="I911" s="1758" t="str">
        <f>VLOOKUP(A911,'PLANILHA SEM DESON'!$B$17:$D$1699,3,FALSE)</f>
        <v>m²</v>
      </c>
      <c r="J911" s="1759">
        <f>I918</f>
        <v>364.53</v>
      </c>
    </row>
    <row r="912" spans="1:10" ht="24">
      <c r="A912" s="1761" t="s">
        <v>2401</v>
      </c>
      <c r="B912" s="1762" t="s">
        <v>2402</v>
      </c>
      <c r="C912" s="1763" t="s">
        <v>2399</v>
      </c>
      <c r="D912" s="1764" t="s">
        <v>284</v>
      </c>
      <c r="E912" s="1763" t="s">
        <v>193</v>
      </c>
      <c r="F912" s="1765" t="s">
        <v>2403</v>
      </c>
      <c r="G912" s="1763" t="s">
        <v>2404</v>
      </c>
      <c r="H912" s="1766" t="s">
        <v>2405</v>
      </c>
      <c r="I912" s="1767" t="s">
        <v>2406</v>
      </c>
      <c r="J912" s="1768"/>
    </row>
    <row r="913" spans="1:10" ht="36">
      <c r="A913" s="1770" t="s">
        <v>2407</v>
      </c>
      <c r="B913" s="1771" t="s">
        <v>2410</v>
      </c>
      <c r="C913" s="1771">
        <v>4377</v>
      </c>
      <c r="D913" s="1772" t="s">
        <v>2609</v>
      </c>
      <c r="E913" s="1773" t="s">
        <v>2432</v>
      </c>
      <c r="F913" s="1780">
        <v>9.1999999999999993</v>
      </c>
      <c r="G913" s="1774">
        <v>0.2</v>
      </c>
      <c r="H913" s="1775">
        <f>IF(E913="H",G913,TRUNC(G913*(1-$K$7),2))</f>
        <v>0.19</v>
      </c>
      <c r="I913" s="1776">
        <f t="shared" ref="I913:I917" si="125">TRUNC(H913*F913,2)</f>
        <v>1.74</v>
      </c>
      <c r="J913" s="1768"/>
    </row>
    <row r="914" spans="1:10" ht="48">
      <c r="A914" s="1770" t="s">
        <v>2407</v>
      </c>
      <c r="B914" s="1771" t="s">
        <v>2410</v>
      </c>
      <c r="C914" s="1771">
        <v>36896</v>
      </c>
      <c r="D914" s="1772" t="s">
        <v>2612</v>
      </c>
      <c r="E914" s="1773" t="s">
        <v>2432</v>
      </c>
      <c r="F914" s="1780">
        <v>0.83330000000000004</v>
      </c>
      <c r="G914" s="1774">
        <v>394.73</v>
      </c>
      <c r="H914" s="1775">
        <f>IF(E914="H",G914,TRUNC(G914*(1-$K$7),2))</f>
        <v>392.36</v>
      </c>
      <c r="I914" s="1776">
        <f t="shared" si="125"/>
        <v>326.95</v>
      </c>
      <c r="J914" s="1768"/>
    </row>
    <row r="915" spans="1:10">
      <c r="A915" s="1770" t="s">
        <v>2407</v>
      </c>
      <c r="B915" s="1771" t="s">
        <v>2410</v>
      </c>
      <c r="C915" s="1771">
        <v>39961</v>
      </c>
      <c r="D915" s="1772" t="s">
        <v>2611</v>
      </c>
      <c r="E915" s="1773" t="s">
        <v>2432</v>
      </c>
      <c r="F915" s="1780">
        <v>0.62329999999999997</v>
      </c>
      <c r="G915" s="1774">
        <v>29.15</v>
      </c>
      <c r="H915" s="1775">
        <f>IF(E915="H",G915,TRUNC(G915*(1-$K$7),2))</f>
        <v>28.97</v>
      </c>
      <c r="I915" s="1776">
        <f t="shared" si="125"/>
        <v>18.05</v>
      </c>
      <c r="J915" s="1768"/>
    </row>
    <row r="916" spans="1:10">
      <c r="A916" s="1770" t="s">
        <v>2407</v>
      </c>
      <c r="B916" s="1771" t="s">
        <v>7</v>
      </c>
      <c r="C916" s="1771">
        <v>88309</v>
      </c>
      <c r="D916" s="1772" t="s">
        <v>103</v>
      </c>
      <c r="E916" s="1773" t="s">
        <v>387</v>
      </c>
      <c r="F916" s="1780">
        <v>0.51900000000000002</v>
      </c>
      <c r="G916" s="1774">
        <v>24.59</v>
      </c>
      <c r="H916" s="1775">
        <f>IF(E916="H",G916,TRUNC(G916*(1-$K$7),2))</f>
        <v>24.59</v>
      </c>
      <c r="I916" s="1776">
        <f t="shared" si="125"/>
        <v>12.76</v>
      </c>
      <c r="J916" s="1768"/>
    </row>
    <row r="917" spans="1:10">
      <c r="A917" s="1770" t="s">
        <v>2407</v>
      </c>
      <c r="B917" s="1771" t="s">
        <v>7</v>
      </c>
      <c r="C917" s="1771">
        <v>88316</v>
      </c>
      <c r="D917" s="1772" t="s">
        <v>66</v>
      </c>
      <c r="E917" s="1773" t="s">
        <v>387</v>
      </c>
      <c r="F917" s="1780">
        <v>0.25900000000000001</v>
      </c>
      <c r="G917" s="1774">
        <v>19.45</v>
      </c>
      <c r="H917" s="1775">
        <f>IF(E917="H",G917,TRUNC(G917*(1-$K$7),2))</f>
        <v>19.45</v>
      </c>
      <c r="I917" s="1776">
        <f t="shared" si="125"/>
        <v>5.03</v>
      </c>
      <c r="J917" s="1768"/>
    </row>
    <row r="918" spans="1:10">
      <c r="A918" s="1917" t="s">
        <v>2408</v>
      </c>
      <c r="B918" s="1918"/>
      <c r="C918" s="1918"/>
      <c r="D918" s="1918"/>
      <c r="E918" s="1918"/>
      <c r="F918" s="1918"/>
      <c r="G918" s="1918"/>
      <c r="H918" s="1919"/>
      <c r="I918" s="1778">
        <f>SUM(I913:I917)</f>
        <v>364.53</v>
      </c>
      <c r="J918" s="1768"/>
    </row>
    <row r="919" spans="1:10">
      <c r="A919" s="1920"/>
      <c r="B919" s="1921"/>
      <c r="C919" s="1921"/>
      <c r="D919" s="1921"/>
      <c r="E919" s="1921"/>
      <c r="F919" s="1921"/>
      <c r="G919" s="1921"/>
      <c r="H919" s="1921"/>
      <c r="I919" s="1922"/>
      <c r="J919" s="1768"/>
    </row>
    <row r="920" spans="1:10">
      <c r="A920" s="1757" t="str">
        <f>'PLANILHA SEM DESON'!B139</f>
        <v>COMP 09</v>
      </c>
      <c r="B920" s="1923" t="str">
        <f>VLOOKUP(A920,'PLANILHA SEM DESON'!$B$17:$D$1699,2,FALSE)</f>
        <v>FORNECIMENTO E INSTALAÇÃO DE PORTÃO DE CORRER DE  1,50 X 2,45 M.</v>
      </c>
      <c r="C920" s="1924"/>
      <c r="D920" s="1924"/>
      <c r="E920" s="1924"/>
      <c r="F920" s="1924"/>
      <c r="G920" s="1924"/>
      <c r="H920" s="1925"/>
      <c r="I920" s="1758" t="str">
        <f>VLOOKUP(A920,'PLANILHA SEM DESON'!$B$17:$D$1699,3,FALSE)</f>
        <v xml:space="preserve">un </v>
      </c>
      <c r="J920" s="1759">
        <f>I923</f>
        <v>3572.43</v>
      </c>
    </row>
    <row r="921" spans="1:10" ht="24">
      <c r="A921" s="1761" t="s">
        <v>2401</v>
      </c>
      <c r="B921" s="1762" t="s">
        <v>2402</v>
      </c>
      <c r="C921" s="1763" t="s">
        <v>2399</v>
      </c>
      <c r="D921" s="1764" t="s">
        <v>284</v>
      </c>
      <c r="E921" s="1763" t="s">
        <v>193</v>
      </c>
      <c r="F921" s="1765" t="s">
        <v>2403</v>
      </c>
      <c r="G921" s="1763" t="s">
        <v>2404</v>
      </c>
      <c r="H921" s="1766" t="s">
        <v>2405</v>
      </c>
      <c r="I921" s="1767" t="s">
        <v>2406</v>
      </c>
      <c r="J921" s="1768"/>
    </row>
    <row r="922" spans="1:10" ht="24">
      <c r="A922" s="1770"/>
      <c r="B922" s="1771"/>
      <c r="C922" s="1771" t="s">
        <v>65</v>
      </c>
      <c r="D922" s="1772" t="s">
        <v>2047</v>
      </c>
      <c r="E922" s="1773" t="s">
        <v>55</v>
      </c>
      <c r="F922" s="1784">
        <v>1</v>
      </c>
      <c r="G922" s="1779">
        <v>3594</v>
      </c>
      <c r="H922" s="1775">
        <f>IF(E922="H",G922,TRUNC(G922*(1-$K$7),2))</f>
        <v>3572.43</v>
      </c>
      <c r="I922" s="1776">
        <f t="shared" ref="I922" si="126">TRUNC(H922*F922,2)</f>
        <v>3572.43</v>
      </c>
      <c r="J922" s="1768"/>
    </row>
    <row r="923" spans="1:10">
      <c r="A923" s="1917" t="s">
        <v>2408</v>
      </c>
      <c r="B923" s="1918"/>
      <c r="C923" s="1918"/>
      <c r="D923" s="1918"/>
      <c r="E923" s="1918"/>
      <c r="F923" s="1918"/>
      <c r="G923" s="1918"/>
      <c r="H923" s="1919"/>
      <c r="I923" s="1778">
        <f>SUM(I922:I922)</f>
        <v>3572.43</v>
      </c>
      <c r="J923" s="1768"/>
    </row>
    <row r="924" spans="1:10">
      <c r="A924" s="1920"/>
      <c r="B924" s="1921"/>
      <c r="C924" s="1921"/>
      <c r="D924" s="1921"/>
      <c r="E924" s="1921"/>
      <c r="F924" s="1921"/>
      <c r="G924" s="1921"/>
      <c r="H924" s="1921"/>
      <c r="I924" s="1922"/>
      <c r="J924" s="1768"/>
    </row>
    <row r="925" spans="1:10" ht="39.75" customHeight="1">
      <c r="A925" s="1757" t="str">
        <f>'PLANILHA SEM DESON'!B140</f>
        <v>COMP 10</v>
      </c>
      <c r="B925" s="1923" t="str">
        <f>VLOOKUP(A925,'PLANILHA SEM DESON'!$B$17:$D$1699,2,FALSE)</f>
        <v>FORNECIMENTO E INSTALAÇÃO DE PORTÃO DE CORRER, 2 FOLHAS, DE  3,90 X 2,45 M, COM ACIONAMENTO ELÉTRICO</v>
      </c>
      <c r="C925" s="1924"/>
      <c r="D925" s="1924"/>
      <c r="E925" s="1924"/>
      <c r="F925" s="1924"/>
      <c r="G925" s="1924"/>
      <c r="H925" s="1925"/>
      <c r="I925" s="1758" t="str">
        <f>VLOOKUP(A925,'PLANILHA SEM DESON'!$B$17:$D$1699,3,FALSE)</f>
        <v xml:space="preserve">un </v>
      </c>
      <c r="J925" s="1759">
        <f>I929</f>
        <v>8761.11</v>
      </c>
    </row>
    <row r="926" spans="1:10" ht="24">
      <c r="A926" s="1761" t="s">
        <v>2401</v>
      </c>
      <c r="B926" s="1762" t="s">
        <v>2402</v>
      </c>
      <c r="C926" s="1763" t="s">
        <v>2399</v>
      </c>
      <c r="D926" s="1764" t="s">
        <v>284</v>
      </c>
      <c r="E926" s="1763" t="s">
        <v>193</v>
      </c>
      <c r="F926" s="1765" t="s">
        <v>2403</v>
      </c>
      <c r="G926" s="1763" t="s">
        <v>2404</v>
      </c>
      <c r="H926" s="1766" t="s">
        <v>2405</v>
      </c>
      <c r="I926" s="1767" t="s">
        <v>2406</v>
      </c>
      <c r="J926" s="1768"/>
    </row>
    <row r="927" spans="1:10" ht="24">
      <c r="A927" s="1770"/>
      <c r="B927" s="1771"/>
      <c r="C927" s="1771" t="s">
        <v>65</v>
      </c>
      <c r="D927" s="1772" t="s">
        <v>2045</v>
      </c>
      <c r="E927" s="1773" t="s">
        <v>55</v>
      </c>
      <c r="F927" s="1784">
        <v>1</v>
      </c>
      <c r="G927" s="1781">
        <v>7800</v>
      </c>
      <c r="H927" s="1775">
        <f>IF(E927="H",G927,TRUNC(G927*(1-$K$7),2))</f>
        <v>7753.2</v>
      </c>
      <c r="I927" s="1776">
        <f t="shared" ref="I927:I928" si="127">TRUNC(H927*F927,2)</f>
        <v>7753.2</v>
      </c>
      <c r="J927" s="1768"/>
    </row>
    <row r="928" spans="1:10" ht="36">
      <c r="A928" s="1770"/>
      <c r="B928" s="1771"/>
      <c r="C928" s="1771" t="s">
        <v>106</v>
      </c>
      <c r="D928" s="1772" t="s">
        <v>1416</v>
      </c>
      <c r="E928" s="1773" t="s">
        <v>55</v>
      </c>
      <c r="F928" s="1784">
        <v>1</v>
      </c>
      <c r="G928" s="1779">
        <v>1014</v>
      </c>
      <c r="H928" s="1775">
        <f>IF(E928="H",G928,TRUNC(G928*(1-$K$7),2))</f>
        <v>1007.91</v>
      </c>
      <c r="I928" s="1776">
        <f t="shared" si="127"/>
        <v>1007.91</v>
      </c>
      <c r="J928" s="1768"/>
    </row>
    <row r="929" spans="1:10">
      <c r="A929" s="1917" t="s">
        <v>2408</v>
      </c>
      <c r="B929" s="1918"/>
      <c r="C929" s="1918"/>
      <c r="D929" s="1918"/>
      <c r="E929" s="1918"/>
      <c r="F929" s="1918"/>
      <c r="G929" s="1918"/>
      <c r="H929" s="1919"/>
      <c r="I929" s="1778">
        <f>SUM(I927:I928)</f>
        <v>8761.11</v>
      </c>
      <c r="J929" s="1768"/>
    </row>
    <row r="930" spans="1:10">
      <c r="A930" s="1920"/>
      <c r="B930" s="1921"/>
      <c r="C930" s="1921"/>
      <c r="D930" s="1921"/>
      <c r="E930" s="1921"/>
      <c r="F930" s="1921"/>
      <c r="G930" s="1921"/>
      <c r="H930" s="1921"/>
      <c r="I930" s="1922"/>
      <c r="J930" s="1768"/>
    </row>
    <row r="931" spans="1:10">
      <c r="A931" s="1757" t="str">
        <f>'PLANILHA SEM DESON'!B141</f>
        <v>COMP 12</v>
      </c>
      <c r="B931" s="1923" t="str">
        <f>VLOOKUP(A931,'PLANILHA SEM DESON'!$B$17:$D$1699,2,FALSE)</f>
        <v>PORTA DE ABRIR DE FERRO EM CHAPA CORRUGADA, 2 FOLHAS, DE 1,60X2,10 M</v>
      </c>
      <c r="C931" s="1924"/>
      <c r="D931" s="1924"/>
      <c r="E931" s="1924"/>
      <c r="F931" s="1924"/>
      <c r="G931" s="1924"/>
      <c r="H931" s="1925"/>
      <c r="I931" s="1758" t="str">
        <f>VLOOKUP(A931,'PLANILHA SEM DESON'!$B$17:$D$1699,3,FALSE)</f>
        <v xml:space="preserve">un </v>
      </c>
      <c r="J931" s="1759">
        <f>I934</f>
        <v>3816.96</v>
      </c>
    </row>
    <row r="932" spans="1:10" ht="24">
      <c r="A932" s="1761" t="s">
        <v>2401</v>
      </c>
      <c r="B932" s="1762" t="s">
        <v>2402</v>
      </c>
      <c r="C932" s="1763" t="s">
        <v>2399</v>
      </c>
      <c r="D932" s="1764" t="s">
        <v>284</v>
      </c>
      <c r="E932" s="1763" t="s">
        <v>193</v>
      </c>
      <c r="F932" s="1765" t="s">
        <v>2403</v>
      </c>
      <c r="G932" s="1763" t="s">
        <v>2404</v>
      </c>
      <c r="H932" s="1766" t="s">
        <v>2405</v>
      </c>
      <c r="I932" s="1767" t="s">
        <v>2406</v>
      </c>
      <c r="J932" s="1768"/>
    </row>
    <row r="933" spans="1:10" ht="24">
      <c r="A933" s="1770"/>
      <c r="B933" s="1771"/>
      <c r="C933" s="1771" t="s">
        <v>65</v>
      </c>
      <c r="D933" s="1772" t="s">
        <v>1420</v>
      </c>
      <c r="E933" s="1773" t="s">
        <v>55</v>
      </c>
      <c r="F933" s="1784">
        <v>1</v>
      </c>
      <c r="G933" s="1779">
        <v>3840</v>
      </c>
      <c r="H933" s="1775">
        <f>IF(E933="H",G933,TRUNC(G933*(1-$K$7),2))</f>
        <v>3816.96</v>
      </c>
      <c r="I933" s="1776">
        <f t="shared" ref="I933" si="128">TRUNC(H933*F933,2)</f>
        <v>3816.96</v>
      </c>
      <c r="J933" s="1768"/>
    </row>
    <row r="934" spans="1:10">
      <c r="A934" s="1917" t="s">
        <v>2408</v>
      </c>
      <c r="B934" s="1918"/>
      <c r="C934" s="1918"/>
      <c r="D934" s="1918"/>
      <c r="E934" s="1918"/>
      <c r="F934" s="1918"/>
      <c r="G934" s="1918"/>
      <c r="H934" s="1919"/>
      <c r="I934" s="1778">
        <f>SUM(I933:I933)</f>
        <v>3816.96</v>
      </c>
      <c r="J934" s="1768"/>
    </row>
    <row r="935" spans="1:10">
      <c r="A935" s="1920"/>
      <c r="B935" s="1921"/>
      <c r="C935" s="1921"/>
      <c r="D935" s="1921"/>
      <c r="E935" s="1921"/>
      <c r="F935" s="1921"/>
      <c r="G935" s="1921"/>
      <c r="H935" s="1921"/>
      <c r="I935" s="1922"/>
      <c r="J935" s="1768"/>
    </row>
    <row r="936" spans="1:10">
      <c r="A936" s="1757">
        <f>'PLANILHA SEM DESON'!B145</f>
        <v>96135</v>
      </c>
      <c r="B936" s="1923" t="str">
        <f>VLOOKUP(A936,'PLANILHA SEM DESON'!$B$17:$D$1699,2,FALSE)</f>
        <v>APLICAÇÃO MANUAL DE MASSA ACRÍLICA EM PAREDES EXTERNAS DE CASAS, DUAS DEMÃOS. AF_05/2017</v>
      </c>
      <c r="C936" s="1924"/>
      <c r="D936" s="1924"/>
      <c r="E936" s="1924"/>
      <c r="F936" s="1924"/>
      <c r="G936" s="1924"/>
      <c r="H936" s="1925"/>
      <c r="I936" s="1758" t="str">
        <f>VLOOKUP(A936,'PLANILHA SEM DESON'!$B$17:$D$1699,3,FALSE)</f>
        <v>m²</v>
      </c>
      <c r="J936" s="1759">
        <f>I942</f>
        <v>28.630000000000003</v>
      </c>
    </row>
    <row r="937" spans="1:10" ht="24">
      <c r="A937" s="1761" t="s">
        <v>2401</v>
      </c>
      <c r="B937" s="1762" t="s">
        <v>2402</v>
      </c>
      <c r="C937" s="1763" t="s">
        <v>2399</v>
      </c>
      <c r="D937" s="1764" t="s">
        <v>284</v>
      </c>
      <c r="E937" s="1763" t="s">
        <v>193</v>
      </c>
      <c r="F937" s="1765" t="s">
        <v>2403</v>
      </c>
      <c r="G937" s="1763" t="s">
        <v>2404</v>
      </c>
      <c r="H937" s="1766" t="s">
        <v>2405</v>
      </c>
      <c r="I937" s="1767" t="s">
        <v>2406</v>
      </c>
      <c r="J937" s="1768"/>
    </row>
    <row r="938" spans="1:10" ht="24">
      <c r="A938" s="1770" t="s">
        <v>2407</v>
      </c>
      <c r="B938" s="1771" t="s">
        <v>2410</v>
      </c>
      <c r="C938" s="1771">
        <v>3767</v>
      </c>
      <c r="D938" s="1772" t="s">
        <v>2613</v>
      </c>
      <c r="E938" s="1773" t="s">
        <v>2432</v>
      </c>
      <c r="F938" s="1780">
        <v>0.1</v>
      </c>
      <c r="G938" s="1774">
        <v>1.35</v>
      </c>
      <c r="H938" s="1775">
        <f>IF(E938="H",G938,TRUNC(G938*(1-$K$7),2))</f>
        <v>1.34</v>
      </c>
      <c r="I938" s="1776">
        <f t="shared" ref="I938:I941" si="129">TRUNC(H938*F938,2)</f>
        <v>0.13</v>
      </c>
      <c r="J938" s="1768"/>
    </row>
    <row r="939" spans="1:10" ht="24">
      <c r="A939" s="1770" t="s">
        <v>2407</v>
      </c>
      <c r="B939" s="1771" t="s">
        <v>2410</v>
      </c>
      <c r="C939" s="1771">
        <v>43651</v>
      </c>
      <c r="D939" s="1772" t="s">
        <v>2614</v>
      </c>
      <c r="E939" s="1773" t="s">
        <v>1340</v>
      </c>
      <c r="F939" s="1780">
        <v>1.5518400000000001</v>
      </c>
      <c r="G939" s="1774">
        <v>7.19</v>
      </c>
      <c r="H939" s="1775">
        <f>IF(E939="H",G939,TRUNC(G939*(1-$K$7),2))</f>
        <v>7.14</v>
      </c>
      <c r="I939" s="1776">
        <f t="shared" si="129"/>
        <v>11.08</v>
      </c>
      <c r="J939" s="1768"/>
    </row>
    <row r="940" spans="1:10">
      <c r="A940" s="1770" t="s">
        <v>2407</v>
      </c>
      <c r="B940" s="1771" t="s">
        <v>7</v>
      </c>
      <c r="C940" s="1771">
        <v>88310</v>
      </c>
      <c r="D940" s="1772" t="s">
        <v>127</v>
      </c>
      <c r="E940" s="1773" t="s">
        <v>387</v>
      </c>
      <c r="F940" s="1780">
        <v>0.57099999999999995</v>
      </c>
      <c r="G940" s="1774">
        <v>25.64</v>
      </c>
      <c r="H940" s="1775">
        <f>IF(E940="H",G940,TRUNC(G940*(1-$K$7),2))</f>
        <v>25.64</v>
      </c>
      <c r="I940" s="1776">
        <f t="shared" si="129"/>
        <v>14.64</v>
      </c>
      <c r="J940" s="1768"/>
    </row>
    <row r="941" spans="1:10">
      <c r="A941" s="1770" t="s">
        <v>2407</v>
      </c>
      <c r="B941" s="1771" t="s">
        <v>7</v>
      </c>
      <c r="C941" s="1771">
        <v>88316</v>
      </c>
      <c r="D941" s="1772" t="s">
        <v>66</v>
      </c>
      <c r="E941" s="1773" t="s">
        <v>387</v>
      </c>
      <c r="F941" s="1780">
        <v>0.14299999999999999</v>
      </c>
      <c r="G941" s="1774">
        <v>19.45</v>
      </c>
      <c r="H941" s="1775">
        <f>IF(E941="H",G941,TRUNC(G941*(1-$K$7),2))</f>
        <v>19.45</v>
      </c>
      <c r="I941" s="1776">
        <f t="shared" si="129"/>
        <v>2.78</v>
      </c>
      <c r="J941" s="1768"/>
    </row>
    <row r="942" spans="1:10">
      <c r="A942" s="1917" t="s">
        <v>2408</v>
      </c>
      <c r="B942" s="1918"/>
      <c r="C942" s="1918"/>
      <c r="D942" s="1918"/>
      <c r="E942" s="1918"/>
      <c r="F942" s="1918"/>
      <c r="G942" s="1918"/>
      <c r="H942" s="1919"/>
      <c r="I942" s="1778">
        <f>SUM(I938:I941)</f>
        <v>28.630000000000003</v>
      </c>
      <c r="J942" s="1768"/>
    </row>
    <row r="943" spans="1:10">
      <c r="A943" s="1920"/>
      <c r="B943" s="1921"/>
      <c r="C943" s="1921"/>
      <c r="D943" s="1921"/>
      <c r="E943" s="1921"/>
      <c r="F943" s="1921"/>
      <c r="G943" s="1921"/>
      <c r="H943" s="1921"/>
      <c r="I943" s="1922"/>
      <c r="J943" s="1768"/>
    </row>
    <row r="944" spans="1:10">
      <c r="A944" s="1757">
        <f>'PLANILHA SEM DESON'!B146</f>
        <v>88485</v>
      </c>
      <c r="B944" s="1923" t="str">
        <f>VLOOKUP(A944,'PLANILHA SEM DESON'!$B$17:$D$1699,2,FALSE)</f>
        <v>APLICAÇÃO DE FUNDO SELADOR ACRÍLICO EM PAREDES, UMA DEMÃO. AF_06/2014</v>
      </c>
      <c r="C944" s="1924"/>
      <c r="D944" s="1924"/>
      <c r="E944" s="1924"/>
      <c r="F944" s="1924"/>
      <c r="G944" s="1924"/>
      <c r="H944" s="1925"/>
      <c r="I944" s="1758" t="str">
        <f>VLOOKUP(A944,'PLANILHA SEM DESON'!$B$17:$D$1699,3,FALSE)</f>
        <v>m²</v>
      </c>
      <c r="J944" s="1759">
        <f>I949</f>
        <v>2.23</v>
      </c>
    </row>
    <row r="945" spans="1:10" ht="24">
      <c r="A945" s="1761" t="s">
        <v>2401</v>
      </c>
      <c r="B945" s="1762" t="s">
        <v>2402</v>
      </c>
      <c r="C945" s="1763" t="s">
        <v>2399</v>
      </c>
      <c r="D945" s="1764" t="s">
        <v>284</v>
      </c>
      <c r="E945" s="1763" t="s">
        <v>193</v>
      </c>
      <c r="F945" s="1765" t="s">
        <v>2403</v>
      </c>
      <c r="G945" s="1763" t="s">
        <v>2404</v>
      </c>
      <c r="H945" s="1766" t="s">
        <v>2405</v>
      </c>
      <c r="I945" s="1767" t="s">
        <v>2406</v>
      </c>
      <c r="J945" s="1768"/>
    </row>
    <row r="946" spans="1:10" ht="24">
      <c r="A946" s="1770" t="s">
        <v>2407</v>
      </c>
      <c r="B946" s="1771" t="s">
        <v>2410</v>
      </c>
      <c r="C946" s="1771">
        <v>6085</v>
      </c>
      <c r="D946" s="1772" t="s">
        <v>2615</v>
      </c>
      <c r="E946" s="1773" t="s">
        <v>424</v>
      </c>
      <c r="F946" s="1780">
        <v>0.16</v>
      </c>
      <c r="G946" s="1774">
        <v>6.11</v>
      </c>
      <c r="H946" s="1775">
        <f>IF(E946="H",G946,TRUNC(G946*(1-$K$7),2))</f>
        <v>6.07</v>
      </c>
      <c r="I946" s="1776">
        <f t="shared" ref="I946:I948" si="130">TRUNC(H946*F946,2)</f>
        <v>0.97</v>
      </c>
      <c r="J946" s="1768"/>
    </row>
    <row r="947" spans="1:10">
      <c r="A947" s="1770" t="s">
        <v>2407</v>
      </c>
      <c r="B947" s="1771" t="s">
        <v>7</v>
      </c>
      <c r="C947" s="1771">
        <v>88310</v>
      </c>
      <c r="D947" s="1772" t="s">
        <v>127</v>
      </c>
      <c r="E947" s="1773" t="s">
        <v>387</v>
      </c>
      <c r="F947" s="1780">
        <v>3.9E-2</v>
      </c>
      <c r="G947" s="1774">
        <v>25.64</v>
      </c>
      <c r="H947" s="1775">
        <f>IF(E947="H",G947,TRUNC(G947*(1-$K$7),2))</f>
        <v>25.64</v>
      </c>
      <c r="I947" s="1776">
        <f t="shared" si="130"/>
        <v>0.99</v>
      </c>
      <c r="J947" s="1768"/>
    </row>
    <row r="948" spans="1:10">
      <c r="A948" s="1770" t="s">
        <v>2407</v>
      </c>
      <c r="B948" s="1771" t="s">
        <v>7</v>
      </c>
      <c r="C948" s="1771">
        <v>88316</v>
      </c>
      <c r="D948" s="1772" t="s">
        <v>66</v>
      </c>
      <c r="E948" s="1773" t="s">
        <v>387</v>
      </c>
      <c r="F948" s="1780">
        <v>1.4E-2</v>
      </c>
      <c r="G948" s="1774">
        <v>19.45</v>
      </c>
      <c r="H948" s="1775">
        <f>IF(E948="H",G948,TRUNC(G948*(1-$K$7),2))</f>
        <v>19.45</v>
      </c>
      <c r="I948" s="1776">
        <f t="shared" si="130"/>
        <v>0.27</v>
      </c>
      <c r="J948" s="1768"/>
    </row>
    <row r="949" spans="1:10">
      <c r="A949" s="1917" t="s">
        <v>2408</v>
      </c>
      <c r="B949" s="1918"/>
      <c r="C949" s="1918"/>
      <c r="D949" s="1918"/>
      <c r="E949" s="1918"/>
      <c r="F949" s="1918"/>
      <c r="G949" s="1918"/>
      <c r="H949" s="1919"/>
      <c r="I949" s="1778">
        <f>SUM(I946:I948)</f>
        <v>2.23</v>
      </c>
      <c r="J949" s="1768"/>
    </row>
    <row r="950" spans="1:10">
      <c r="A950" s="1920"/>
      <c r="B950" s="1921"/>
      <c r="C950" s="1921"/>
      <c r="D950" s="1921"/>
      <c r="E950" s="1921"/>
      <c r="F950" s="1921"/>
      <c r="G950" s="1921"/>
      <c r="H950" s="1921"/>
      <c r="I950" s="1922"/>
      <c r="J950" s="1768"/>
    </row>
    <row r="951" spans="1:10">
      <c r="A951" s="1757">
        <f>'PLANILHA SEM DESON'!B147</f>
        <v>88489</v>
      </c>
      <c r="B951" s="1923" t="str">
        <f>VLOOKUP(A951,'PLANILHA SEM DESON'!$B$17:$D$1699,2,FALSE)</f>
        <v>APLICAÇÃO MANUAL DE PINTURA COM TINTA LÁTEX ACRÍLICA EM PAREDES, DUAS DEMÃOS. AF_06/2014</v>
      </c>
      <c r="C951" s="1924"/>
      <c r="D951" s="1924"/>
      <c r="E951" s="1924"/>
      <c r="F951" s="1924"/>
      <c r="G951" s="1924"/>
      <c r="H951" s="1925"/>
      <c r="I951" s="1758" t="str">
        <f>VLOOKUP(A951,'PLANILHA SEM DESON'!$B$17:$D$1699,3,FALSE)</f>
        <v>m²</v>
      </c>
      <c r="J951" s="1759">
        <f>I956</f>
        <v>14.940000000000001</v>
      </c>
    </row>
    <row r="952" spans="1:10" ht="24">
      <c r="A952" s="1761" t="s">
        <v>2401</v>
      </c>
      <c r="B952" s="1762" t="s">
        <v>2402</v>
      </c>
      <c r="C952" s="1763" t="s">
        <v>2399</v>
      </c>
      <c r="D952" s="1764" t="s">
        <v>284</v>
      </c>
      <c r="E952" s="1763" t="s">
        <v>193</v>
      </c>
      <c r="F952" s="1765" t="s">
        <v>2403</v>
      </c>
      <c r="G952" s="1763" t="s">
        <v>2404</v>
      </c>
      <c r="H952" s="1766" t="s">
        <v>2405</v>
      </c>
      <c r="I952" s="1767" t="s">
        <v>2406</v>
      </c>
      <c r="J952" s="1768"/>
    </row>
    <row r="953" spans="1:10">
      <c r="A953" s="1770" t="s">
        <v>2407</v>
      </c>
      <c r="B953" s="1771" t="s">
        <v>2410</v>
      </c>
      <c r="C953" s="1771">
        <v>7356</v>
      </c>
      <c r="D953" s="1772" t="s">
        <v>2429</v>
      </c>
      <c r="E953" s="1773" t="s">
        <v>424</v>
      </c>
      <c r="F953" s="1780">
        <v>0.33</v>
      </c>
      <c r="G953" s="1774">
        <v>26.87</v>
      </c>
      <c r="H953" s="1775">
        <f>IF(E953="H",G953,TRUNC(G953*(1-$K$7),2))</f>
        <v>26.7</v>
      </c>
      <c r="I953" s="1776">
        <f t="shared" ref="I953:I955" si="131">TRUNC(H953*F953,2)</f>
        <v>8.81</v>
      </c>
      <c r="J953" s="1768"/>
    </row>
    <row r="954" spans="1:10">
      <c r="A954" s="1770" t="s">
        <v>2407</v>
      </c>
      <c r="B954" s="1771" t="s">
        <v>7</v>
      </c>
      <c r="C954" s="1771">
        <v>88310</v>
      </c>
      <c r="D954" s="1772" t="s">
        <v>127</v>
      </c>
      <c r="E954" s="1773" t="s">
        <v>387</v>
      </c>
      <c r="F954" s="1780">
        <v>0.187</v>
      </c>
      <c r="G954" s="1774">
        <v>25.64</v>
      </c>
      <c r="H954" s="1775">
        <f>IF(E954="H",G954,TRUNC(G954*(1-$K$7),2))</f>
        <v>25.64</v>
      </c>
      <c r="I954" s="1776">
        <f t="shared" si="131"/>
        <v>4.79</v>
      </c>
      <c r="J954" s="1768"/>
    </row>
    <row r="955" spans="1:10">
      <c r="A955" s="1770" t="s">
        <v>2407</v>
      </c>
      <c r="B955" s="1771" t="s">
        <v>7</v>
      </c>
      <c r="C955" s="1771">
        <v>88316</v>
      </c>
      <c r="D955" s="1772" t="s">
        <v>66</v>
      </c>
      <c r="E955" s="1773" t="s">
        <v>387</v>
      </c>
      <c r="F955" s="1780">
        <v>6.9000000000000006E-2</v>
      </c>
      <c r="G955" s="1774">
        <v>19.45</v>
      </c>
      <c r="H955" s="1775">
        <f>IF(E955="H",G955,TRUNC(G955*(1-$K$7),2))</f>
        <v>19.45</v>
      </c>
      <c r="I955" s="1776">
        <f t="shared" si="131"/>
        <v>1.34</v>
      </c>
      <c r="J955" s="1768"/>
    </row>
    <row r="956" spans="1:10">
      <c r="A956" s="1917" t="s">
        <v>2408</v>
      </c>
      <c r="B956" s="1918"/>
      <c r="C956" s="1918"/>
      <c r="D956" s="1918"/>
      <c r="E956" s="1918"/>
      <c r="F956" s="1918"/>
      <c r="G956" s="1918"/>
      <c r="H956" s="1919"/>
      <c r="I956" s="1778">
        <f>SUM(I953:I955)</f>
        <v>14.940000000000001</v>
      </c>
      <c r="J956" s="1768"/>
    </row>
    <row r="957" spans="1:10">
      <c r="A957" s="1920"/>
      <c r="B957" s="1921"/>
      <c r="C957" s="1921"/>
      <c r="D957" s="1921"/>
      <c r="E957" s="1921"/>
      <c r="F957" s="1921"/>
      <c r="G957" s="1921"/>
      <c r="H957" s="1921"/>
      <c r="I957" s="1922"/>
      <c r="J957" s="1768"/>
    </row>
    <row r="958" spans="1:10">
      <c r="A958" s="1757">
        <f>'PLANILHA SEM DESON'!B148</f>
        <v>88484</v>
      </c>
      <c r="B958" s="1923" t="str">
        <f>VLOOKUP(A958,'PLANILHA SEM DESON'!$B$17:$D$1699,2,FALSE)</f>
        <v>APLICAÇÃO DE FUNDO SELADOR ACRÍLICO EM TETO, UMA DEMÃO. AF_06/2014</v>
      </c>
      <c r="C958" s="1924"/>
      <c r="D958" s="1924"/>
      <c r="E958" s="1924"/>
      <c r="F958" s="1924"/>
      <c r="G958" s="1924"/>
      <c r="H958" s="1925"/>
      <c r="I958" s="1758" t="str">
        <f>VLOOKUP(A958,'PLANILHA SEM DESON'!$B$17:$D$1699,3,FALSE)</f>
        <v>m²</v>
      </c>
      <c r="J958" s="1759">
        <f>I963</f>
        <v>2.63</v>
      </c>
    </row>
    <row r="959" spans="1:10" ht="24">
      <c r="A959" s="1761" t="s">
        <v>2401</v>
      </c>
      <c r="B959" s="1762" t="s">
        <v>2402</v>
      </c>
      <c r="C959" s="1763" t="s">
        <v>2399</v>
      </c>
      <c r="D959" s="1764" t="s">
        <v>284</v>
      </c>
      <c r="E959" s="1763" t="s">
        <v>193</v>
      </c>
      <c r="F959" s="1765" t="s">
        <v>2403</v>
      </c>
      <c r="G959" s="1763" t="s">
        <v>2404</v>
      </c>
      <c r="H959" s="1766" t="s">
        <v>2405</v>
      </c>
      <c r="I959" s="1767" t="s">
        <v>2406</v>
      </c>
      <c r="J959" s="1768"/>
    </row>
    <row r="960" spans="1:10" ht="24">
      <c r="A960" s="1770" t="s">
        <v>2407</v>
      </c>
      <c r="B960" s="1771" t="s">
        <v>2410</v>
      </c>
      <c r="C960" s="1771">
        <v>6085</v>
      </c>
      <c r="D960" s="1772" t="s">
        <v>2615</v>
      </c>
      <c r="E960" s="1773" t="s">
        <v>424</v>
      </c>
      <c r="F960" s="1780">
        <v>0.16</v>
      </c>
      <c r="G960" s="1774">
        <v>6.11</v>
      </c>
      <c r="H960" s="1775">
        <f>IF(E960="H",G960,TRUNC(G960*(1-$K$7),2))</f>
        <v>6.07</v>
      </c>
      <c r="I960" s="1776">
        <f t="shared" ref="I960:I962" si="132">TRUNC(H960*F960,2)</f>
        <v>0.97</v>
      </c>
      <c r="J960" s="1768"/>
    </row>
    <row r="961" spans="1:10">
      <c r="A961" s="1770" t="s">
        <v>2407</v>
      </c>
      <c r="B961" s="1771" t="s">
        <v>7</v>
      </c>
      <c r="C961" s="1771">
        <v>88310</v>
      </c>
      <c r="D961" s="1772" t="s">
        <v>127</v>
      </c>
      <c r="E961" s="1773" t="s">
        <v>387</v>
      </c>
      <c r="F961" s="1780">
        <v>5.0999999999999997E-2</v>
      </c>
      <c r="G961" s="1774">
        <v>25.64</v>
      </c>
      <c r="H961" s="1775">
        <f>IF(E961="H",G961,TRUNC(G961*(1-$K$7),2))</f>
        <v>25.64</v>
      </c>
      <c r="I961" s="1776">
        <f t="shared" si="132"/>
        <v>1.3</v>
      </c>
      <c r="J961" s="1768"/>
    </row>
    <row r="962" spans="1:10">
      <c r="A962" s="1770" t="s">
        <v>2407</v>
      </c>
      <c r="B962" s="1771" t="s">
        <v>7</v>
      </c>
      <c r="C962" s="1771">
        <v>88316</v>
      </c>
      <c r="D962" s="1772" t="s">
        <v>66</v>
      </c>
      <c r="E962" s="1773" t="s">
        <v>387</v>
      </c>
      <c r="F962" s="1780">
        <v>1.9E-2</v>
      </c>
      <c r="G962" s="1774">
        <v>19.45</v>
      </c>
      <c r="H962" s="1775">
        <f>IF(E962="H",G962,TRUNC(G962*(1-$K$7),2))</f>
        <v>19.45</v>
      </c>
      <c r="I962" s="1776">
        <f t="shared" si="132"/>
        <v>0.36</v>
      </c>
      <c r="J962" s="1768"/>
    </row>
    <row r="963" spans="1:10">
      <c r="A963" s="1917" t="s">
        <v>2408</v>
      </c>
      <c r="B963" s="1918"/>
      <c r="C963" s="1918"/>
      <c r="D963" s="1918"/>
      <c r="E963" s="1918"/>
      <c r="F963" s="1918"/>
      <c r="G963" s="1918"/>
      <c r="H963" s="1919"/>
      <c r="I963" s="1778">
        <f>SUM(I960:I962)</f>
        <v>2.63</v>
      </c>
      <c r="J963" s="1768"/>
    </row>
    <row r="964" spans="1:10">
      <c r="A964" s="1920"/>
      <c r="B964" s="1921"/>
      <c r="C964" s="1921"/>
      <c r="D964" s="1921"/>
      <c r="E964" s="1921"/>
      <c r="F964" s="1921"/>
      <c r="G964" s="1921"/>
      <c r="H964" s="1921"/>
      <c r="I964" s="1922"/>
      <c r="J964" s="1768"/>
    </row>
    <row r="965" spans="1:10">
      <c r="A965" s="1757">
        <f>'PLANILHA SEM DESON'!B149</f>
        <v>88488</v>
      </c>
      <c r="B965" s="1923" t="str">
        <f>VLOOKUP(A965,'PLANILHA SEM DESON'!$B$17:$D$1699,2,FALSE)</f>
        <v>APLICAÇÃO MANUAL DE PINTURA COM TINTA LÁTEX ACRÍLICA EM TETO, DUAS DEMÃOS. AF_06/2014</v>
      </c>
      <c r="C965" s="1924"/>
      <c r="D965" s="1924"/>
      <c r="E965" s="1924"/>
      <c r="F965" s="1924"/>
      <c r="G965" s="1924"/>
      <c r="H965" s="1925"/>
      <c r="I965" s="1758" t="str">
        <f>VLOOKUP(A965,'PLANILHA SEM DESON'!$B$17:$D$1699,3,FALSE)</f>
        <v>m²</v>
      </c>
      <c r="J965" s="1759">
        <f>I970</f>
        <v>16.79</v>
      </c>
    </row>
    <row r="966" spans="1:10" ht="24">
      <c r="A966" s="1761" t="s">
        <v>2401</v>
      </c>
      <c r="B966" s="1762" t="s">
        <v>2402</v>
      </c>
      <c r="C966" s="1763" t="s">
        <v>2399</v>
      </c>
      <c r="D966" s="1764" t="s">
        <v>284</v>
      </c>
      <c r="E966" s="1763" t="s">
        <v>193</v>
      </c>
      <c r="F966" s="1765" t="s">
        <v>2403</v>
      </c>
      <c r="G966" s="1763" t="s">
        <v>2404</v>
      </c>
      <c r="H966" s="1766" t="s">
        <v>2405</v>
      </c>
      <c r="I966" s="1767" t="s">
        <v>2406</v>
      </c>
      <c r="J966" s="1768"/>
    </row>
    <row r="967" spans="1:10">
      <c r="A967" s="1770" t="s">
        <v>2407</v>
      </c>
      <c r="B967" s="1771" t="s">
        <v>2410</v>
      </c>
      <c r="C967" s="1771">
        <v>7356</v>
      </c>
      <c r="D967" s="1772" t="s">
        <v>2429</v>
      </c>
      <c r="E967" s="1773" t="s">
        <v>424</v>
      </c>
      <c r="F967" s="1780">
        <v>0.33</v>
      </c>
      <c r="G967" s="1774">
        <v>26.87</v>
      </c>
      <c r="H967" s="1775">
        <f>IF(E967="H",G967,TRUNC(G967*(1-$K$7),2))</f>
        <v>26.7</v>
      </c>
      <c r="I967" s="1776">
        <f t="shared" ref="I967:I969" si="133">TRUNC(H967*F967,2)</f>
        <v>8.81</v>
      </c>
      <c r="J967" s="1768"/>
    </row>
    <row r="968" spans="1:10">
      <c r="A968" s="1770" t="s">
        <v>2407</v>
      </c>
      <c r="B968" s="1771" t="s">
        <v>7</v>
      </c>
      <c r="C968" s="1771">
        <v>88310</v>
      </c>
      <c r="D968" s="1772" t="s">
        <v>127</v>
      </c>
      <c r="E968" s="1773" t="s">
        <v>387</v>
      </c>
      <c r="F968" s="1780">
        <v>0.24399999999999999</v>
      </c>
      <c r="G968" s="1774">
        <v>25.64</v>
      </c>
      <c r="H968" s="1775">
        <f>IF(E968="H",G968,TRUNC(G968*(1-$K$7),2))</f>
        <v>25.64</v>
      </c>
      <c r="I968" s="1776">
        <f t="shared" si="133"/>
        <v>6.25</v>
      </c>
      <c r="J968" s="1768"/>
    </row>
    <row r="969" spans="1:10">
      <c r="A969" s="1770" t="s">
        <v>2407</v>
      </c>
      <c r="B969" s="1771" t="s">
        <v>7</v>
      </c>
      <c r="C969" s="1771">
        <v>88316</v>
      </c>
      <c r="D969" s="1772" t="s">
        <v>66</v>
      </c>
      <c r="E969" s="1773" t="s">
        <v>387</v>
      </c>
      <c r="F969" s="1780">
        <v>8.8999999999999996E-2</v>
      </c>
      <c r="G969" s="1774">
        <v>19.45</v>
      </c>
      <c r="H969" s="1775">
        <f>IF(E969="H",G969,TRUNC(G969*(1-$K$7),2))</f>
        <v>19.45</v>
      </c>
      <c r="I969" s="1776">
        <f t="shared" si="133"/>
        <v>1.73</v>
      </c>
      <c r="J969" s="1768"/>
    </row>
    <row r="970" spans="1:10">
      <c r="A970" s="1917" t="s">
        <v>2408</v>
      </c>
      <c r="B970" s="1918"/>
      <c r="C970" s="1918"/>
      <c r="D970" s="1918"/>
      <c r="E970" s="1918"/>
      <c r="F970" s="1918"/>
      <c r="G970" s="1918"/>
      <c r="H970" s="1919"/>
      <c r="I970" s="1778">
        <f>SUM(I967:I969)</f>
        <v>16.79</v>
      </c>
      <c r="J970" s="1768"/>
    </row>
    <row r="971" spans="1:10">
      <c r="A971" s="1920"/>
      <c r="B971" s="1921"/>
      <c r="C971" s="1921"/>
      <c r="D971" s="1921"/>
      <c r="E971" s="1921"/>
      <c r="F971" s="1921"/>
      <c r="G971" s="1921"/>
      <c r="H971" s="1921"/>
      <c r="I971" s="1922"/>
      <c r="J971" s="1768"/>
    </row>
    <row r="972" spans="1:10">
      <c r="A972" s="1757">
        <f>'PLANILHA SEM DESON'!B151</f>
        <v>88415</v>
      </c>
      <c r="B972" s="1923" t="str">
        <f>VLOOKUP(A972,'PLANILHA SEM DESON'!$B$17:$D$1699,2,FALSE)</f>
        <v>APLICAÇÃO MANUAL DE FUNDO SELADOR ACRÍLICO EM PAREDES EXTERNAS DE CASAS. AF_06/2014</v>
      </c>
      <c r="C972" s="1924"/>
      <c r="D972" s="1924"/>
      <c r="E972" s="1924"/>
      <c r="F972" s="1924"/>
      <c r="G972" s="1924"/>
      <c r="H972" s="1925"/>
      <c r="I972" s="1758" t="str">
        <f>VLOOKUP(A972,'PLANILHA SEM DESON'!$B$17:$D$1699,3,FALSE)</f>
        <v>m²</v>
      </c>
      <c r="J972" s="1759">
        <f>I977</f>
        <v>2.6199999999999997</v>
      </c>
    </row>
    <row r="973" spans="1:10" ht="24">
      <c r="A973" s="1761" t="s">
        <v>2401</v>
      </c>
      <c r="B973" s="1762" t="s">
        <v>2402</v>
      </c>
      <c r="C973" s="1763" t="s">
        <v>2399</v>
      </c>
      <c r="D973" s="1764" t="s">
        <v>284</v>
      </c>
      <c r="E973" s="1763" t="s">
        <v>193</v>
      </c>
      <c r="F973" s="1765" t="s">
        <v>2403</v>
      </c>
      <c r="G973" s="1763" t="s">
        <v>2404</v>
      </c>
      <c r="H973" s="1766" t="s">
        <v>2405</v>
      </c>
      <c r="I973" s="1767" t="s">
        <v>2406</v>
      </c>
      <c r="J973" s="1768"/>
    </row>
    <row r="974" spans="1:10" ht="24">
      <c r="A974" s="1770" t="s">
        <v>2407</v>
      </c>
      <c r="B974" s="1771" t="s">
        <v>2410</v>
      </c>
      <c r="C974" s="1771">
        <v>6085</v>
      </c>
      <c r="D974" s="1772" t="s">
        <v>2615</v>
      </c>
      <c r="E974" s="1773" t="s">
        <v>424</v>
      </c>
      <c r="F974" s="1780">
        <v>0.16</v>
      </c>
      <c r="G974" s="1774">
        <v>6.11</v>
      </c>
      <c r="H974" s="1775">
        <f>IF(E974="H",G974,TRUNC(G974*(1-$K$7),2))</f>
        <v>6.07</v>
      </c>
      <c r="I974" s="1776">
        <f t="shared" ref="I974:I976" si="134">TRUNC(H974*F974,2)</f>
        <v>0.97</v>
      </c>
      <c r="J974" s="1768"/>
    </row>
    <row r="975" spans="1:10">
      <c r="A975" s="1770" t="s">
        <v>2407</v>
      </c>
      <c r="B975" s="1771" t="s">
        <v>7</v>
      </c>
      <c r="C975" s="1771">
        <v>88310</v>
      </c>
      <c r="D975" s="1772" t="s">
        <v>127</v>
      </c>
      <c r="E975" s="1773" t="s">
        <v>387</v>
      </c>
      <c r="F975" s="1780">
        <v>5.3999999999999999E-2</v>
      </c>
      <c r="G975" s="1774">
        <v>25.64</v>
      </c>
      <c r="H975" s="1775">
        <f>IF(E975="H",G975,TRUNC(G975*(1-$K$7),2))</f>
        <v>25.64</v>
      </c>
      <c r="I975" s="1776">
        <f t="shared" si="134"/>
        <v>1.38</v>
      </c>
      <c r="J975" s="1768"/>
    </row>
    <row r="976" spans="1:10">
      <c r="A976" s="1770" t="s">
        <v>2407</v>
      </c>
      <c r="B976" s="1771" t="s">
        <v>7</v>
      </c>
      <c r="C976" s="1771">
        <v>88316</v>
      </c>
      <c r="D976" s="1772" t="s">
        <v>66</v>
      </c>
      <c r="E976" s="1773" t="s">
        <v>387</v>
      </c>
      <c r="F976" s="1780">
        <v>1.4E-2</v>
      </c>
      <c r="G976" s="1774">
        <v>19.45</v>
      </c>
      <c r="H976" s="1775">
        <f>IF(E976="H",G976,TRUNC(G976*(1-$K$7),2))</f>
        <v>19.45</v>
      </c>
      <c r="I976" s="1776">
        <f t="shared" si="134"/>
        <v>0.27</v>
      </c>
      <c r="J976" s="1768"/>
    </row>
    <row r="977" spans="1:10">
      <c r="A977" s="1917" t="s">
        <v>2408</v>
      </c>
      <c r="B977" s="1918"/>
      <c r="C977" s="1918"/>
      <c r="D977" s="1918"/>
      <c r="E977" s="1918"/>
      <c r="F977" s="1918"/>
      <c r="G977" s="1918"/>
      <c r="H977" s="1919"/>
      <c r="I977" s="1778">
        <f>SUM(I974:I976)</f>
        <v>2.6199999999999997</v>
      </c>
      <c r="J977" s="1768"/>
    </row>
    <row r="978" spans="1:10">
      <c r="A978" s="1920"/>
      <c r="B978" s="1921"/>
      <c r="C978" s="1921"/>
      <c r="D978" s="1921"/>
      <c r="E978" s="1921"/>
      <c r="F978" s="1921"/>
      <c r="G978" s="1921"/>
      <c r="H978" s="1921"/>
      <c r="I978" s="1922"/>
      <c r="J978" s="1768"/>
    </row>
    <row r="979" spans="1:10" ht="26.25" customHeight="1">
      <c r="A979" s="1757">
        <f>'PLANILHA SEM DESON'!B152</f>
        <v>88431</v>
      </c>
      <c r="B979" s="1923" t="str">
        <f>VLOOKUP(A979,'PLANILHA SEM DESON'!$B$17:$D$1699,2,FALSE)</f>
        <v>APLICAÇÃO MANUAL DE PINTURA COM TINTA TEXTURIZADA ACRÍLICA EM PAREDES EXTERNAS DE CASAS, DUAS CORES. AF_06/2014</v>
      </c>
      <c r="C979" s="1924"/>
      <c r="D979" s="1924"/>
      <c r="E979" s="1924"/>
      <c r="F979" s="1924"/>
      <c r="G979" s="1924"/>
      <c r="H979" s="1925"/>
      <c r="I979" s="1758" t="str">
        <f>VLOOKUP(A979,'PLANILHA SEM DESON'!$B$17:$D$1699,3,FALSE)</f>
        <v>m²</v>
      </c>
      <c r="J979" s="1759">
        <f>I984</f>
        <v>21.57</v>
      </c>
    </row>
    <row r="980" spans="1:10" ht="24">
      <c r="A980" s="1761" t="s">
        <v>2401</v>
      </c>
      <c r="B980" s="1762" t="s">
        <v>2402</v>
      </c>
      <c r="C980" s="1763" t="s">
        <v>2399</v>
      </c>
      <c r="D980" s="1764" t="s">
        <v>284</v>
      </c>
      <c r="E980" s="1763" t="s">
        <v>193</v>
      </c>
      <c r="F980" s="1765" t="s">
        <v>2403</v>
      </c>
      <c r="G980" s="1763" t="s">
        <v>2404</v>
      </c>
      <c r="H980" s="1766" t="s">
        <v>2405</v>
      </c>
      <c r="I980" s="1767" t="s">
        <v>2406</v>
      </c>
      <c r="J980" s="1768"/>
    </row>
    <row r="981" spans="1:10" ht="24">
      <c r="A981" s="1770" t="s">
        <v>2407</v>
      </c>
      <c r="B981" s="1771" t="s">
        <v>2410</v>
      </c>
      <c r="C981" s="1771">
        <v>38877</v>
      </c>
      <c r="D981" s="1772" t="s">
        <v>2616</v>
      </c>
      <c r="E981" s="1773" t="s">
        <v>1145</v>
      </c>
      <c r="F981" s="1780">
        <v>1.9379999999999999</v>
      </c>
      <c r="G981" s="1774">
        <v>6.41</v>
      </c>
      <c r="H981" s="1775">
        <f>IF(E981="H",G981,TRUNC(G981*(1-$K$7),2))</f>
        <v>6.37</v>
      </c>
      <c r="I981" s="1776">
        <f t="shared" ref="I981:I983" si="135">TRUNC(H981*F981,2)</f>
        <v>12.34</v>
      </c>
      <c r="J981" s="1768"/>
    </row>
    <row r="982" spans="1:10">
      <c r="A982" s="1770" t="s">
        <v>2407</v>
      </c>
      <c r="B982" s="1771" t="s">
        <v>7</v>
      </c>
      <c r="C982" s="1771">
        <v>88310</v>
      </c>
      <c r="D982" s="1772" t="s">
        <v>127</v>
      </c>
      <c r="E982" s="1773" t="s">
        <v>387</v>
      </c>
      <c r="F982" s="1780">
        <v>0.30299999999999999</v>
      </c>
      <c r="G982" s="1774">
        <v>25.64</v>
      </c>
      <c r="H982" s="1775">
        <f>IF(E982="H",G982,TRUNC(G982*(1-$K$7),2))</f>
        <v>25.64</v>
      </c>
      <c r="I982" s="1776">
        <f t="shared" si="135"/>
        <v>7.76</v>
      </c>
      <c r="J982" s="1768"/>
    </row>
    <row r="983" spans="1:10">
      <c r="A983" s="1770" t="s">
        <v>2407</v>
      </c>
      <c r="B983" s="1771" t="s">
        <v>7</v>
      </c>
      <c r="C983" s="1771">
        <v>88316</v>
      </c>
      <c r="D983" s="1772" t="s">
        <v>66</v>
      </c>
      <c r="E983" s="1773" t="s">
        <v>387</v>
      </c>
      <c r="F983" s="1780">
        <v>7.5999999999999998E-2</v>
      </c>
      <c r="G983" s="1774">
        <v>19.45</v>
      </c>
      <c r="H983" s="1775">
        <f>IF(E983="H",G983,TRUNC(G983*(1-$K$7),2))</f>
        <v>19.45</v>
      </c>
      <c r="I983" s="1776">
        <f t="shared" si="135"/>
        <v>1.47</v>
      </c>
      <c r="J983" s="1768"/>
    </row>
    <row r="984" spans="1:10">
      <c r="A984" s="1917" t="s">
        <v>2408</v>
      </c>
      <c r="B984" s="1918"/>
      <c r="C984" s="1918"/>
      <c r="D984" s="1918"/>
      <c r="E984" s="1918"/>
      <c r="F984" s="1918"/>
      <c r="G984" s="1918"/>
      <c r="H984" s="1919"/>
      <c r="I984" s="1778">
        <f>SUM(I981:I983)</f>
        <v>21.57</v>
      </c>
      <c r="J984" s="1768"/>
    </row>
    <row r="985" spans="1:10">
      <c r="A985" s="1920"/>
      <c r="B985" s="1921"/>
      <c r="C985" s="1921"/>
      <c r="D985" s="1921"/>
      <c r="E985" s="1921"/>
      <c r="F985" s="1921"/>
      <c r="G985" s="1921"/>
      <c r="H985" s="1921"/>
      <c r="I985" s="1922"/>
      <c r="J985" s="1768"/>
    </row>
    <row r="986" spans="1:10">
      <c r="A986" s="1757">
        <f>'PLANILHA SEM DESON'!B153</f>
        <v>95626</v>
      </c>
      <c r="B986" s="1923" t="str">
        <f>VLOOKUP(A986,'PLANILHA SEM DESON'!$B$17:$D$1699,2,FALSE)</f>
        <v>APLICAÇÃO MANUAL DE TINTA LÁTEX ACRÍLICA EM PAREDE EXTERNAS DE CASAS,DUAS DEMÃOS. AF_11/2016</v>
      </c>
      <c r="C986" s="1924"/>
      <c r="D986" s="1924"/>
      <c r="E986" s="1924"/>
      <c r="F986" s="1924"/>
      <c r="G986" s="1924"/>
      <c r="H986" s="1925"/>
      <c r="I986" s="1758" t="str">
        <f>VLOOKUP(A986,'PLANILHA SEM DESON'!$B$17:$D$1699,3,FALSE)</f>
        <v>m²</v>
      </c>
      <c r="J986" s="1759">
        <f>I991</f>
        <v>15.83</v>
      </c>
    </row>
    <row r="987" spans="1:10" ht="24">
      <c r="A987" s="1761" t="s">
        <v>2401</v>
      </c>
      <c r="B987" s="1762" t="s">
        <v>2402</v>
      </c>
      <c r="C987" s="1763" t="s">
        <v>2399</v>
      </c>
      <c r="D987" s="1764" t="s">
        <v>284</v>
      </c>
      <c r="E987" s="1763" t="s">
        <v>193</v>
      </c>
      <c r="F987" s="1765" t="s">
        <v>2403</v>
      </c>
      <c r="G987" s="1763" t="s">
        <v>2404</v>
      </c>
      <c r="H987" s="1766" t="s">
        <v>2405</v>
      </c>
      <c r="I987" s="1767" t="s">
        <v>2406</v>
      </c>
      <c r="J987" s="1768"/>
    </row>
    <row r="988" spans="1:10">
      <c r="A988" s="1770" t="s">
        <v>2407</v>
      </c>
      <c r="B988" s="1771" t="s">
        <v>2410</v>
      </c>
      <c r="C988" s="1771">
        <v>7356</v>
      </c>
      <c r="D988" s="1772" t="s">
        <v>2429</v>
      </c>
      <c r="E988" s="1773" t="s">
        <v>424</v>
      </c>
      <c r="F988" s="1780">
        <v>0.2</v>
      </c>
      <c r="G988" s="1774">
        <v>26.87</v>
      </c>
      <c r="H988" s="1775">
        <f>IF(E988="H",G988,TRUNC(G988*(1-$K$7),2))</f>
        <v>26.7</v>
      </c>
      <c r="I988" s="1776">
        <f t="shared" ref="I988:I990" si="136">TRUNC(H988*F988,2)</f>
        <v>5.34</v>
      </c>
      <c r="J988" s="1768"/>
    </row>
    <row r="989" spans="1:10">
      <c r="A989" s="1770" t="s">
        <v>2407</v>
      </c>
      <c r="B989" s="1771" t="s">
        <v>7</v>
      </c>
      <c r="C989" s="1771">
        <v>88310</v>
      </c>
      <c r="D989" s="1772" t="s">
        <v>127</v>
      </c>
      <c r="E989" s="1773" t="s">
        <v>387</v>
      </c>
      <c r="F989" s="1780">
        <v>0.34399999999999997</v>
      </c>
      <c r="G989" s="1774">
        <v>25.64</v>
      </c>
      <c r="H989" s="1775">
        <f>IF(E989="H",G989,TRUNC(G989*(1-$K$7),2))</f>
        <v>25.64</v>
      </c>
      <c r="I989" s="1776">
        <f t="shared" si="136"/>
        <v>8.82</v>
      </c>
      <c r="J989" s="1768"/>
    </row>
    <row r="990" spans="1:10">
      <c r="A990" s="1770" t="s">
        <v>2407</v>
      </c>
      <c r="B990" s="1771" t="s">
        <v>7</v>
      </c>
      <c r="C990" s="1771">
        <v>88316</v>
      </c>
      <c r="D990" s="1772" t="s">
        <v>66</v>
      </c>
      <c r="E990" s="1773" t="s">
        <v>387</v>
      </c>
      <c r="F990" s="1780">
        <v>8.5999999999999993E-2</v>
      </c>
      <c r="G990" s="1774">
        <v>19.45</v>
      </c>
      <c r="H990" s="1775">
        <f>IF(E990="H",G990,TRUNC(G990*(1-$K$7),2))</f>
        <v>19.45</v>
      </c>
      <c r="I990" s="1776">
        <f t="shared" si="136"/>
        <v>1.67</v>
      </c>
      <c r="J990" s="1768"/>
    </row>
    <row r="991" spans="1:10">
      <c r="A991" s="1917" t="s">
        <v>2408</v>
      </c>
      <c r="B991" s="1918"/>
      <c r="C991" s="1918"/>
      <c r="D991" s="1918"/>
      <c r="E991" s="1918"/>
      <c r="F991" s="1918"/>
      <c r="G991" s="1918"/>
      <c r="H991" s="1919"/>
      <c r="I991" s="1778">
        <f>SUM(I988:I990)</f>
        <v>15.83</v>
      </c>
      <c r="J991" s="1768"/>
    </row>
    <row r="992" spans="1:10">
      <c r="A992" s="1920"/>
      <c r="B992" s="1921"/>
      <c r="C992" s="1921"/>
      <c r="D992" s="1921"/>
      <c r="E992" s="1921"/>
      <c r="F992" s="1921"/>
      <c r="G992" s="1921"/>
      <c r="H992" s="1921"/>
      <c r="I992" s="1922"/>
      <c r="J992" s="1768"/>
    </row>
    <row r="993" spans="1:10">
      <c r="A993" s="1757" t="str">
        <f>'PLANILHA SEM DESON'!B154</f>
        <v>COMP 31</v>
      </c>
      <c r="B993" s="1923" t="str">
        <f>VLOOKUP(A993,'PLANILHA SEM DESON'!$B$17:$D$1699,2,FALSE)</f>
        <v>REGULARIZAÇÃO DE LAJE COM INCLINAÇÃO DE 2%</v>
      </c>
      <c r="C993" s="1924"/>
      <c r="D993" s="1924"/>
      <c r="E993" s="1924"/>
      <c r="F993" s="1924"/>
      <c r="G993" s="1924"/>
      <c r="H993" s="1925"/>
      <c r="I993" s="1758" t="str">
        <f>VLOOKUP(A993,'PLANILHA SEM DESON'!$B$17:$D$1699,3,FALSE)</f>
        <v>m²</v>
      </c>
      <c r="J993" s="1759">
        <f>I999</f>
        <v>27.740000000000002</v>
      </c>
    </row>
    <row r="994" spans="1:10" ht="24">
      <c r="A994" s="1761" t="s">
        <v>2401</v>
      </c>
      <c r="B994" s="1762" t="s">
        <v>2402</v>
      </c>
      <c r="C994" s="1763" t="s">
        <v>2399</v>
      </c>
      <c r="D994" s="1764" t="s">
        <v>284</v>
      </c>
      <c r="E994" s="1763" t="s">
        <v>193</v>
      </c>
      <c r="F994" s="1765" t="s">
        <v>2403</v>
      </c>
      <c r="G994" s="1763" t="s">
        <v>2404</v>
      </c>
      <c r="H994" s="1766" t="s">
        <v>2405</v>
      </c>
      <c r="I994" s="1767" t="s">
        <v>2406</v>
      </c>
      <c r="J994" s="1768"/>
    </row>
    <row r="995" spans="1:10">
      <c r="A995" s="1770"/>
      <c r="B995" s="1771"/>
      <c r="C995" s="1771">
        <v>88309</v>
      </c>
      <c r="D995" s="1772" t="s">
        <v>103</v>
      </c>
      <c r="E995" s="1773" t="s">
        <v>57</v>
      </c>
      <c r="F995" s="1782">
        <v>0.113</v>
      </c>
      <c r="G995" s="1780">
        <v>24.59</v>
      </c>
      <c r="H995" s="1775">
        <f>IF(E995="H",G995,TRUNC(G995*(1-$K$7),2))</f>
        <v>24.59</v>
      </c>
      <c r="I995" s="1776">
        <f t="shared" ref="I995:I998" si="137">TRUNC(H995*F995,2)</f>
        <v>2.77</v>
      </c>
      <c r="J995" s="1768"/>
    </row>
    <row r="996" spans="1:10">
      <c r="A996" s="1770"/>
      <c r="B996" s="1771"/>
      <c r="C996" s="1771">
        <v>88316</v>
      </c>
      <c r="D996" s="1772" t="s">
        <v>66</v>
      </c>
      <c r="E996" s="1773" t="s">
        <v>57</v>
      </c>
      <c r="F996" s="1782">
        <v>3.61E-2</v>
      </c>
      <c r="G996" s="1781">
        <v>19.45</v>
      </c>
      <c r="H996" s="1775">
        <f>IF(E996="H",G996,TRUNC(G996*(1-$K$7),2))</f>
        <v>19.45</v>
      </c>
      <c r="I996" s="1776">
        <f t="shared" si="137"/>
        <v>0.7</v>
      </c>
      <c r="J996" s="1768"/>
    </row>
    <row r="997" spans="1:10" ht="24">
      <c r="A997" s="1770"/>
      <c r="B997" s="1771"/>
      <c r="C997" s="1771">
        <v>7334</v>
      </c>
      <c r="D997" s="1772" t="s">
        <v>2016</v>
      </c>
      <c r="E997" s="1773" t="s">
        <v>424</v>
      </c>
      <c r="F997" s="1784">
        <v>0.2</v>
      </c>
      <c r="G997" s="1779">
        <v>21.98</v>
      </c>
      <c r="H997" s="1775">
        <f>IF(E997="H",G997,TRUNC(G997*(1-$K$7),2))</f>
        <v>21.84</v>
      </c>
      <c r="I997" s="1776">
        <f t="shared" si="137"/>
        <v>4.3600000000000003</v>
      </c>
      <c r="J997" s="1768"/>
    </row>
    <row r="998" spans="1:10" ht="36">
      <c r="A998" s="1770"/>
      <c r="B998" s="1771"/>
      <c r="C998" s="1771">
        <v>38546</v>
      </c>
      <c r="D998" s="1772" t="s">
        <v>2017</v>
      </c>
      <c r="E998" s="1773" t="s">
        <v>47</v>
      </c>
      <c r="F998" s="1782">
        <v>3.1199999999999999E-2</v>
      </c>
      <c r="G998" s="1779">
        <v>642.23</v>
      </c>
      <c r="H998" s="1775">
        <f>IF(E998="H",G998,TRUNC(G998*(1-$K$7),2))</f>
        <v>638.37</v>
      </c>
      <c r="I998" s="1776">
        <f t="shared" si="137"/>
        <v>19.91</v>
      </c>
      <c r="J998" s="1768"/>
    </row>
    <row r="999" spans="1:10">
      <c r="A999" s="1917" t="s">
        <v>2408</v>
      </c>
      <c r="B999" s="1918"/>
      <c r="C999" s="1918"/>
      <c r="D999" s="1918"/>
      <c r="E999" s="1918"/>
      <c r="F999" s="1918"/>
      <c r="G999" s="1918"/>
      <c r="H999" s="1919"/>
      <c r="I999" s="1778">
        <f>SUM(I995:I998)</f>
        <v>27.740000000000002</v>
      </c>
      <c r="J999" s="1768"/>
    </row>
    <row r="1000" spans="1:10">
      <c r="A1000" s="1920"/>
      <c r="B1000" s="1921"/>
      <c r="C1000" s="1921"/>
      <c r="D1000" s="1921"/>
      <c r="E1000" s="1921"/>
      <c r="F1000" s="1921"/>
      <c r="G1000" s="1921"/>
      <c r="H1000" s="1921"/>
      <c r="I1000" s="1922"/>
      <c r="J1000" s="1768"/>
    </row>
    <row r="1001" spans="1:10">
      <c r="A1001" s="1757">
        <f>'PLANILHA SEM DESON'!B155</f>
        <v>88488</v>
      </c>
      <c r="B1001" s="1923" t="str">
        <f>VLOOKUP(A1001,'PLANILHA SEM DESON'!$B$17:$D$1699,2,FALSE)</f>
        <v>APLICAÇÃO MANUAL DE PINTURA COM TINTA LÁTEX ACRÍLICA EM TETO, DUAS DEMÃOS. AF_06/2014</v>
      </c>
      <c r="C1001" s="1924"/>
      <c r="D1001" s="1924"/>
      <c r="E1001" s="1924"/>
      <c r="F1001" s="1924"/>
      <c r="G1001" s="1924"/>
      <c r="H1001" s="1925"/>
      <c r="I1001" s="1758" t="str">
        <f>VLOOKUP(A1001,'PLANILHA SEM DESON'!$B$17:$D$1699,3,FALSE)</f>
        <v>m²</v>
      </c>
      <c r="J1001" s="1759">
        <f>I1006</f>
        <v>16.79</v>
      </c>
    </row>
    <row r="1002" spans="1:10" ht="24">
      <c r="A1002" s="1761" t="s">
        <v>2401</v>
      </c>
      <c r="B1002" s="1762" t="s">
        <v>2402</v>
      </c>
      <c r="C1002" s="1763" t="s">
        <v>2399</v>
      </c>
      <c r="D1002" s="1764" t="s">
        <v>284</v>
      </c>
      <c r="E1002" s="1763" t="s">
        <v>193</v>
      </c>
      <c r="F1002" s="1765" t="s">
        <v>2403</v>
      </c>
      <c r="G1002" s="1763" t="s">
        <v>2404</v>
      </c>
      <c r="H1002" s="1766" t="s">
        <v>2405</v>
      </c>
      <c r="I1002" s="1767" t="s">
        <v>2406</v>
      </c>
      <c r="J1002" s="1768"/>
    </row>
    <row r="1003" spans="1:10">
      <c r="A1003" s="1770" t="s">
        <v>2407</v>
      </c>
      <c r="B1003" s="1771" t="s">
        <v>2410</v>
      </c>
      <c r="C1003" s="1771">
        <v>7356</v>
      </c>
      <c r="D1003" s="1772" t="s">
        <v>2429</v>
      </c>
      <c r="E1003" s="1773" t="s">
        <v>424</v>
      </c>
      <c r="F1003" s="1780">
        <v>0.33</v>
      </c>
      <c r="G1003" s="1774">
        <v>26.87</v>
      </c>
      <c r="H1003" s="1775">
        <f>IF(E1003="H",G1003,TRUNC(G1003*(1-$K$7),2))</f>
        <v>26.7</v>
      </c>
      <c r="I1003" s="1776">
        <f t="shared" ref="I1003:I1005" si="138">TRUNC(H1003*F1003,2)</f>
        <v>8.81</v>
      </c>
      <c r="J1003" s="1768"/>
    </row>
    <row r="1004" spans="1:10">
      <c r="A1004" s="1770" t="s">
        <v>2407</v>
      </c>
      <c r="B1004" s="1771" t="s">
        <v>7</v>
      </c>
      <c r="C1004" s="1771">
        <v>88310</v>
      </c>
      <c r="D1004" s="1772" t="s">
        <v>127</v>
      </c>
      <c r="E1004" s="1773" t="s">
        <v>387</v>
      </c>
      <c r="F1004" s="1780">
        <v>0.24399999999999999</v>
      </c>
      <c r="G1004" s="1774">
        <v>25.64</v>
      </c>
      <c r="H1004" s="1775">
        <f>IF(E1004="H",G1004,TRUNC(G1004*(1-$K$7),2))</f>
        <v>25.64</v>
      </c>
      <c r="I1004" s="1776">
        <f t="shared" si="138"/>
        <v>6.25</v>
      </c>
      <c r="J1004" s="1768"/>
    </row>
    <row r="1005" spans="1:10">
      <c r="A1005" s="1770" t="s">
        <v>2407</v>
      </c>
      <c r="B1005" s="1771" t="s">
        <v>7</v>
      </c>
      <c r="C1005" s="1771">
        <v>88316</v>
      </c>
      <c r="D1005" s="1772" t="s">
        <v>66</v>
      </c>
      <c r="E1005" s="1773" t="s">
        <v>387</v>
      </c>
      <c r="F1005" s="1780">
        <v>8.8999999999999996E-2</v>
      </c>
      <c r="G1005" s="1774">
        <v>19.45</v>
      </c>
      <c r="H1005" s="1775">
        <f>IF(E1005="H",G1005,TRUNC(G1005*(1-$K$7),2))</f>
        <v>19.45</v>
      </c>
      <c r="I1005" s="1776">
        <f t="shared" si="138"/>
        <v>1.73</v>
      </c>
      <c r="J1005" s="1768"/>
    </row>
    <row r="1006" spans="1:10">
      <c r="A1006" s="1917" t="s">
        <v>2408</v>
      </c>
      <c r="B1006" s="1918"/>
      <c r="C1006" s="1918"/>
      <c r="D1006" s="1918"/>
      <c r="E1006" s="1918"/>
      <c r="F1006" s="1918"/>
      <c r="G1006" s="1918"/>
      <c r="H1006" s="1919"/>
      <c r="I1006" s="1778">
        <f>SUM(I1003:I1005)</f>
        <v>16.79</v>
      </c>
      <c r="J1006" s="1768"/>
    </row>
    <row r="1007" spans="1:10">
      <c r="A1007" s="1920"/>
      <c r="B1007" s="1921"/>
      <c r="C1007" s="1921"/>
      <c r="D1007" s="1921"/>
      <c r="E1007" s="1921"/>
      <c r="F1007" s="1921"/>
      <c r="G1007" s="1921"/>
      <c r="H1007" s="1921"/>
      <c r="I1007" s="1922"/>
      <c r="J1007" s="1768"/>
    </row>
    <row r="1008" spans="1:10" ht="24.75" customHeight="1">
      <c r="A1008" s="1757" t="str">
        <f>'PLANILHA SEM DESON'!B159</f>
        <v>COMP ESTR 05</v>
      </c>
      <c r="B1008" s="1923" t="str">
        <f>VLOOKUP(A1008,'PLANILHA SEM DESON'!$B$17:$D$1699,2,FALSE)</f>
        <v>FORNECIMENTO E MONTAGEM DE ESTRUTURA METÁLICA PARA COBERTURA, EXECUTADA EM PERFIS LAMINADOS/SOLDADOS/DOBRADOS DE CHAPAS DE AÇO, CONFORME PROJETOS ESTRUTURAIS</v>
      </c>
      <c r="C1008" s="1924"/>
      <c r="D1008" s="1924"/>
      <c r="E1008" s="1924"/>
      <c r="F1008" s="1924"/>
      <c r="G1008" s="1924"/>
      <c r="H1008" s="1925"/>
      <c r="I1008" s="1758" t="str">
        <f>VLOOKUP(A1008,'PLANILHA SEM DESON'!$B$17:$D$1699,3,FALSE)</f>
        <v>Kg</v>
      </c>
      <c r="J1008" s="1759">
        <f>I1023</f>
        <v>15.129999999999999</v>
      </c>
    </row>
    <row r="1009" spans="1:10" ht="24">
      <c r="A1009" s="1761" t="s">
        <v>2401</v>
      </c>
      <c r="B1009" s="1762" t="s">
        <v>2402</v>
      </c>
      <c r="C1009" s="1763" t="s">
        <v>2399</v>
      </c>
      <c r="D1009" s="1764" t="s">
        <v>284</v>
      </c>
      <c r="E1009" s="1763" t="s">
        <v>193</v>
      </c>
      <c r="F1009" s="1765" t="s">
        <v>2403</v>
      </c>
      <c r="G1009" s="1763" t="s">
        <v>2404</v>
      </c>
      <c r="H1009" s="1766" t="s">
        <v>2405</v>
      </c>
      <c r="I1009" s="1767" t="s">
        <v>2406</v>
      </c>
      <c r="J1009" s="1768"/>
    </row>
    <row r="1010" spans="1:10">
      <c r="A1010" s="1770"/>
      <c r="B1010" s="1771"/>
      <c r="C1010" s="1771">
        <v>88315</v>
      </c>
      <c r="D1010" s="1772" t="s">
        <v>1330</v>
      </c>
      <c r="E1010" s="1786" t="s">
        <v>387</v>
      </c>
      <c r="F1010" s="1787">
        <v>0.02</v>
      </c>
      <c r="G1010" s="1779">
        <v>24.44</v>
      </c>
      <c r="H1010" s="1775">
        <f t="shared" ref="H1010:H1022" si="139">IF(E1010="H",G1010,TRUNC(G1010*(1-$K$7),2))</f>
        <v>24.44</v>
      </c>
      <c r="I1010" s="1776">
        <f t="shared" ref="I1010:I1022" si="140">TRUNC(H1010*F1010,2)</f>
        <v>0.48</v>
      </c>
      <c r="J1010" s="1768"/>
    </row>
    <row r="1011" spans="1:10" ht="24">
      <c r="A1011" s="1770"/>
      <c r="B1011" s="1771"/>
      <c r="C1011" s="1771">
        <v>88251</v>
      </c>
      <c r="D1011" s="1772" t="s">
        <v>1331</v>
      </c>
      <c r="E1011" s="1786" t="s">
        <v>387</v>
      </c>
      <c r="F1011" s="1787">
        <v>0.02</v>
      </c>
      <c r="G1011" s="1779">
        <v>20.63</v>
      </c>
      <c r="H1011" s="1775">
        <f t="shared" si="139"/>
        <v>20.63</v>
      </c>
      <c r="I1011" s="1776">
        <f t="shared" ref="I1011:I1016" si="141">TRUNC(H1011*F1011,2)</f>
        <v>0.41</v>
      </c>
      <c r="J1011" s="1768"/>
    </row>
    <row r="1012" spans="1:10">
      <c r="A1012" s="1770"/>
      <c r="B1012" s="1771"/>
      <c r="C1012" s="1771">
        <v>88310</v>
      </c>
      <c r="D1012" s="1772" t="s">
        <v>127</v>
      </c>
      <c r="E1012" s="1786" t="s">
        <v>387</v>
      </c>
      <c r="F1012" s="1787">
        <v>3.0000000000000001E-3</v>
      </c>
      <c r="G1012" s="1779">
        <v>25.64</v>
      </c>
      <c r="H1012" s="1775">
        <f t="shared" si="139"/>
        <v>25.64</v>
      </c>
      <c r="I1012" s="1776">
        <f t="shared" si="141"/>
        <v>7.0000000000000007E-2</v>
      </c>
      <c r="J1012" s="1768"/>
    </row>
    <row r="1013" spans="1:10" ht="24">
      <c r="A1013" s="1770"/>
      <c r="B1013" s="1771"/>
      <c r="C1013" s="1771">
        <v>100301</v>
      </c>
      <c r="D1013" s="1772" t="s">
        <v>1332</v>
      </c>
      <c r="E1013" s="1786" t="s">
        <v>387</v>
      </c>
      <c r="F1013" s="1787">
        <v>3.0000000000000001E-3</v>
      </c>
      <c r="G1013" s="1779">
        <v>21.82</v>
      </c>
      <c r="H1013" s="1775">
        <f t="shared" si="139"/>
        <v>21.82</v>
      </c>
      <c r="I1013" s="1776">
        <f t="shared" si="141"/>
        <v>0.06</v>
      </c>
      <c r="J1013" s="1768"/>
    </row>
    <row r="1014" spans="1:10" ht="24">
      <c r="A1014" s="1770"/>
      <c r="B1014" s="1771"/>
      <c r="C1014" s="1771">
        <v>88240</v>
      </c>
      <c r="D1014" s="1772" t="s">
        <v>1333</v>
      </c>
      <c r="E1014" s="1786" t="s">
        <v>387</v>
      </c>
      <c r="F1014" s="1787">
        <v>0.04</v>
      </c>
      <c r="G1014" s="1779">
        <v>14.26</v>
      </c>
      <c r="H1014" s="1775">
        <f t="shared" si="139"/>
        <v>14.26</v>
      </c>
      <c r="I1014" s="1776">
        <f t="shared" si="141"/>
        <v>0.56999999999999995</v>
      </c>
      <c r="J1014" s="1768"/>
    </row>
    <row r="1015" spans="1:10">
      <c r="A1015" s="1770"/>
      <c r="B1015" s="1771"/>
      <c r="C1015" s="1771">
        <v>88317</v>
      </c>
      <c r="D1015" s="1772" t="s">
        <v>1334</v>
      </c>
      <c r="E1015" s="1786" t="s">
        <v>387</v>
      </c>
      <c r="F1015" s="1787">
        <v>0.04</v>
      </c>
      <c r="G1015" s="1779">
        <v>25.26</v>
      </c>
      <c r="H1015" s="1775">
        <f t="shared" si="139"/>
        <v>25.26</v>
      </c>
      <c r="I1015" s="1776">
        <f t="shared" si="141"/>
        <v>1.01</v>
      </c>
      <c r="J1015" s="1768"/>
    </row>
    <row r="1016" spans="1:10" ht="48">
      <c r="A1016" s="1770"/>
      <c r="B1016" s="1771"/>
      <c r="C1016" s="1771">
        <v>98764</v>
      </c>
      <c r="D1016" s="1772" t="s">
        <v>1337</v>
      </c>
      <c r="E1016" s="1786" t="s">
        <v>425</v>
      </c>
      <c r="F1016" s="1787">
        <v>0.04</v>
      </c>
      <c r="G1016" s="1779">
        <v>5.3</v>
      </c>
      <c r="H1016" s="1775">
        <f t="shared" si="139"/>
        <v>5.26</v>
      </c>
      <c r="I1016" s="1776">
        <f t="shared" si="141"/>
        <v>0.21</v>
      </c>
      <c r="J1016" s="1768"/>
    </row>
    <row r="1017" spans="1:10" ht="48">
      <c r="A1017" s="1770"/>
      <c r="B1017" s="1771"/>
      <c r="C1017" s="1771">
        <v>98765</v>
      </c>
      <c r="D1017" s="1772" t="s">
        <v>1338</v>
      </c>
      <c r="E1017" s="1786" t="s">
        <v>545</v>
      </c>
      <c r="F1017" s="1787">
        <v>0.04</v>
      </c>
      <c r="G1017" s="1779">
        <v>0.1</v>
      </c>
      <c r="H1017" s="1775">
        <f t="shared" si="139"/>
        <v>0.09</v>
      </c>
      <c r="I1017" s="1776">
        <f t="shared" si="140"/>
        <v>0</v>
      </c>
      <c r="J1017" s="1768"/>
    </row>
    <row r="1018" spans="1:10" ht="36">
      <c r="A1018" s="1770"/>
      <c r="B1018" s="1771"/>
      <c r="C1018" s="1771">
        <v>43083</v>
      </c>
      <c r="D1018" s="1772" t="s">
        <v>1339</v>
      </c>
      <c r="E1018" s="1786" t="s">
        <v>1340</v>
      </c>
      <c r="F1018" s="1787">
        <v>0.52500000000000002</v>
      </c>
      <c r="G1018" s="1779">
        <v>11.26</v>
      </c>
      <c r="H1018" s="1775">
        <f t="shared" si="139"/>
        <v>11.19</v>
      </c>
      <c r="I1018" s="1776">
        <f t="shared" si="140"/>
        <v>5.87</v>
      </c>
      <c r="J1018" s="1768"/>
    </row>
    <row r="1019" spans="1:10" ht="24">
      <c r="A1019" s="1770"/>
      <c r="B1019" s="1771"/>
      <c r="C1019" s="1771">
        <v>546</v>
      </c>
      <c r="D1019" s="1772" t="s">
        <v>1341</v>
      </c>
      <c r="E1019" s="1786" t="s">
        <v>1340</v>
      </c>
      <c r="F1019" s="1787">
        <v>0.52500000000000002</v>
      </c>
      <c r="G1019" s="1779">
        <v>11.45</v>
      </c>
      <c r="H1019" s="1775">
        <f t="shared" si="139"/>
        <v>11.38</v>
      </c>
      <c r="I1019" s="1776">
        <f t="shared" si="140"/>
        <v>5.97</v>
      </c>
      <c r="J1019" s="1768"/>
    </row>
    <row r="1020" spans="1:10" ht="24">
      <c r="A1020" s="1770"/>
      <c r="B1020" s="1771"/>
      <c r="C1020" s="1771">
        <v>7307</v>
      </c>
      <c r="D1020" s="1772" t="s">
        <v>1342</v>
      </c>
      <c r="E1020" s="1786" t="s">
        <v>1343</v>
      </c>
      <c r="F1020" s="1787">
        <v>2.5000000000000001E-3</v>
      </c>
      <c r="G1020" s="1779">
        <v>42.25</v>
      </c>
      <c r="H1020" s="1775">
        <f t="shared" si="139"/>
        <v>41.99</v>
      </c>
      <c r="I1020" s="1776">
        <f t="shared" si="140"/>
        <v>0.1</v>
      </c>
      <c r="J1020" s="1768"/>
    </row>
    <row r="1021" spans="1:10" ht="24">
      <c r="A1021" s="1770"/>
      <c r="B1021" s="1771"/>
      <c r="C1021" s="1771">
        <v>10997</v>
      </c>
      <c r="D1021" s="1772" t="s">
        <v>1344</v>
      </c>
      <c r="E1021" s="1786" t="s">
        <v>1340</v>
      </c>
      <c r="F1021" s="1787">
        <v>1.2999999999999999E-2</v>
      </c>
      <c r="G1021" s="1779">
        <v>29.77</v>
      </c>
      <c r="H1021" s="1775">
        <f t="shared" si="139"/>
        <v>29.59</v>
      </c>
      <c r="I1021" s="1776">
        <f t="shared" si="140"/>
        <v>0.38</v>
      </c>
      <c r="J1021" s="1768"/>
    </row>
    <row r="1022" spans="1:10">
      <c r="A1022" s="1770"/>
      <c r="B1022" s="1771"/>
      <c r="C1022" s="1771">
        <v>5318</v>
      </c>
      <c r="D1022" s="1772" t="s">
        <v>2367</v>
      </c>
      <c r="E1022" s="1786" t="s">
        <v>1343</v>
      </c>
      <c r="F1022" s="1787">
        <v>2.9999999999999997E-4</v>
      </c>
      <c r="G1022" s="1779">
        <v>18</v>
      </c>
      <c r="H1022" s="1775">
        <f t="shared" si="139"/>
        <v>17.89</v>
      </c>
      <c r="I1022" s="1776">
        <f t="shared" si="140"/>
        <v>0</v>
      </c>
      <c r="J1022" s="1768"/>
    </row>
    <row r="1023" spans="1:10">
      <c r="A1023" s="1917" t="s">
        <v>2408</v>
      </c>
      <c r="B1023" s="1918"/>
      <c r="C1023" s="1918"/>
      <c r="D1023" s="1918"/>
      <c r="E1023" s="1918"/>
      <c r="F1023" s="1918"/>
      <c r="G1023" s="1918"/>
      <c r="H1023" s="1919"/>
      <c r="I1023" s="1778">
        <f>SUM(I1010:I1022)</f>
        <v>15.129999999999999</v>
      </c>
      <c r="J1023" s="1768"/>
    </row>
    <row r="1024" spans="1:10">
      <c r="A1024" s="1920"/>
      <c r="B1024" s="1921"/>
      <c r="C1024" s="1921"/>
      <c r="D1024" s="1921"/>
      <c r="E1024" s="1921"/>
      <c r="F1024" s="1921"/>
      <c r="G1024" s="1921"/>
      <c r="H1024" s="1921"/>
      <c r="I1024" s="1922"/>
      <c r="J1024" s="1768"/>
    </row>
    <row r="1025" spans="1:10" ht="25.5" customHeight="1">
      <c r="A1025" s="1757" t="str">
        <f>'PLANILHA SEM DESON'!B160</f>
        <v>COMP ESTR 06</v>
      </c>
      <c r="B1025" s="1923" t="str">
        <f>VLOOKUP(A1025,'PLANILHA SEM DESON'!$B$17:$D$1699,2,FALSE)</f>
        <v xml:space="preserve">MONTAGEM DE ESTRUTURA METÁLICA </v>
      </c>
      <c r="C1025" s="1924"/>
      <c r="D1025" s="1924"/>
      <c r="E1025" s="1924"/>
      <c r="F1025" s="1924"/>
      <c r="G1025" s="1924"/>
      <c r="H1025" s="1925"/>
      <c r="I1025" s="1758" t="str">
        <f>VLOOKUP(A1025,'PLANILHA SEM DESON'!$B$17:$D$1699,3,FALSE)</f>
        <v>Kg</v>
      </c>
      <c r="J1025" s="1759">
        <f>I1030</f>
        <v>3.19</v>
      </c>
    </row>
    <row r="1026" spans="1:10" ht="24">
      <c r="A1026" s="1761" t="s">
        <v>2401</v>
      </c>
      <c r="B1026" s="1762" t="s">
        <v>2402</v>
      </c>
      <c r="C1026" s="1763" t="s">
        <v>2399</v>
      </c>
      <c r="D1026" s="1764" t="s">
        <v>284</v>
      </c>
      <c r="E1026" s="1763" t="s">
        <v>193</v>
      </c>
      <c r="F1026" s="1765" t="s">
        <v>2403</v>
      </c>
      <c r="G1026" s="1763" t="s">
        <v>2404</v>
      </c>
      <c r="H1026" s="1766" t="s">
        <v>2405</v>
      </c>
      <c r="I1026" s="1767" t="s">
        <v>2406</v>
      </c>
      <c r="J1026" s="1768"/>
    </row>
    <row r="1027" spans="1:10" ht="24">
      <c r="A1027" s="1770"/>
      <c r="B1027" s="1771"/>
      <c r="C1027" s="1771">
        <v>88278</v>
      </c>
      <c r="D1027" s="1772" t="s">
        <v>1346</v>
      </c>
      <c r="E1027" s="1786" t="s">
        <v>387</v>
      </c>
      <c r="F1027" s="1787">
        <v>0.02</v>
      </c>
      <c r="G1027" s="1779">
        <v>17.66</v>
      </c>
      <c r="H1027" s="1775">
        <f>IF(E1027="H",G1027,TRUNC(G1027*(1-$K$7),2))</f>
        <v>17.66</v>
      </c>
      <c r="I1027" s="1776">
        <f t="shared" ref="I1027:I1029" si="142">TRUNC(H1027*F1027,2)</f>
        <v>0.35</v>
      </c>
      <c r="J1027" s="1768"/>
    </row>
    <row r="1028" spans="1:10" ht="24">
      <c r="A1028" s="1770"/>
      <c r="B1028" s="1771"/>
      <c r="C1028" s="1771">
        <v>88240</v>
      </c>
      <c r="D1028" s="1772" t="s">
        <v>1333</v>
      </c>
      <c r="E1028" s="1786" t="s">
        <v>387</v>
      </c>
      <c r="F1028" s="1787">
        <v>0.06</v>
      </c>
      <c r="G1028" s="1779">
        <v>14.26</v>
      </c>
      <c r="H1028" s="1775">
        <f>IF(E1028="H",G1028,TRUNC(G1028*(1-$K$7),2))</f>
        <v>14.26</v>
      </c>
      <c r="I1028" s="1776">
        <f t="shared" si="142"/>
        <v>0.85</v>
      </c>
      <c r="J1028" s="1768"/>
    </row>
    <row r="1029" spans="1:10" ht="48">
      <c r="A1029" s="1770"/>
      <c r="B1029" s="1771"/>
      <c r="C1029" s="1771">
        <v>89272</v>
      </c>
      <c r="D1029" s="1772" t="s">
        <v>1347</v>
      </c>
      <c r="E1029" s="1786" t="s">
        <v>425</v>
      </c>
      <c r="F1029" s="1787">
        <v>0.01</v>
      </c>
      <c r="G1029" s="1779">
        <v>200.88</v>
      </c>
      <c r="H1029" s="1775">
        <f>IF(E1029="H",G1029,TRUNC(G1029*(1-$K$7),2))</f>
        <v>199.67</v>
      </c>
      <c r="I1029" s="1776">
        <f t="shared" si="142"/>
        <v>1.99</v>
      </c>
      <c r="J1029" s="1768"/>
    </row>
    <row r="1030" spans="1:10">
      <c r="A1030" s="1917" t="s">
        <v>2408</v>
      </c>
      <c r="B1030" s="1918"/>
      <c r="C1030" s="1918"/>
      <c r="D1030" s="1918"/>
      <c r="E1030" s="1918"/>
      <c r="F1030" s="1918"/>
      <c r="G1030" s="1918"/>
      <c r="H1030" s="1919"/>
      <c r="I1030" s="1778">
        <f>SUM(I1027:I1029)</f>
        <v>3.19</v>
      </c>
      <c r="J1030" s="1768"/>
    </row>
    <row r="1031" spans="1:10">
      <c r="A1031" s="1920"/>
      <c r="B1031" s="1921"/>
      <c r="C1031" s="1921"/>
      <c r="D1031" s="1921"/>
      <c r="E1031" s="1921"/>
      <c r="F1031" s="1921"/>
      <c r="G1031" s="1921"/>
      <c r="H1031" s="1921"/>
      <c r="I1031" s="1922"/>
      <c r="J1031" s="1768"/>
    </row>
    <row r="1032" spans="1:10" ht="22.5" customHeight="1">
      <c r="A1032" s="1757" t="str">
        <f>'PLANILHA SEM DESON'!B161</f>
        <v>COMP ESTR 07</v>
      </c>
      <c r="B1032" s="1923" t="str">
        <f>VLOOKUP(A1032,'PLANILHA SEM DESON'!$B$17:$D$1699,2,FALSE)</f>
        <v>FORNECIMENTO E COLOCAÇÃO DE CHUMBADOR PARABOLT WALSYWA CBPL 14300 1/4" OU EQUIVALENTE</v>
      </c>
      <c r="C1032" s="1924"/>
      <c r="D1032" s="1924"/>
      <c r="E1032" s="1924"/>
      <c r="F1032" s="1924"/>
      <c r="G1032" s="1924"/>
      <c r="H1032" s="1925"/>
      <c r="I1032" s="1758" t="str">
        <f>VLOOKUP(A1032,'PLANILHA SEM DESON'!$B$17:$D$1699,3,FALSE)</f>
        <v xml:space="preserve">un </v>
      </c>
      <c r="J1032" s="1759">
        <f>I1037</f>
        <v>8.129999999999999</v>
      </c>
    </row>
    <row r="1033" spans="1:10" ht="24">
      <c r="A1033" s="1761" t="s">
        <v>2401</v>
      </c>
      <c r="B1033" s="1762" t="s">
        <v>2402</v>
      </c>
      <c r="C1033" s="1763" t="s">
        <v>2399</v>
      </c>
      <c r="D1033" s="1764" t="s">
        <v>284</v>
      </c>
      <c r="E1033" s="1763" t="s">
        <v>193</v>
      </c>
      <c r="F1033" s="1765" t="s">
        <v>2403</v>
      </c>
      <c r="G1033" s="1763" t="s">
        <v>2404</v>
      </c>
      <c r="H1033" s="1766" t="s">
        <v>2405</v>
      </c>
      <c r="I1033" s="1767" t="s">
        <v>2406</v>
      </c>
      <c r="J1033" s="1768"/>
    </row>
    <row r="1034" spans="1:10">
      <c r="A1034" s="1770"/>
      <c r="B1034" s="1771"/>
      <c r="C1034" s="1771">
        <v>88309</v>
      </c>
      <c r="D1034" s="1772" t="s">
        <v>103</v>
      </c>
      <c r="E1034" s="1786" t="s">
        <v>387</v>
      </c>
      <c r="F1034" s="1787">
        <v>0.15</v>
      </c>
      <c r="G1034" s="1779">
        <v>24.59</v>
      </c>
      <c r="H1034" s="1775">
        <f>IF(E1034="H",G1034,TRUNC(G1034*(1-$K$7),2))</f>
        <v>24.59</v>
      </c>
      <c r="I1034" s="1776">
        <f t="shared" ref="I1034:I1036" si="143">TRUNC(H1034*F1034,2)</f>
        <v>3.68</v>
      </c>
      <c r="J1034" s="1768"/>
    </row>
    <row r="1035" spans="1:10">
      <c r="A1035" s="1770"/>
      <c r="B1035" s="1771"/>
      <c r="C1035" s="1771">
        <v>88316</v>
      </c>
      <c r="D1035" s="1772" t="s">
        <v>66</v>
      </c>
      <c r="E1035" s="1786" t="s">
        <v>387</v>
      </c>
      <c r="F1035" s="1788">
        <v>0.15</v>
      </c>
      <c r="G1035" s="1774">
        <v>19.45</v>
      </c>
      <c r="H1035" s="1775">
        <f>IF(E1035="H",G1035,TRUNC(G1035*(1-$K$7),2))</f>
        <v>19.45</v>
      </c>
      <c r="I1035" s="1776">
        <f t="shared" si="143"/>
        <v>2.91</v>
      </c>
      <c r="J1035" s="1768"/>
    </row>
    <row r="1036" spans="1:10" ht="24">
      <c r="A1036" s="1770"/>
      <c r="B1036" s="1771"/>
      <c r="C1036" s="1771" t="s">
        <v>65</v>
      </c>
      <c r="D1036" s="1772" t="s">
        <v>1353</v>
      </c>
      <c r="E1036" s="1786" t="s">
        <v>1352</v>
      </c>
      <c r="F1036" s="1787">
        <v>1</v>
      </c>
      <c r="G1036" s="1779">
        <v>1.55</v>
      </c>
      <c r="H1036" s="1775">
        <f>IF(E1036="H",G1036,TRUNC(G1036*(1-$K$7),2))</f>
        <v>1.54</v>
      </c>
      <c r="I1036" s="1776">
        <f t="shared" si="143"/>
        <v>1.54</v>
      </c>
      <c r="J1036" s="1768"/>
    </row>
    <row r="1037" spans="1:10">
      <c r="A1037" s="1917" t="s">
        <v>2408</v>
      </c>
      <c r="B1037" s="1918"/>
      <c r="C1037" s="1918"/>
      <c r="D1037" s="1918"/>
      <c r="E1037" s="1918"/>
      <c r="F1037" s="1918"/>
      <c r="G1037" s="1918"/>
      <c r="H1037" s="1919"/>
      <c r="I1037" s="1778">
        <f>SUM(I1034:I1036)</f>
        <v>8.129999999999999</v>
      </c>
      <c r="J1037" s="1768"/>
    </row>
    <row r="1038" spans="1:10">
      <c r="A1038" s="1920"/>
      <c r="B1038" s="1921"/>
      <c r="C1038" s="1921"/>
      <c r="D1038" s="1921"/>
      <c r="E1038" s="1921"/>
      <c r="F1038" s="1921"/>
      <c r="G1038" s="1921"/>
      <c r="H1038" s="1921"/>
      <c r="I1038" s="1922"/>
      <c r="J1038" s="1768"/>
    </row>
    <row r="1039" spans="1:10" ht="24.75" customHeight="1">
      <c r="A1039" s="1757">
        <f>'PLANILHA SEM DESON'!B162</f>
        <v>100747</v>
      </c>
      <c r="B1039" s="1923" t="str">
        <f>VLOOKUP(A1039,'PLANILHA SEM DESON'!$B$17:$D$1699,2,FALSE)</f>
        <v>PINTURA COM TINTA ALQUÍDICA DE ACABAMENTO (ESMALTE SINTÉTICO FOSCO) PULVERIZADA SOBRE PERFIL METÁLICO EXECUTADO EM FÁBRICA (POR DEMÃO). AF_01/2020_P</v>
      </c>
      <c r="C1039" s="1924"/>
      <c r="D1039" s="1924"/>
      <c r="E1039" s="1924"/>
      <c r="F1039" s="1924"/>
      <c r="G1039" s="1924"/>
      <c r="H1039" s="1925"/>
      <c r="I1039" s="1758" t="str">
        <f>VLOOKUP(A1039,'PLANILHA SEM DESON'!$B$17:$D$1699,3,FALSE)</f>
        <v>m²</v>
      </c>
      <c r="J1039" s="1759">
        <f>I1044</f>
        <v>10.330000000000002</v>
      </c>
    </row>
    <row r="1040" spans="1:10" ht="24">
      <c r="A1040" s="1761" t="s">
        <v>2401</v>
      </c>
      <c r="B1040" s="1762" t="s">
        <v>2402</v>
      </c>
      <c r="C1040" s="1763" t="s">
        <v>2399</v>
      </c>
      <c r="D1040" s="1764" t="s">
        <v>284</v>
      </c>
      <c r="E1040" s="1763" t="s">
        <v>193</v>
      </c>
      <c r="F1040" s="1765" t="s">
        <v>2403</v>
      </c>
      <c r="G1040" s="1763" t="s">
        <v>2404</v>
      </c>
      <c r="H1040" s="1766" t="s">
        <v>2405</v>
      </c>
      <c r="I1040" s="1767" t="s">
        <v>2406</v>
      </c>
      <c r="J1040" s="1768"/>
    </row>
    <row r="1041" spans="1:10">
      <c r="A1041" s="1770"/>
      <c r="B1041" s="1771" t="s">
        <v>2410</v>
      </c>
      <c r="C1041" s="1771">
        <v>5318</v>
      </c>
      <c r="D1041" s="1772" t="s">
        <v>2617</v>
      </c>
      <c r="E1041" s="1773" t="s">
        <v>424</v>
      </c>
      <c r="F1041" s="1780">
        <v>5.8400000000000001E-2</v>
      </c>
      <c r="G1041" s="1774">
        <v>18</v>
      </c>
      <c r="H1041" s="1775">
        <f>IF(E1041="H",G1041,TRUNC(G1041*(1-$K$7),2))</f>
        <v>17.89</v>
      </c>
      <c r="I1041" s="1776">
        <f t="shared" ref="I1041:I1043" si="144">TRUNC(H1041*F1041,2)</f>
        <v>1.04</v>
      </c>
      <c r="J1041" s="1768"/>
    </row>
    <row r="1042" spans="1:10">
      <c r="A1042" s="1770"/>
      <c r="B1042" s="1771" t="s">
        <v>2410</v>
      </c>
      <c r="C1042" s="1771">
        <v>7288</v>
      </c>
      <c r="D1042" s="1772" t="s">
        <v>2618</v>
      </c>
      <c r="E1042" s="1773" t="s">
        <v>424</v>
      </c>
      <c r="F1042" s="1780">
        <v>0.19450000000000001</v>
      </c>
      <c r="G1042" s="1774">
        <v>39.71</v>
      </c>
      <c r="H1042" s="1775">
        <f>IF(E1042="H",G1042,TRUNC(G1042*(1-$K$7),2))</f>
        <v>39.47</v>
      </c>
      <c r="I1042" s="1776">
        <f t="shared" si="144"/>
        <v>7.67</v>
      </c>
      <c r="J1042" s="1768"/>
    </row>
    <row r="1043" spans="1:10">
      <c r="A1043" s="1770"/>
      <c r="B1043" s="1771" t="s">
        <v>7</v>
      </c>
      <c r="C1043" s="1771">
        <v>88310</v>
      </c>
      <c r="D1043" s="1772" t="s">
        <v>127</v>
      </c>
      <c r="E1043" s="1773" t="s">
        <v>387</v>
      </c>
      <c r="F1043" s="1780">
        <v>6.3500000000000001E-2</v>
      </c>
      <c r="G1043" s="1774">
        <v>25.64</v>
      </c>
      <c r="H1043" s="1775">
        <f>IF(E1043="H",G1043,TRUNC(G1043*(1-$K$7),2))</f>
        <v>25.64</v>
      </c>
      <c r="I1043" s="1776">
        <f t="shared" si="144"/>
        <v>1.62</v>
      </c>
      <c r="J1043" s="1768"/>
    </row>
    <row r="1044" spans="1:10">
      <c r="A1044" s="1917" t="s">
        <v>2408</v>
      </c>
      <c r="B1044" s="1918"/>
      <c r="C1044" s="1918"/>
      <c r="D1044" s="1918"/>
      <c r="E1044" s="1918"/>
      <c r="F1044" s="1918"/>
      <c r="G1044" s="1918"/>
      <c r="H1044" s="1919"/>
      <c r="I1044" s="1778">
        <f>SUM(I1041:I1043)</f>
        <v>10.330000000000002</v>
      </c>
      <c r="J1044" s="1768"/>
    </row>
    <row r="1045" spans="1:10">
      <c r="A1045" s="1920"/>
      <c r="B1045" s="1921"/>
      <c r="C1045" s="1921"/>
      <c r="D1045" s="1921"/>
      <c r="E1045" s="1921"/>
      <c r="F1045" s="1921"/>
      <c r="G1045" s="1921"/>
      <c r="H1045" s="1921"/>
      <c r="I1045" s="1922"/>
      <c r="J1045" s="1768"/>
    </row>
    <row r="1046" spans="1:10" ht="37.5" customHeight="1">
      <c r="A1046" s="1757" t="str">
        <f>'PLANILHA SEM DESON'!B165</f>
        <v>COMP 32</v>
      </c>
      <c r="B1046" s="1923" t="str">
        <f>VLOOKUP(A1046,'PLANILHA SEM DESON'!$B$17:$D$1699,2,FALSE)</f>
        <v>TELHAMENTO COM TELHA ISOLANTE COM NUCLEO EM POLIESTIRENO (EPS), E = 30 MM,REVESTIDA EM ACO ZINCADO *0,5* MM COM PRE-PINTURA NAS DUAS FACES, FACE SUPERIOR EM TELHA TRAPEZOIDAL E FACE INFERIOR EM CHAPA PLANA</v>
      </c>
      <c r="C1046" s="1924"/>
      <c r="D1046" s="1924"/>
      <c r="E1046" s="1924"/>
      <c r="F1046" s="1924"/>
      <c r="G1046" s="1924"/>
      <c r="H1046" s="1925"/>
      <c r="I1046" s="1758" t="str">
        <f>VLOOKUP(A1046,'PLANILHA SEM DESON'!$B$17:$D$1699,3,FALSE)</f>
        <v>m²</v>
      </c>
      <c r="J1046" s="1759">
        <f>I1054</f>
        <v>168.74</v>
      </c>
    </row>
    <row r="1047" spans="1:10" ht="24">
      <c r="A1047" s="1761" t="s">
        <v>2401</v>
      </c>
      <c r="B1047" s="1762" t="s">
        <v>2402</v>
      </c>
      <c r="C1047" s="1763" t="s">
        <v>2399</v>
      </c>
      <c r="D1047" s="1764" t="s">
        <v>284</v>
      </c>
      <c r="E1047" s="1763" t="s">
        <v>193</v>
      </c>
      <c r="F1047" s="1765" t="s">
        <v>2403</v>
      </c>
      <c r="G1047" s="1763" t="s">
        <v>2404</v>
      </c>
      <c r="H1047" s="1766" t="s">
        <v>2405</v>
      </c>
      <c r="I1047" s="1767" t="s">
        <v>2406</v>
      </c>
      <c r="J1047" s="1768"/>
    </row>
    <row r="1048" spans="1:10">
      <c r="A1048" s="1770"/>
      <c r="B1048" s="1771"/>
      <c r="C1048" s="1771">
        <v>88316</v>
      </c>
      <c r="D1048" s="1772" t="s">
        <v>66</v>
      </c>
      <c r="E1048" s="1773" t="s">
        <v>57</v>
      </c>
      <c r="F1048" s="1784">
        <v>6.2E-2</v>
      </c>
      <c r="G1048" s="1781">
        <v>19.45</v>
      </c>
      <c r="H1048" s="1775">
        <f t="shared" ref="H1048:H1053" si="145">IF(E1048="H",G1048,TRUNC(G1048*(1-$K$7),2))</f>
        <v>19.45</v>
      </c>
      <c r="I1048" s="1776">
        <f t="shared" ref="I1048:I1053" si="146">TRUNC(H1048*F1048,2)</f>
        <v>1.2</v>
      </c>
      <c r="J1048" s="1768"/>
    </row>
    <row r="1049" spans="1:10">
      <c r="A1049" s="1770"/>
      <c r="B1049" s="1771"/>
      <c r="C1049" s="1771">
        <v>88323</v>
      </c>
      <c r="D1049" s="1772" t="s">
        <v>540</v>
      </c>
      <c r="E1049" s="1773" t="s">
        <v>57</v>
      </c>
      <c r="F1049" s="1784">
        <v>5.6000000000000001E-2</v>
      </c>
      <c r="G1049" s="1781">
        <v>24.07</v>
      </c>
      <c r="H1049" s="1775">
        <f t="shared" si="145"/>
        <v>24.07</v>
      </c>
      <c r="I1049" s="1776">
        <f t="shared" si="146"/>
        <v>1.34</v>
      </c>
      <c r="J1049" s="1768"/>
    </row>
    <row r="1050" spans="1:10" ht="36">
      <c r="A1050" s="1770"/>
      <c r="B1050" s="1771"/>
      <c r="C1050" s="1771">
        <v>11029</v>
      </c>
      <c r="D1050" s="1772" t="s">
        <v>541</v>
      </c>
      <c r="E1050" s="1773" t="s">
        <v>542</v>
      </c>
      <c r="F1050" s="1784">
        <v>4.1500000000000004</v>
      </c>
      <c r="G1050" s="1779">
        <v>1.96</v>
      </c>
      <c r="H1050" s="1775">
        <f t="shared" si="145"/>
        <v>1.94</v>
      </c>
      <c r="I1050" s="1776">
        <f t="shared" si="146"/>
        <v>8.0500000000000007</v>
      </c>
      <c r="J1050" s="1768"/>
    </row>
    <row r="1051" spans="1:10" ht="36">
      <c r="A1051" s="1770"/>
      <c r="B1051" s="1771"/>
      <c r="C1051" s="1771">
        <v>93281</v>
      </c>
      <c r="D1051" s="1772" t="s">
        <v>543</v>
      </c>
      <c r="E1051" s="1773" t="s">
        <v>425</v>
      </c>
      <c r="F1051" s="1782">
        <v>8.9999999999999998E-4</v>
      </c>
      <c r="G1051" s="1779">
        <v>19.510000000000002</v>
      </c>
      <c r="H1051" s="1775">
        <f t="shared" si="145"/>
        <v>19.39</v>
      </c>
      <c r="I1051" s="1776">
        <f t="shared" si="146"/>
        <v>0.01</v>
      </c>
      <c r="J1051" s="1768"/>
    </row>
    <row r="1052" spans="1:10" ht="36">
      <c r="A1052" s="1770"/>
      <c r="B1052" s="1771"/>
      <c r="C1052" s="1771">
        <v>93282</v>
      </c>
      <c r="D1052" s="1772" t="s">
        <v>544</v>
      </c>
      <c r="E1052" s="1773" t="s">
        <v>545</v>
      </c>
      <c r="F1052" s="1782">
        <v>1.1999999999999999E-3</v>
      </c>
      <c r="G1052" s="1779">
        <v>18.32</v>
      </c>
      <c r="H1052" s="1775">
        <f t="shared" si="145"/>
        <v>18.21</v>
      </c>
      <c r="I1052" s="1776">
        <f t="shared" si="146"/>
        <v>0.02</v>
      </c>
      <c r="J1052" s="1768"/>
    </row>
    <row r="1053" spans="1:10" ht="60">
      <c r="A1053" s="1770"/>
      <c r="B1053" s="1771"/>
      <c r="C1053" s="1771">
        <v>39520</v>
      </c>
      <c r="D1053" s="1772" t="s">
        <v>156</v>
      </c>
      <c r="E1053" s="1773" t="s">
        <v>46</v>
      </c>
      <c r="F1053" s="1784">
        <v>1.1399999999999999</v>
      </c>
      <c r="G1053" s="1779">
        <v>139.55000000000001</v>
      </c>
      <c r="H1053" s="1775">
        <f t="shared" si="145"/>
        <v>138.71</v>
      </c>
      <c r="I1053" s="1776">
        <f t="shared" si="146"/>
        <v>158.12</v>
      </c>
      <c r="J1053" s="1768"/>
    </row>
    <row r="1054" spans="1:10">
      <c r="A1054" s="1917" t="s">
        <v>2408</v>
      </c>
      <c r="B1054" s="1918"/>
      <c r="C1054" s="1918"/>
      <c r="D1054" s="1918"/>
      <c r="E1054" s="1918"/>
      <c r="F1054" s="1918"/>
      <c r="G1054" s="1918"/>
      <c r="H1054" s="1919"/>
      <c r="I1054" s="1778">
        <f>SUM(I1048:I1053)</f>
        <v>168.74</v>
      </c>
      <c r="J1054" s="1768"/>
    </row>
    <row r="1055" spans="1:10">
      <c r="A1055" s="1920"/>
      <c r="B1055" s="1921"/>
      <c r="C1055" s="1921"/>
      <c r="D1055" s="1921"/>
      <c r="E1055" s="1921"/>
      <c r="F1055" s="1921"/>
      <c r="G1055" s="1921"/>
      <c r="H1055" s="1921"/>
      <c r="I1055" s="1922"/>
      <c r="J1055" s="1768"/>
    </row>
    <row r="1056" spans="1:10" ht="24.75" customHeight="1">
      <c r="A1056" s="1757">
        <f>'PLANILHA SEM DESON'!B169</f>
        <v>101880</v>
      </c>
      <c r="B1056" s="1923" t="str">
        <f>VLOOKUP(A1056,'PLANILHA SEM DESON'!$B$17:$D$1699,2,FALSE)</f>
        <v>QUADRO DE DISTRIBUIÇÃO DE ENERGIA EM CHAPA DE AÇO GALVANIZADO, DE EMBUTIR, COM BARRAMENTO TRIFÁSICO, PARA 30 DISJUNTORES DIN 150A - FORNECIMENTO E INSTALAÇÃO. AF_10/2020</v>
      </c>
      <c r="C1056" s="1924"/>
      <c r="D1056" s="1924"/>
      <c r="E1056" s="1924"/>
      <c r="F1056" s="1924"/>
      <c r="G1056" s="1924"/>
      <c r="H1056" s="1925"/>
      <c r="I1056" s="1758" t="str">
        <f>VLOOKUP(A1056,'PLANILHA SEM DESON'!$B$17:$D$1699,3,FALSE)</f>
        <v xml:space="preserve">un </v>
      </c>
      <c r="J1056" s="1759">
        <f>I1062</f>
        <v>830.41</v>
      </c>
    </row>
    <row r="1057" spans="1:10" ht="24">
      <c r="A1057" s="1761" t="s">
        <v>2401</v>
      </c>
      <c r="B1057" s="1762" t="s">
        <v>2402</v>
      </c>
      <c r="C1057" s="1763" t="s">
        <v>2399</v>
      </c>
      <c r="D1057" s="1764" t="s">
        <v>284</v>
      </c>
      <c r="E1057" s="1763" t="s">
        <v>193</v>
      </c>
      <c r="F1057" s="1765" t="s">
        <v>2403</v>
      </c>
      <c r="G1057" s="1763" t="s">
        <v>2404</v>
      </c>
      <c r="H1057" s="1766" t="s">
        <v>2405</v>
      </c>
      <c r="I1057" s="1767" t="s">
        <v>2406</v>
      </c>
      <c r="J1057" s="1768"/>
    </row>
    <row r="1058" spans="1:10" ht="36">
      <c r="A1058" s="1770" t="s">
        <v>2407</v>
      </c>
      <c r="B1058" s="1771" t="s">
        <v>2410</v>
      </c>
      <c r="C1058" s="1771">
        <v>12041</v>
      </c>
      <c r="D1058" s="1772" t="s">
        <v>2619</v>
      </c>
      <c r="E1058" s="1773" t="s">
        <v>2432</v>
      </c>
      <c r="F1058" s="1780">
        <v>1</v>
      </c>
      <c r="G1058" s="1774">
        <v>791.95</v>
      </c>
      <c r="H1058" s="1775">
        <f>IF(E1058="H",G1058,TRUNC(G1058*(1-$K$7),2))</f>
        <v>787.19</v>
      </c>
      <c r="I1058" s="1776">
        <f t="shared" ref="I1058:I1061" si="147">TRUNC(H1058*F1058,2)</f>
        <v>787.19</v>
      </c>
      <c r="J1058" s="1768"/>
    </row>
    <row r="1059" spans="1:10" ht="48">
      <c r="A1059" s="1770" t="s">
        <v>2407</v>
      </c>
      <c r="B1059" s="1771" t="s">
        <v>7</v>
      </c>
      <c r="C1059" s="1771">
        <v>87367</v>
      </c>
      <c r="D1059" s="1772" t="s">
        <v>2620</v>
      </c>
      <c r="E1059" s="1773" t="s">
        <v>1132</v>
      </c>
      <c r="F1059" s="1780">
        <v>1.9199999999999998E-2</v>
      </c>
      <c r="G1059" s="1774">
        <v>720.17</v>
      </c>
      <c r="H1059" s="1775">
        <f>IF(E1059="H",G1059,TRUNC(G1059*(1-$K$7),2))</f>
        <v>715.84</v>
      </c>
      <c r="I1059" s="1776">
        <f t="shared" si="147"/>
        <v>13.74</v>
      </c>
      <c r="J1059" s="1768"/>
    </row>
    <row r="1060" spans="1:10" ht="24">
      <c r="A1060" s="1770" t="s">
        <v>2407</v>
      </c>
      <c r="B1060" s="1771" t="s">
        <v>7</v>
      </c>
      <c r="C1060" s="1771">
        <v>88247</v>
      </c>
      <c r="D1060" s="1772" t="s">
        <v>93</v>
      </c>
      <c r="E1060" s="1773" t="s">
        <v>387</v>
      </c>
      <c r="F1060" s="1780">
        <v>0.63370000000000004</v>
      </c>
      <c r="G1060" s="1774">
        <v>21</v>
      </c>
      <c r="H1060" s="1775">
        <f>IF(E1060="H",G1060,TRUNC(G1060*(1-$K$7),2))</f>
        <v>21</v>
      </c>
      <c r="I1060" s="1776">
        <f t="shared" si="147"/>
        <v>13.3</v>
      </c>
      <c r="J1060" s="1768"/>
    </row>
    <row r="1061" spans="1:10">
      <c r="A1061" s="1770" t="s">
        <v>2407</v>
      </c>
      <c r="B1061" s="1771" t="s">
        <v>7</v>
      </c>
      <c r="C1061" s="1771">
        <v>88264</v>
      </c>
      <c r="D1061" s="1772" t="s">
        <v>94</v>
      </c>
      <c r="E1061" s="1773" t="s">
        <v>387</v>
      </c>
      <c r="F1061" s="1780">
        <v>0.63370000000000004</v>
      </c>
      <c r="G1061" s="1774">
        <v>25.54</v>
      </c>
      <c r="H1061" s="1775">
        <f>IF(E1061="H",G1061,TRUNC(G1061*(1-$K$7),2))</f>
        <v>25.54</v>
      </c>
      <c r="I1061" s="1776">
        <f t="shared" si="147"/>
        <v>16.18</v>
      </c>
      <c r="J1061" s="1768"/>
    </row>
    <row r="1062" spans="1:10">
      <c r="A1062" s="1917" t="s">
        <v>2408</v>
      </c>
      <c r="B1062" s="1918"/>
      <c r="C1062" s="1918"/>
      <c r="D1062" s="1918"/>
      <c r="E1062" s="1918"/>
      <c r="F1062" s="1918"/>
      <c r="G1062" s="1918"/>
      <c r="H1062" s="1919"/>
      <c r="I1062" s="1778">
        <f>SUM(I1058:I1061)</f>
        <v>830.41</v>
      </c>
      <c r="J1062" s="1768"/>
    </row>
    <row r="1063" spans="1:10">
      <c r="A1063" s="1920"/>
      <c r="B1063" s="1921"/>
      <c r="C1063" s="1921"/>
      <c r="D1063" s="1921"/>
      <c r="E1063" s="1921"/>
      <c r="F1063" s="1921"/>
      <c r="G1063" s="1921"/>
      <c r="H1063" s="1921"/>
      <c r="I1063" s="1922"/>
      <c r="J1063" s="1768"/>
    </row>
    <row r="1064" spans="1:10" ht="27.75" customHeight="1">
      <c r="A1064" s="1757" t="str">
        <f>'PLANILHA SEM DESON'!B170</f>
        <v>COMP ELE 20</v>
      </c>
      <c r="B1064" s="1923" t="str">
        <f>VLOOKUP(A1064,'PLANILHA SEM DESON'!$B$17:$D$1699,2,FALSE)</f>
        <v>CAIXA PARA MEDIÇÃO DIRETA PADRÃO ENERGISA (1.00 x 0.60 x 0.20 m) EM CHAPA DE ALUMÍNIO 2mm</v>
      </c>
      <c r="C1064" s="1924"/>
      <c r="D1064" s="1924"/>
      <c r="E1064" s="1924"/>
      <c r="F1064" s="1924"/>
      <c r="G1064" s="1924"/>
      <c r="H1064" s="1925"/>
      <c r="I1064" s="1758" t="str">
        <f>VLOOKUP(A1064,'PLANILHA SEM DESON'!$B$17:$D$1699,3,FALSE)</f>
        <v xml:space="preserve">un </v>
      </c>
      <c r="J1064" s="1759">
        <f>I1070</f>
        <v>535.02</v>
      </c>
    </row>
    <row r="1065" spans="1:10" ht="24">
      <c r="A1065" s="1761" t="s">
        <v>2401</v>
      </c>
      <c r="B1065" s="1762" t="s">
        <v>2402</v>
      </c>
      <c r="C1065" s="1763" t="s">
        <v>2399</v>
      </c>
      <c r="D1065" s="1764" t="s">
        <v>284</v>
      </c>
      <c r="E1065" s="1763" t="s">
        <v>193</v>
      </c>
      <c r="F1065" s="1765" t="s">
        <v>2403</v>
      </c>
      <c r="G1065" s="1763" t="s">
        <v>2404</v>
      </c>
      <c r="H1065" s="1766" t="s">
        <v>2405</v>
      </c>
      <c r="I1065" s="1767" t="s">
        <v>2406</v>
      </c>
      <c r="J1065" s="1768"/>
    </row>
    <row r="1066" spans="1:10">
      <c r="A1066" s="1770"/>
      <c r="B1066" s="1771"/>
      <c r="C1066" s="1771">
        <v>88264</v>
      </c>
      <c r="D1066" s="1772" t="s">
        <v>94</v>
      </c>
      <c r="E1066" s="1773" t="s">
        <v>57</v>
      </c>
      <c r="F1066" s="1784">
        <v>4</v>
      </c>
      <c r="G1066" s="1779">
        <v>25.54</v>
      </c>
      <c r="H1066" s="1775">
        <f>IF(E1066="H",G1066,TRUNC(G1066*(1-$K$7),2))</f>
        <v>25.54</v>
      </c>
      <c r="I1066" s="1776">
        <f t="shared" ref="I1066:I1069" si="148">TRUNC(H1066*F1066,2)</f>
        <v>102.16</v>
      </c>
      <c r="J1066" s="1768"/>
    </row>
    <row r="1067" spans="1:10" ht="24">
      <c r="A1067" s="1770"/>
      <c r="B1067" s="1771"/>
      <c r="C1067" s="1771">
        <v>88247</v>
      </c>
      <c r="D1067" s="1772" t="s">
        <v>93</v>
      </c>
      <c r="E1067" s="1773" t="s">
        <v>57</v>
      </c>
      <c r="F1067" s="1784">
        <v>4</v>
      </c>
      <c r="G1067" s="1779">
        <v>21</v>
      </c>
      <c r="H1067" s="1775">
        <f>IF(E1067="H",G1067,TRUNC(G1067*(1-$K$7),2))</f>
        <v>21</v>
      </c>
      <c r="I1067" s="1776">
        <f t="shared" si="148"/>
        <v>84</v>
      </c>
      <c r="J1067" s="1768"/>
    </row>
    <row r="1068" spans="1:10" ht="48">
      <c r="A1068" s="1770"/>
      <c r="B1068" s="1771"/>
      <c r="C1068" s="1771">
        <v>43093</v>
      </c>
      <c r="D1068" s="1772" t="s">
        <v>1534</v>
      </c>
      <c r="E1068" s="1773" t="s">
        <v>55</v>
      </c>
      <c r="F1068" s="1784">
        <v>1</v>
      </c>
      <c r="G1068" s="1779">
        <v>284.08</v>
      </c>
      <c r="H1068" s="1775">
        <f>IF(E1068="H",G1068,TRUNC(G1068*(1-$K$7),2))</f>
        <v>282.37</v>
      </c>
      <c r="I1068" s="1776">
        <f t="shared" si="148"/>
        <v>282.37</v>
      </c>
      <c r="J1068" s="1768"/>
    </row>
    <row r="1069" spans="1:10" ht="36">
      <c r="A1069" s="1770"/>
      <c r="B1069" s="1771"/>
      <c r="C1069" s="1771">
        <v>3380</v>
      </c>
      <c r="D1069" s="1772" t="s">
        <v>2135</v>
      </c>
      <c r="E1069" s="1773" t="s">
        <v>55</v>
      </c>
      <c r="F1069" s="1784">
        <v>1</v>
      </c>
      <c r="G1069" s="1779">
        <v>66.900000000000006</v>
      </c>
      <c r="H1069" s="1775">
        <f>IF(E1069="H",G1069,TRUNC(G1069*(1-$K$7),2))</f>
        <v>66.489999999999995</v>
      </c>
      <c r="I1069" s="1776">
        <f t="shared" si="148"/>
        <v>66.489999999999995</v>
      </c>
      <c r="J1069" s="1768"/>
    </row>
    <row r="1070" spans="1:10">
      <c r="A1070" s="1917" t="s">
        <v>2408</v>
      </c>
      <c r="B1070" s="1918"/>
      <c r="C1070" s="1918"/>
      <c r="D1070" s="1918"/>
      <c r="E1070" s="1918"/>
      <c r="F1070" s="1918"/>
      <c r="G1070" s="1918"/>
      <c r="H1070" s="1919"/>
      <c r="I1070" s="1778">
        <f>SUM(I1066:I1069)</f>
        <v>535.02</v>
      </c>
      <c r="J1070" s="1768"/>
    </row>
    <row r="1071" spans="1:10">
      <c r="A1071" s="1920"/>
      <c r="B1071" s="1921"/>
      <c r="C1071" s="1921"/>
      <c r="D1071" s="1921"/>
      <c r="E1071" s="1921"/>
      <c r="F1071" s="1921"/>
      <c r="G1071" s="1921"/>
      <c r="H1071" s="1921"/>
      <c r="I1071" s="1922"/>
      <c r="J1071" s="1768"/>
    </row>
    <row r="1072" spans="1:10" ht="24.75" customHeight="1">
      <c r="A1072" s="1757">
        <f>'PLANILHA SEM DESON'!B171</f>
        <v>91935</v>
      </c>
      <c r="B1072" s="1923" t="str">
        <f>VLOOKUP(A1072,'PLANILHA SEM DESON'!$B$17:$D$1699,2,FALSE)</f>
        <v>CABO DE COBRE FLEXÍVEL ISOLADO, 16 MM², ANTI-CHAMA 0,6/1,0 KV, PARA CIRCUITOS TERMINAIS - FORNECIMENTO E INSTALAÇÃO. AF_12/2015</v>
      </c>
      <c r="C1072" s="1924"/>
      <c r="D1072" s="1924"/>
      <c r="E1072" s="1924"/>
      <c r="F1072" s="1924"/>
      <c r="G1072" s="1924"/>
      <c r="H1072" s="1925"/>
      <c r="I1072" s="1758" t="str">
        <f>VLOOKUP(A1072,'PLANILHA SEM DESON'!$B$17:$D$1699,3,FALSE)</f>
        <v>m</v>
      </c>
      <c r="J1072" s="1759">
        <f>I1078</f>
        <v>22.93</v>
      </c>
    </row>
    <row r="1073" spans="1:10" ht="24">
      <c r="A1073" s="1761" t="s">
        <v>2401</v>
      </c>
      <c r="B1073" s="1762" t="s">
        <v>2402</v>
      </c>
      <c r="C1073" s="1763" t="s">
        <v>2399</v>
      </c>
      <c r="D1073" s="1764" t="s">
        <v>284</v>
      </c>
      <c r="E1073" s="1763" t="s">
        <v>193</v>
      </c>
      <c r="F1073" s="1765" t="s">
        <v>2403</v>
      </c>
      <c r="G1073" s="1763" t="s">
        <v>2404</v>
      </c>
      <c r="H1073" s="1766" t="s">
        <v>2405</v>
      </c>
      <c r="I1073" s="1767" t="s">
        <v>2406</v>
      </c>
      <c r="J1073" s="1768"/>
    </row>
    <row r="1074" spans="1:10" ht="48">
      <c r="A1074" s="1770" t="s">
        <v>2407</v>
      </c>
      <c r="B1074" s="1771" t="s">
        <v>2410</v>
      </c>
      <c r="C1074" s="1771">
        <v>995</v>
      </c>
      <c r="D1074" s="1772" t="s">
        <v>2621</v>
      </c>
      <c r="E1074" s="1773" t="s">
        <v>158</v>
      </c>
      <c r="F1074" s="1780">
        <v>1.19</v>
      </c>
      <c r="G1074" s="1774">
        <v>14.85</v>
      </c>
      <c r="H1074" s="1775">
        <f>IF(E1074="H",G1074,TRUNC(G1074*(1-$K$7),2))</f>
        <v>14.76</v>
      </c>
      <c r="I1074" s="1776">
        <f t="shared" ref="I1074:I1077" si="149">TRUNC(H1074*F1074,2)</f>
        <v>17.559999999999999</v>
      </c>
      <c r="J1074" s="1768"/>
    </row>
    <row r="1075" spans="1:10" ht="24">
      <c r="A1075" s="1770" t="s">
        <v>2407</v>
      </c>
      <c r="B1075" s="1771" t="s">
        <v>2410</v>
      </c>
      <c r="C1075" s="1771">
        <v>21127</v>
      </c>
      <c r="D1075" s="1772" t="s">
        <v>2622</v>
      </c>
      <c r="E1075" s="1773" t="s">
        <v>2432</v>
      </c>
      <c r="F1075" s="1780">
        <v>8.9999999999999993E-3</v>
      </c>
      <c r="G1075" s="1774">
        <v>4.0599999999999996</v>
      </c>
      <c r="H1075" s="1775">
        <f>IF(E1075="H",G1075,TRUNC(G1075*(1-$K$7),2))</f>
        <v>4.03</v>
      </c>
      <c r="I1075" s="1776">
        <f t="shared" si="149"/>
        <v>0.03</v>
      </c>
      <c r="J1075" s="1768"/>
    </row>
    <row r="1076" spans="1:10" ht="24">
      <c r="A1076" s="1770" t="s">
        <v>2407</v>
      </c>
      <c r="B1076" s="1771" t="s">
        <v>7</v>
      </c>
      <c r="C1076" s="1771">
        <v>88247</v>
      </c>
      <c r="D1076" s="1772" t="s">
        <v>93</v>
      </c>
      <c r="E1076" s="1773" t="s">
        <v>387</v>
      </c>
      <c r="F1076" s="1780">
        <v>0.115</v>
      </c>
      <c r="G1076" s="1774">
        <v>21</v>
      </c>
      <c r="H1076" s="1775">
        <f>IF(E1076="H",G1076,TRUNC(G1076*(1-$K$7),2))</f>
        <v>21</v>
      </c>
      <c r="I1076" s="1776">
        <f t="shared" si="149"/>
        <v>2.41</v>
      </c>
      <c r="J1076" s="1768"/>
    </row>
    <row r="1077" spans="1:10">
      <c r="A1077" s="1770" t="s">
        <v>2407</v>
      </c>
      <c r="B1077" s="1771" t="s">
        <v>7</v>
      </c>
      <c r="C1077" s="1771">
        <v>88264</v>
      </c>
      <c r="D1077" s="1772" t="s">
        <v>94</v>
      </c>
      <c r="E1077" s="1773" t="s">
        <v>387</v>
      </c>
      <c r="F1077" s="1780">
        <v>0.115</v>
      </c>
      <c r="G1077" s="1774">
        <v>25.54</v>
      </c>
      <c r="H1077" s="1775">
        <f>IF(E1077="H",G1077,TRUNC(G1077*(1-$K$7),2))</f>
        <v>25.54</v>
      </c>
      <c r="I1077" s="1776">
        <f t="shared" si="149"/>
        <v>2.93</v>
      </c>
      <c r="J1077" s="1768"/>
    </row>
    <row r="1078" spans="1:10">
      <c r="A1078" s="1917" t="s">
        <v>2408</v>
      </c>
      <c r="B1078" s="1918"/>
      <c r="C1078" s="1918"/>
      <c r="D1078" s="1918"/>
      <c r="E1078" s="1918"/>
      <c r="F1078" s="1918"/>
      <c r="G1078" s="1918"/>
      <c r="H1078" s="1919"/>
      <c r="I1078" s="1778">
        <f>SUM(I1074:I1077)</f>
        <v>22.93</v>
      </c>
      <c r="J1078" s="1768"/>
    </row>
    <row r="1079" spans="1:10">
      <c r="A1079" s="1920"/>
      <c r="B1079" s="1921"/>
      <c r="C1079" s="1921"/>
      <c r="D1079" s="1921"/>
      <c r="E1079" s="1921"/>
      <c r="F1079" s="1921"/>
      <c r="G1079" s="1921"/>
      <c r="H1079" s="1921"/>
      <c r="I1079" s="1922"/>
      <c r="J1079" s="1768"/>
    </row>
    <row r="1080" spans="1:10" ht="24" customHeight="1">
      <c r="A1080" s="1757">
        <f>'PLANILHA SEM DESON'!B172</f>
        <v>92984</v>
      </c>
      <c r="B1080" s="1923" t="str">
        <f>VLOOKUP(A1080,'PLANILHA SEM DESON'!$B$17:$D$1699,2,FALSE)</f>
        <v>CABO DE COBRE FLEXÍVEL ISOLADO, 25 MM², ANTI-CHAMA 0,6/1,0 KV, PARA REDE ENTERRADA DE DISTRIBUIÇÃO DE ENERGIA ELÉTRICA - FORNECIMENTO E INSTALAÇÃO. AF_12/2021</v>
      </c>
      <c r="C1080" s="1924"/>
      <c r="D1080" s="1924"/>
      <c r="E1080" s="1924"/>
      <c r="F1080" s="1924"/>
      <c r="G1080" s="1924"/>
      <c r="H1080" s="1925"/>
      <c r="I1080" s="1758" t="str">
        <f>VLOOKUP(A1080,'PLANILHA SEM DESON'!$B$17:$D$1699,3,FALSE)</f>
        <v>m</v>
      </c>
      <c r="J1080" s="1759">
        <f>I1086</f>
        <v>26.080000000000002</v>
      </c>
    </row>
    <row r="1081" spans="1:10" ht="24">
      <c r="A1081" s="1761" t="s">
        <v>2401</v>
      </c>
      <c r="B1081" s="1762" t="s">
        <v>2402</v>
      </c>
      <c r="C1081" s="1763" t="s">
        <v>2399</v>
      </c>
      <c r="D1081" s="1764" t="s">
        <v>284</v>
      </c>
      <c r="E1081" s="1763" t="s">
        <v>193</v>
      </c>
      <c r="F1081" s="1765" t="s">
        <v>2403</v>
      </c>
      <c r="G1081" s="1763" t="s">
        <v>2404</v>
      </c>
      <c r="H1081" s="1766" t="s">
        <v>2405</v>
      </c>
      <c r="I1081" s="1767" t="s">
        <v>2406</v>
      </c>
      <c r="J1081" s="1768"/>
    </row>
    <row r="1082" spans="1:10" ht="48">
      <c r="A1082" s="1770" t="s">
        <v>2407</v>
      </c>
      <c r="B1082" s="1771" t="s">
        <v>2410</v>
      </c>
      <c r="C1082" s="1771">
        <v>996</v>
      </c>
      <c r="D1082" s="1772" t="s">
        <v>2623</v>
      </c>
      <c r="E1082" s="1773" t="s">
        <v>158</v>
      </c>
      <c r="F1082" s="1780">
        <v>1.0149999999999999</v>
      </c>
      <c r="G1082" s="1774">
        <v>23.03</v>
      </c>
      <c r="H1082" s="1775">
        <f>IF(E1082="H",G1082,TRUNC(G1082*(1-$K$7),2))</f>
        <v>22.89</v>
      </c>
      <c r="I1082" s="1776">
        <f t="shared" ref="I1082:I1085" si="150">TRUNC(H1082*F1082,2)</f>
        <v>23.23</v>
      </c>
      <c r="J1082" s="1768"/>
    </row>
    <row r="1083" spans="1:10" ht="24">
      <c r="A1083" s="1770" t="s">
        <v>2407</v>
      </c>
      <c r="B1083" s="1771" t="s">
        <v>2410</v>
      </c>
      <c r="C1083" s="1771">
        <v>21127</v>
      </c>
      <c r="D1083" s="1772" t="s">
        <v>2622</v>
      </c>
      <c r="E1083" s="1773" t="s">
        <v>2432</v>
      </c>
      <c r="F1083" s="1780">
        <v>8.9999999999999993E-3</v>
      </c>
      <c r="G1083" s="1774">
        <v>4.0599999999999996</v>
      </c>
      <c r="H1083" s="1775">
        <f>IF(E1083="H",G1083,TRUNC(G1083*(1-$K$7),2))</f>
        <v>4.03</v>
      </c>
      <c r="I1083" s="1776">
        <f t="shared" si="150"/>
        <v>0.03</v>
      </c>
      <c r="J1083" s="1768"/>
    </row>
    <row r="1084" spans="1:10" ht="24">
      <c r="A1084" s="1770" t="s">
        <v>2407</v>
      </c>
      <c r="B1084" s="1771" t="s">
        <v>7</v>
      </c>
      <c r="C1084" s="1771">
        <v>88247</v>
      </c>
      <c r="D1084" s="1772" t="s">
        <v>93</v>
      </c>
      <c r="E1084" s="1773" t="s">
        <v>387</v>
      </c>
      <c r="F1084" s="1780">
        <v>6.08E-2</v>
      </c>
      <c r="G1084" s="1774">
        <v>21</v>
      </c>
      <c r="H1084" s="1775">
        <f>IF(E1084="H",G1084,TRUNC(G1084*(1-$K$7),2))</f>
        <v>21</v>
      </c>
      <c r="I1084" s="1776">
        <f t="shared" si="150"/>
        <v>1.27</v>
      </c>
      <c r="J1084" s="1768"/>
    </row>
    <row r="1085" spans="1:10">
      <c r="A1085" s="1770" t="s">
        <v>2407</v>
      </c>
      <c r="B1085" s="1771" t="s">
        <v>7</v>
      </c>
      <c r="C1085" s="1771">
        <v>88264</v>
      </c>
      <c r="D1085" s="1772" t="s">
        <v>94</v>
      </c>
      <c r="E1085" s="1773" t="s">
        <v>387</v>
      </c>
      <c r="F1085" s="1780">
        <v>6.08E-2</v>
      </c>
      <c r="G1085" s="1774">
        <v>25.54</v>
      </c>
      <c r="H1085" s="1775">
        <f>IF(E1085="H",G1085,TRUNC(G1085*(1-$K$7),2))</f>
        <v>25.54</v>
      </c>
      <c r="I1085" s="1776">
        <f t="shared" si="150"/>
        <v>1.55</v>
      </c>
      <c r="J1085" s="1768"/>
    </row>
    <row r="1086" spans="1:10">
      <c r="A1086" s="1917" t="s">
        <v>2408</v>
      </c>
      <c r="B1086" s="1918"/>
      <c r="C1086" s="1918"/>
      <c r="D1086" s="1918"/>
      <c r="E1086" s="1918"/>
      <c r="F1086" s="1918"/>
      <c r="G1086" s="1918"/>
      <c r="H1086" s="1919"/>
      <c r="I1086" s="1778">
        <f>SUM(I1082:I1085)</f>
        <v>26.080000000000002</v>
      </c>
      <c r="J1086" s="1768"/>
    </row>
    <row r="1087" spans="1:10">
      <c r="A1087" s="1920"/>
      <c r="B1087" s="1921"/>
      <c r="C1087" s="1921"/>
      <c r="D1087" s="1921"/>
      <c r="E1087" s="1921"/>
      <c r="F1087" s="1921"/>
      <c r="G1087" s="1921"/>
      <c r="H1087" s="1921"/>
      <c r="I1087" s="1922"/>
      <c r="J1087" s="1768"/>
    </row>
    <row r="1088" spans="1:10" ht="21.75" customHeight="1">
      <c r="A1088" s="1757">
        <f>'PLANILHA SEM DESON'!B173</f>
        <v>91926</v>
      </c>
      <c r="B1088" s="1923" t="str">
        <f>VLOOKUP(A1088,'PLANILHA SEM DESON'!$B$17:$D$1699,2,FALSE)</f>
        <v>CABO DE COBRE FLEXÍVEL ISOLADO, 2,5 MM², ANTI-CHAMA 450/750 V, PARA CIRCUITOS TERMINAIS - FORNECIMENTO E INSTALAÇÃO. AF_12/2015</v>
      </c>
      <c r="C1088" s="1924"/>
      <c r="D1088" s="1924"/>
      <c r="E1088" s="1924"/>
      <c r="F1088" s="1924"/>
      <c r="G1088" s="1924"/>
      <c r="H1088" s="1925"/>
      <c r="I1088" s="1758" t="str">
        <f>VLOOKUP(A1088,'PLANILHA SEM DESON'!$B$17:$D$1699,3,FALSE)</f>
        <v>m</v>
      </c>
      <c r="J1088" s="1759">
        <f>I1094</f>
        <v>3.9499999999999993</v>
      </c>
    </row>
    <row r="1089" spans="1:10" ht="24">
      <c r="A1089" s="1761" t="s">
        <v>2401</v>
      </c>
      <c r="B1089" s="1762" t="s">
        <v>2402</v>
      </c>
      <c r="C1089" s="1763" t="s">
        <v>2399</v>
      </c>
      <c r="D1089" s="1764" t="s">
        <v>284</v>
      </c>
      <c r="E1089" s="1763" t="s">
        <v>193</v>
      </c>
      <c r="F1089" s="1765" t="s">
        <v>2403</v>
      </c>
      <c r="G1089" s="1763" t="s">
        <v>2404</v>
      </c>
      <c r="H1089" s="1766" t="s">
        <v>2405</v>
      </c>
      <c r="I1089" s="1767" t="s">
        <v>2406</v>
      </c>
      <c r="J1089" s="1768"/>
    </row>
    <row r="1090" spans="1:10" ht="36">
      <c r="A1090" s="1770" t="s">
        <v>2407</v>
      </c>
      <c r="B1090" s="1771" t="s">
        <v>2410</v>
      </c>
      <c r="C1090" s="1771">
        <v>1014</v>
      </c>
      <c r="D1090" s="1772" t="s">
        <v>2624</v>
      </c>
      <c r="E1090" s="1773" t="s">
        <v>158</v>
      </c>
      <c r="F1090" s="1780">
        <v>1.19</v>
      </c>
      <c r="G1090" s="1774">
        <v>2.15</v>
      </c>
      <c r="H1090" s="1775">
        <f>IF(E1090="H",G1090,TRUNC(G1090*(1-$K$7),2))</f>
        <v>2.13</v>
      </c>
      <c r="I1090" s="1776">
        <f t="shared" ref="I1090:I1093" si="151">TRUNC(H1090*F1090,2)</f>
        <v>2.5299999999999998</v>
      </c>
      <c r="J1090" s="1768"/>
    </row>
    <row r="1091" spans="1:10" ht="24">
      <c r="A1091" s="1770" t="s">
        <v>2407</v>
      </c>
      <c r="B1091" s="1771" t="s">
        <v>2410</v>
      </c>
      <c r="C1091" s="1771">
        <v>21127</v>
      </c>
      <c r="D1091" s="1772" t="s">
        <v>2622</v>
      </c>
      <c r="E1091" s="1773" t="s">
        <v>2432</v>
      </c>
      <c r="F1091" s="1780">
        <v>8.9999999999999993E-3</v>
      </c>
      <c r="G1091" s="1774">
        <v>4.0599999999999996</v>
      </c>
      <c r="H1091" s="1775">
        <f>IF(E1091="H",G1091,TRUNC(G1091*(1-$K$7),2))</f>
        <v>4.03</v>
      </c>
      <c r="I1091" s="1776">
        <f t="shared" si="151"/>
        <v>0.03</v>
      </c>
      <c r="J1091" s="1768"/>
    </row>
    <row r="1092" spans="1:10" ht="24">
      <c r="A1092" s="1770" t="s">
        <v>2407</v>
      </c>
      <c r="B1092" s="1771" t="s">
        <v>7</v>
      </c>
      <c r="C1092" s="1771">
        <v>88247</v>
      </c>
      <c r="D1092" s="1772" t="s">
        <v>93</v>
      </c>
      <c r="E1092" s="1773" t="s">
        <v>387</v>
      </c>
      <c r="F1092" s="1780">
        <v>0.03</v>
      </c>
      <c r="G1092" s="1774">
        <v>21</v>
      </c>
      <c r="H1092" s="1775">
        <f>IF(E1092="H",G1092,TRUNC(G1092*(1-$K$7),2))</f>
        <v>21</v>
      </c>
      <c r="I1092" s="1776">
        <f t="shared" si="151"/>
        <v>0.63</v>
      </c>
      <c r="J1092" s="1768"/>
    </row>
    <row r="1093" spans="1:10">
      <c r="A1093" s="1770" t="s">
        <v>2407</v>
      </c>
      <c r="B1093" s="1771" t="s">
        <v>7</v>
      </c>
      <c r="C1093" s="1771">
        <v>88264</v>
      </c>
      <c r="D1093" s="1772" t="s">
        <v>94</v>
      </c>
      <c r="E1093" s="1773" t="s">
        <v>387</v>
      </c>
      <c r="F1093" s="1780">
        <v>0.03</v>
      </c>
      <c r="G1093" s="1774">
        <v>25.54</v>
      </c>
      <c r="H1093" s="1775">
        <f>IF(E1093="H",G1093,TRUNC(G1093*(1-$K$7),2))</f>
        <v>25.54</v>
      </c>
      <c r="I1093" s="1776">
        <f t="shared" si="151"/>
        <v>0.76</v>
      </c>
      <c r="J1093" s="1768"/>
    </row>
    <row r="1094" spans="1:10">
      <c r="A1094" s="1917" t="s">
        <v>2408</v>
      </c>
      <c r="B1094" s="1918"/>
      <c r="C1094" s="1918"/>
      <c r="D1094" s="1918"/>
      <c r="E1094" s="1918"/>
      <c r="F1094" s="1918"/>
      <c r="G1094" s="1918"/>
      <c r="H1094" s="1919"/>
      <c r="I1094" s="1778">
        <f>SUM(I1090:I1093)</f>
        <v>3.9499999999999993</v>
      </c>
      <c r="J1094" s="1768"/>
    </row>
    <row r="1095" spans="1:10">
      <c r="A1095" s="1920"/>
      <c r="B1095" s="1921"/>
      <c r="C1095" s="1921"/>
      <c r="D1095" s="1921"/>
      <c r="E1095" s="1921"/>
      <c r="F1095" s="1921"/>
      <c r="G1095" s="1921"/>
      <c r="H1095" s="1921"/>
      <c r="I1095" s="1922"/>
      <c r="J1095" s="1768"/>
    </row>
    <row r="1096" spans="1:10" ht="21" customHeight="1">
      <c r="A1096" s="1757">
        <f>'PLANILHA SEM DESON'!B174</f>
        <v>91928</v>
      </c>
      <c r="B1096" s="1923" t="str">
        <f>VLOOKUP(A1096,'PLANILHA SEM DESON'!$B$17:$D$1699,2,FALSE)</f>
        <v xml:space="preserve">CABO DE COBRE FLEXÍVEL ISOLADO, 4 MM², ANTI-CHAMA 450/750 V, PARA CIRCUITOS TERMINAIS - FORNECIMENTO E INSTALAÇÃO. AF_12/2015 </v>
      </c>
      <c r="C1096" s="1924"/>
      <c r="D1096" s="1924"/>
      <c r="E1096" s="1924"/>
      <c r="F1096" s="1924"/>
      <c r="G1096" s="1924"/>
      <c r="H1096" s="1925"/>
      <c r="I1096" s="1758" t="str">
        <f>VLOOKUP(A1096,'PLANILHA SEM DESON'!$B$17:$D$1699,3,FALSE)</f>
        <v>m</v>
      </c>
      <c r="J1096" s="1759">
        <f>I1102</f>
        <v>6.09</v>
      </c>
    </row>
    <row r="1097" spans="1:10" ht="24">
      <c r="A1097" s="1761" t="s">
        <v>2401</v>
      </c>
      <c r="B1097" s="1762" t="s">
        <v>2402</v>
      </c>
      <c r="C1097" s="1763" t="s">
        <v>2399</v>
      </c>
      <c r="D1097" s="1764" t="s">
        <v>284</v>
      </c>
      <c r="E1097" s="1763" t="s">
        <v>193</v>
      </c>
      <c r="F1097" s="1765" t="s">
        <v>2403</v>
      </c>
      <c r="G1097" s="1763" t="s">
        <v>2404</v>
      </c>
      <c r="H1097" s="1766" t="s">
        <v>2405</v>
      </c>
      <c r="I1097" s="1767" t="s">
        <v>2406</v>
      </c>
      <c r="J1097" s="1768"/>
    </row>
    <row r="1098" spans="1:10" ht="36">
      <c r="A1098" s="1770" t="s">
        <v>2407</v>
      </c>
      <c r="B1098" s="1771" t="s">
        <v>2410</v>
      </c>
      <c r="C1098" s="1771">
        <v>981</v>
      </c>
      <c r="D1098" s="1772" t="s">
        <v>2625</v>
      </c>
      <c r="E1098" s="1773" t="s">
        <v>158</v>
      </c>
      <c r="F1098" s="1780">
        <v>1.19</v>
      </c>
      <c r="G1098" s="1774">
        <v>3.56</v>
      </c>
      <c r="H1098" s="1775">
        <f>IF(E1098="H",G1098,TRUNC(G1098*(1-$K$7),2))</f>
        <v>3.53</v>
      </c>
      <c r="I1098" s="1776">
        <f t="shared" ref="I1098:I1101" si="152">TRUNC(H1098*F1098,2)</f>
        <v>4.2</v>
      </c>
      <c r="J1098" s="1768"/>
    </row>
    <row r="1099" spans="1:10" ht="24">
      <c r="A1099" s="1770" t="s">
        <v>2407</v>
      </c>
      <c r="B1099" s="1771" t="s">
        <v>2410</v>
      </c>
      <c r="C1099" s="1771">
        <v>21127</v>
      </c>
      <c r="D1099" s="1772" t="s">
        <v>2622</v>
      </c>
      <c r="E1099" s="1773" t="s">
        <v>2432</v>
      </c>
      <c r="F1099" s="1780">
        <v>8.9999999999999993E-3</v>
      </c>
      <c r="G1099" s="1774">
        <v>4.0599999999999996</v>
      </c>
      <c r="H1099" s="1775">
        <f>IF(E1099="H",G1099,TRUNC(G1099*(1-$K$7),2))</f>
        <v>4.03</v>
      </c>
      <c r="I1099" s="1776">
        <f t="shared" si="152"/>
        <v>0.03</v>
      </c>
      <c r="J1099" s="1768"/>
    </row>
    <row r="1100" spans="1:10" ht="24">
      <c r="A1100" s="1770" t="s">
        <v>2407</v>
      </c>
      <c r="B1100" s="1771" t="s">
        <v>7</v>
      </c>
      <c r="C1100" s="1771">
        <v>88247</v>
      </c>
      <c r="D1100" s="1772" t="s">
        <v>93</v>
      </c>
      <c r="E1100" s="1773" t="s">
        <v>387</v>
      </c>
      <c r="F1100" s="1780">
        <v>0.04</v>
      </c>
      <c r="G1100" s="1774">
        <v>21</v>
      </c>
      <c r="H1100" s="1775">
        <f>IF(E1100="H",G1100,TRUNC(G1100*(1-$K$7),2))</f>
        <v>21</v>
      </c>
      <c r="I1100" s="1776">
        <f t="shared" si="152"/>
        <v>0.84</v>
      </c>
      <c r="J1100" s="1768"/>
    </row>
    <row r="1101" spans="1:10">
      <c r="A1101" s="1770" t="s">
        <v>2407</v>
      </c>
      <c r="B1101" s="1771" t="s">
        <v>7</v>
      </c>
      <c r="C1101" s="1771">
        <v>88264</v>
      </c>
      <c r="D1101" s="1772" t="s">
        <v>94</v>
      </c>
      <c r="E1101" s="1773" t="s">
        <v>387</v>
      </c>
      <c r="F1101" s="1780">
        <v>0.04</v>
      </c>
      <c r="G1101" s="1774">
        <v>25.54</v>
      </c>
      <c r="H1101" s="1775">
        <f>IF(E1101="H",G1101,TRUNC(G1101*(1-$K$7),2))</f>
        <v>25.54</v>
      </c>
      <c r="I1101" s="1776">
        <f t="shared" si="152"/>
        <v>1.02</v>
      </c>
      <c r="J1101" s="1768"/>
    </row>
    <row r="1102" spans="1:10">
      <c r="A1102" s="1917" t="s">
        <v>2408</v>
      </c>
      <c r="B1102" s="1918"/>
      <c r="C1102" s="1918"/>
      <c r="D1102" s="1918"/>
      <c r="E1102" s="1918"/>
      <c r="F1102" s="1918"/>
      <c r="G1102" s="1918"/>
      <c r="H1102" s="1919"/>
      <c r="I1102" s="1778">
        <f>SUM(I1098:I1101)</f>
        <v>6.09</v>
      </c>
      <c r="J1102" s="1768"/>
    </row>
    <row r="1103" spans="1:10">
      <c r="A1103" s="1920"/>
      <c r="B1103" s="1921"/>
      <c r="C1103" s="1921"/>
      <c r="D1103" s="1921"/>
      <c r="E1103" s="1921"/>
      <c r="F1103" s="1921"/>
      <c r="G1103" s="1921"/>
      <c r="H1103" s="1921"/>
      <c r="I1103" s="1922"/>
      <c r="J1103" s="1768"/>
    </row>
    <row r="1104" spans="1:10" ht="24.75" customHeight="1">
      <c r="A1104" s="1757">
        <f>'PLANILHA SEM DESON'!B175</f>
        <v>91924</v>
      </c>
      <c r="B1104" s="1923" t="str">
        <f>VLOOKUP(A1104,'PLANILHA SEM DESON'!$B$17:$D$1699,2,FALSE)</f>
        <v xml:space="preserve">CABO DE COBRE FLEXÍVEL ISOLADO, 1,5 MM², ANTI-CHAMA 450/750 V, PARA CIRCUITOS TERMINAIS - FORNECIMENTO E INSTALAÇÃO. AF_12/2015 </v>
      </c>
      <c r="C1104" s="1924"/>
      <c r="D1104" s="1924"/>
      <c r="E1104" s="1924"/>
      <c r="F1104" s="1924"/>
      <c r="G1104" s="1924"/>
      <c r="H1104" s="1925"/>
      <c r="I1104" s="1758" t="str">
        <f>VLOOKUP(A1104,'PLANILHA SEM DESON'!$B$17:$D$1699,3,FALSE)</f>
        <v>m</v>
      </c>
      <c r="J1104" s="1759">
        <f>I1110</f>
        <v>2.73</v>
      </c>
    </row>
    <row r="1105" spans="1:10" ht="24">
      <c r="A1105" s="1761" t="s">
        <v>2401</v>
      </c>
      <c r="B1105" s="1762" t="s">
        <v>2402</v>
      </c>
      <c r="C1105" s="1763" t="s">
        <v>2399</v>
      </c>
      <c r="D1105" s="1764" t="s">
        <v>284</v>
      </c>
      <c r="E1105" s="1763" t="s">
        <v>193</v>
      </c>
      <c r="F1105" s="1765" t="s">
        <v>2403</v>
      </c>
      <c r="G1105" s="1763" t="s">
        <v>2404</v>
      </c>
      <c r="H1105" s="1766" t="s">
        <v>2405</v>
      </c>
      <c r="I1105" s="1767" t="s">
        <v>2406</v>
      </c>
      <c r="J1105" s="1768"/>
    </row>
    <row r="1106" spans="1:10" ht="36">
      <c r="A1106" s="1770" t="s">
        <v>2407</v>
      </c>
      <c r="B1106" s="1771" t="s">
        <v>2410</v>
      </c>
      <c r="C1106" s="1771">
        <v>1013</v>
      </c>
      <c r="D1106" s="1772" t="s">
        <v>2626</v>
      </c>
      <c r="E1106" s="1773" t="s">
        <v>158</v>
      </c>
      <c r="F1106" s="1780">
        <v>1.19</v>
      </c>
      <c r="G1106" s="1774">
        <v>1.35</v>
      </c>
      <c r="H1106" s="1775">
        <f>IF(E1106="H",G1106,TRUNC(G1106*(1-$K$7),2))</f>
        <v>1.34</v>
      </c>
      <c r="I1106" s="1776">
        <f t="shared" ref="I1106:I1109" si="153">TRUNC(H1106*F1106,2)</f>
        <v>1.59</v>
      </c>
      <c r="J1106" s="1768"/>
    </row>
    <row r="1107" spans="1:10" ht="24">
      <c r="A1107" s="1770" t="s">
        <v>2407</v>
      </c>
      <c r="B1107" s="1771" t="s">
        <v>2410</v>
      </c>
      <c r="C1107" s="1771">
        <v>21127</v>
      </c>
      <c r="D1107" s="1772" t="s">
        <v>2622</v>
      </c>
      <c r="E1107" s="1773" t="s">
        <v>2432</v>
      </c>
      <c r="F1107" s="1780">
        <v>8.9999999999999993E-3</v>
      </c>
      <c r="G1107" s="1774">
        <v>4.0599999999999996</v>
      </c>
      <c r="H1107" s="1775">
        <f>IF(E1107="H",G1107,TRUNC(G1107*(1-$K$7),2))</f>
        <v>4.03</v>
      </c>
      <c r="I1107" s="1776">
        <f t="shared" si="153"/>
        <v>0.03</v>
      </c>
      <c r="J1107" s="1768"/>
    </row>
    <row r="1108" spans="1:10" ht="24">
      <c r="A1108" s="1770" t="s">
        <v>2407</v>
      </c>
      <c r="B1108" s="1771" t="s">
        <v>7</v>
      </c>
      <c r="C1108" s="1771">
        <v>88247</v>
      </c>
      <c r="D1108" s="1772" t="s">
        <v>93</v>
      </c>
      <c r="E1108" s="1773" t="s">
        <v>387</v>
      </c>
      <c r="F1108" s="1780">
        <v>2.4E-2</v>
      </c>
      <c r="G1108" s="1774">
        <v>21</v>
      </c>
      <c r="H1108" s="1775">
        <f>IF(E1108="H",G1108,TRUNC(G1108*(1-$K$7),2))</f>
        <v>21</v>
      </c>
      <c r="I1108" s="1776">
        <f t="shared" si="153"/>
        <v>0.5</v>
      </c>
      <c r="J1108" s="1768"/>
    </row>
    <row r="1109" spans="1:10">
      <c r="A1109" s="1770" t="s">
        <v>2407</v>
      </c>
      <c r="B1109" s="1771" t="s">
        <v>7</v>
      </c>
      <c r="C1109" s="1771">
        <v>88264</v>
      </c>
      <c r="D1109" s="1772" t="s">
        <v>94</v>
      </c>
      <c r="E1109" s="1773" t="s">
        <v>387</v>
      </c>
      <c r="F1109" s="1780">
        <v>2.4E-2</v>
      </c>
      <c r="G1109" s="1774">
        <v>25.54</v>
      </c>
      <c r="H1109" s="1775">
        <f>IF(E1109="H",G1109,TRUNC(G1109*(1-$K$7),2))</f>
        <v>25.54</v>
      </c>
      <c r="I1109" s="1776">
        <f t="shared" si="153"/>
        <v>0.61</v>
      </c>
      <c r="J1109" s="1768"/>
    </row>
    <row r="1110" spans="1:10">
      <c r="A1110" s="1917" t="s">
        <v>2408</v>
      </c>
      <c r="B1110" s="1918"/>
      <c r="C1110" s="1918"/>
      <c r="D1110" s="1918"/>
      <c r="E1110" s="1918"/>
      <c r="F1110" s="1918"/>
      <c r="G1110" s="1918"/>
      <c r="H1110" s="1919"/>
      <c r="I1110" s="1778">
        <f>SUM(I1106:I1109)</f>
        <v>2.73</v>
      </c>
      <c r="J1110" s="1768"/>
    </row>
    <row r="1111" spans="1:10">
      <c r="A1111" s="1920"/>
      <c r="B1111" s="1921"/>
      <c r="C1111" s="1921"/>
      <c r="D1111" s="1921"/>
      <c r="E1111" s="1921"/>
      <c r="F1111" s="1921"/>
      <c r="G1111" s="1921"/>
      <c r="H1111" s="1921"/>
      <c r="I1111" s="1922"/>
      <c r="J1111" s="1768"/>
    </row>
    <row r="1112" spans="1:10" ht="24" customHeight="1">
      <c r="A1112" s="1757" t="str">
        <f>'PLANILHA SEM DESON'!B176</f>
        <v>COMP ELE 35</v>
      </c>
      <c r="B1112" s="1923" t="str">
        <f>VLOOKUP(A1112,'PLANILHA SEM DESON'!$B$17:$D$1699,2,FALSE)</f>
        <v>CONDULETE PVC ENCAIXE TIPO C 3/4"</v>
      </c>
      <c r="C1112" s="1924"/>
      <c r="D1112" s="1924"/>
      <c r="E1112" s="1924"/>
      <c r="F1112" s="1924"/>
      <c r="G1112" s="1924"/>
      <c r="H1112" s="1925"/>
      <c r="I1112" s="1758" t="str">
        <f>VLOOKUP(A1112,'PLANILHA SEM DESON'!$B$17:$D$1699,3,FALSE)</f>
        <v xml:space="preserve">un </v>
      </c>
      <c r="J1112" s="1759">
        <f>I1118</f>
        <v>26.859999999999996</v>
      </c>
    </row>
    <row r="1113" spans="1:10" ht="24">
      <c r="A1113" s="1761" t="s">
        <v>2401</v>
      </c>
      <c r="B1113" s="1762" t="s">
        <v>2402</v>
      </c>
      <c r="C1113" s="1763" t="s">
        <v>2399</v>
      </c>
      <c r="D1113" s="1764" t="s">
        <v>284</v>
      </c>
      <c r="E1113" s="1763" t="s">
        <v>193</v>
      </c>
      <c r="F1113" s="1765" t="s">
        <v>2403</v>
      </c>
      <c r="G1113" s="1763" t="s">
        <v>2404</v>
      </c>
      <c r="H1113" s="1766" t="s">
        <v>2405</v>
      </c>
      <c r="I1113" s="1767" t="s">
        <v>2406</v>
      </c>
      <c r="J1113" s="1768"/>
    </row>
    <row r="1114" spans="1:10">
      <c r="A1114" s="1770"/>
      <c r="B1114" s="1771"/>
      <c r="C1114" s="1771">
        <v>88264</v>
      </c>
      <c r="D1114" s="1772" t="s">
        <v>94</v>
      </c>
      <c r="E1114" s="1773" t="s">
        <v>57</v>
      </c>
      <c r="F1114" s="1782">
        <v>0.3523</v>
      </c>
      <c r="G1114" s="1779">
        <v>25.54</v>
      </c>
      <c r="H1114" s="1775">
        <f>IF(E1114="H",G1114,TRUNC(G1114*(1-$K$7),2))</f>
        <v>25.54</v>
      </c>
      <c r="I1114" s="1776">
        <f t="shared" ref="I1114:I1117" si="154">TRUNC(H1114*F1114,2)</f>
        <v>8.99</v>
      </c>
      <c r="J1114" s="1768"/>
    </row>
    <row r="1115" spans="1:10" ht="24">
      <c r="A1115" s="1770"/>
      <c r="B1115" s="1771"/>
      <c r="C1115" s="1771">
        <v>88247</v>
      </c>
      <c r="D1115" s="1772" t="s">
        <v>93</v>
      </c>
      <c r="E1115" s="1773" t="s">
        <v>57</v>
      </c>
      <c r="F1115" s="1782">
        <v>0.3523</v>
      </c>
      <c r="G1115" s="1779">
        <v>21</v>
      </c>
      <c r="H1115" s="1775">
        <f>IF(E1115="H",G1115,TRUNC(G1115*(1-$K$7),2))</f>
        <v>21</v>
      </c>
      <c r="I1115" s="1776">
        <f t="shared" si="154"/>
        <v>7.39</v>
      </c>
      <c r="J1115" s="1768"/>
    </row>
    <row r="1116" spans="1:10">
      <c r="A1116" s="1770"/>
      <c r="B1116" s="1771"/>
      <c r="C1116" s="1771">
        <v>39331</v>
      </c>
      <c r="D1116" s="1772" t="s">
        <v>2103</v>
      </c>
      <c r="E1116" s="1773" t="s">
        <v>55</v>
      </c>
      <c r="F1116" s="1784">
        <v>1</v>
      </c>
      <c r="G1116" s="1779">
        <v>10.17</v>
      </c>
      <c r="H1116" s="1775">
        <f>IF(E1116="H",G1116,TRUNC(G1116*(1-$K$7),2))</f>
        <v>10.1</v>
      </c>
      <c r="I1116" s="1776">
        <f t="shared" si="154"/>
        <v>10.1</v>
      </c>
      <c r="J1116" s="1768"/>
    </row>
    <row r="1117" spans="1:10" ht="36">
      <c r="A1117" s="1770"/>
      <c r="B1117" s="1771"/>
      <c r="C1117" s="1771">
        <v>11950</v>
      </c>
      <c r="D1117" s="1772" t="s">
        <v>2104</v>
      </c>
      <c r="E1117" s="1773" t="s">
        <v>55</v>
      </c>
      <c r="F1117" s="1784">
        <v>2</v>
      </c>
      <c r="G1117" s="1779">
        <v>0.2</v>
      </c>
      <c r="H1117" s="1775">
        <f>IF(E1117="H",G1117,TRUNC(G1117*(1-$K$7),2))</f>
        <v>0.19</v>
      </c>
      <c r="I1117" s="1776">
        <f t="shared" si="154"/>
        <v>0.38</v>
      </c>
      <c r="J1117" s="1768"/>
    </row>
    <row r="1118" spans="1:10">
      <c r="A1118" s="1917" t="s">
        <v>2408</v>
      </c>
      <c r="B1118" s="1918"/>
      <c r="C1118" s="1918"/>
      <c r="D1118" s="1918"/>
      <c r="E1118" s="1918"/>
      <c r="F1118" s="1918"/>
      <c r="G1118" s="1918"/>
      <c r="H1118" s="1919"/>
      <c r="I1118" s="1778">
        <f>SUM(I1114:I1117)</f>
        <v>26.859999999999996</v>
      </c>
      <c r="J1118" s="1768"/>
    </row>
    <row r="1119" spans="1:10">
      <c r="A1119" s="1920"/>
      <c r="B1119" s="1921"/>
      <c r="C1119" s="1921"/>
      <c r="D1119" s="1921"/>
      <c r="E1119" s="1921"/>
      <c r="F1119" s="1921"/>
      <c r="G1119" s="1921"/>
      <c r="H1119" s="1921"/>
      <c r="I1119" s="1922"/>
      <c r="J1119" s="1768"/>
    </row>
    <row r="1120" spans="1:10" ht="25.5" customHeight="1">
      <c r="A1120" s="1757" t="str">
        <f>'PLANILHA SEM DESON'!B177</f>
        <v>COMP ELE 39</v>
      </c>
      <c r="B1120" s="1923" t="str">
        <f>VLOOKUP(A1120,'PLANILHA SEM DESON'!$B$17:$D$1699,2,FALSE)</f>
        <v>CONDULETE PVC ENCAIXE TIPO T  1"</v>
      </c>
      <c r="C1120" s="1924"/>
      <c r="D1120" s="1924"/>
      <c r="E1120" s="1924"/>
      <c r="F1120" s="1924"/>
      <c r="G1120" s="1924"/>
      <c r="H1120" s="1925"/>
      <c r="I1120" s="1758" t="str">
        <f>VLOOKUP(A1120,'PLANILHA SEM DESON'!$B$17:$D$1699,3,FALSE)</f>
        <v xml:space="preserve">un </v>
      </c>
      <c r="J1120" s="1759">
        <f>I1126</f>
        <v>33.32</v>
      </c>
    </row>
    <row r="1121" spans="1:10" ht="24">
      <c r="A1121" s="1761" t="s">
        <v>2401</v>
      </c>
      <c r="B1121" s="1762" t="s">
        <v>2402</v>
      </c>
      <c r="C1121" s="1763" t="s">
        <v>2399</v>
      </c>
      <c r="D1121" s="1764" t="s">
        <v>284</v>
      </c>
      <c r="E1121" s="1763" t="s">
        <v>193</v>
      </c>
      <c r="F1121" s="1765" t="s">
        <v>2403</v>
      </c>
      <c r="G1121" s="1763" t="s">
        <v>2404</v>
      </c>
      <c r="H1121" s="1766" t="s">
        <v>2405</v>
      </c>
      <c r="I1121" s="1767" t="s">
        <v>2406</v>
      </c>
      <c r="J1121" s="1768"/>
    </row>
    <row r="1122" spans="1:10">
      <c r="A1122" s="1770"/>
      <c r="B1122" s="1771"/>
      <c r="C1122" s="1771">
        <v>88264</v>
      </c>
      <c r="D1122" s="1772" t="s">
        <v>94</v>
      </c>
      <c r="E1122" s="1773" t="s">
        <v>57</v>
      </c>
      <c r="F1122" s="1782">
        <v>0.3523</v>
      </c>
      <c r="G1122" s="1779">
        <v>25.54</v>
      </c>
      <c r="H1122" s="1775">
        <f>IF(E1122="H",G1122,TRUNC(G1122*(1-$K$7),2))</f>
        <v>25.54</v>
      </c>
      <c r="I1122" s="1776">
        <f t="shared" ref="I1122:I1125" si="155">TRUNC(H1122*F1122,2)</f>
        <v>8.99</v>
      </c>
      <c r="J1122" s="1768"/>
    </row>
    <row r="1123" spans="1:10" ht="24">
      <c r="A1123" s="1770"/>
      <c r="B1123" s="1771"/>
      <c r="C1123" s="1771">
        <v>88247</v>
      </c>
      <c r="D1123" s="1772" t="s">
        <v>93</v>
      </c>
      <c r="E1123" s="1773" t="s">
        <v>57</v>
      </c>
      <c r="F1123" s="1782">
        <v>0.3523</v>
      </c>
      <c r="G1123" s="1779">
        <v>21</v>
      </c>
      <c r="H1123" s="1775">
        <f>IF(E1123="H",G1123,TRUNC(G1123*(1-$K$7),2))</f>
        <v>21</v>
      </c>
      <c r="I1123" s="1776">
        <f t="shared" si="155"/>
        <v>7.39</v>
      </c>
      <c r="J1123" s="1768"/>
    </row>
    <row r="1124" spans="1:10">
      <c r="A1124" s="1770"/>
      <c r="B1124" s="1771"/>
      <c r="C1124" s="1771">
        <v>39341</v>
      </c>
      <c r="D1124" s="1772" t="s">
        <v>2364</v>
      </c>
      <c r="E1124" s="1773" t="s">
        <v>55</v>
      </c>
      <c r="F1124" s="1784">
        <v>1</v>
      </c>
      <c r="G1124" s="1779">
        <v>16.66</v>
      </c>
      <c r="H1124" s="1775">
        <f>IF(E1124="H",G1124,TRUNC(G1124*(1-$K$7),2))</f>
        <v>16.559999999999999</v>
      </c>
      <c r="I1124" s="1776">
        <f t="shared" si="155"/>
        <v>16.559999999999999</v>
      </c>
      <c r="J1124" s="1768"/>
    </row>
    <row r="1125" spans="1:10" ht="36">
      <c r="A1125" s="1770"/>
      <c r="B1125" s="1771"/>
      <c r="C1125" s="1771">
        <v>11950</v>
      </c>
      <c r="D1125" s="1772" t="s">
        <v>2104</v>
      </c>
      <c r="E1125" s="1773" t="s">
        <v>55</v>
      </c>
      <c r="F1125" s="1784">
        <v>2</v>
      </c>
      <c r="G1125" s="1779">
        <v>0.2</v>
      </c>
      <c r="H1125" s="1775">
        <f>IF(E1125="H",G1125,TRUNC(G1125*(1-$K$7),2))</f>
        <v>0.19</v>
      </c>
      <c r="I1125" s="1776">
        <f t="shared" si="155"/>
        <v>0.38</v>
      </c>
      <c r="J1125" s="1768"/>
    </row>
    <row r="1126" spans="1:10">
      <c r="A1126" s="1917" t="s">
        <v>2408</v>
      </c>
      <c r="B1126" s="1918"/>
      <c r="C1126" s="1918"/>
      <c r="D1126" s="1918"/>
      <c r="E1126" s="1918"/>
      <c r="F1126" s="1918"/>
      <c r="G1126" s="1918"/>
      <c r="H1126" s="1919"/>
      <c r="I1126" s="1778">
        <f>SUM(I1122:I1125)</f>
        <v>33.32</v>
      </c>
      <c r="J1126" s="1768"/>
    </row>
    <row r="1127" spans="1:10">
      <c r="A1127" s="1920"/>
      <c r="B1127" s="1921"/>
      <c r="C1127" s="1921"/>
      <c r="D1127" s="1921"/>
      <c r="E1127" s="1921"/>
      <c r="F1127" s="1921"/>
      <c r="G1127" s="1921"/>
      <c r="H1127" s="1921"/>
      <c r="I1127" s="1922"/>
      <c r="J1127" s="1768"/>
    </row>
    <row r="1128" spans="1:10" ht="25.5" customHeight="1">
      <c r="A1128" s="1757" t="str">
        <f>'PLANILHA SEM DESON'!B178</f>
        <v>COMP ELE 37</v>
      </c>
      <c r="B1128" s="1923" t="str">
        <f>VLOOKUP(A1128,'PLANILHA SEM DESON'!$B$17:$D$1699,2,FALSE)</f>
        <v>CONDULETE PVC ENCAIXE TIPO LR 3/4"</v>
      </c>
      <c r="C1128" s="1924"/>
      <c r="D1128" s="1924"/>
      <c r="E1128" s="1924"/>
      <c r="F1128" s="1924"/>
      <c r="G1128" s="1924"/>
      <c r="H1128" s="1925"/>
      <c r="I1128" s="1758" t="str">
        <f>VLOOKUP(A1128,'PLANILHA SEM DESON'!$B$17:$D$1699,3,FALSE)</f>
        <v xml:space="preserve">un </v>
      </c>
      <c r="J1128" s="1759">
        <f>I1134</f>
        <v>26.859999999999996</v>
      </c>
    </row>
    <row r="1129" spans="1:10" ht="24">
      <c r="A1129" s="1761" t="s">
        <v>2401</v>
      </c>
      <c r="B1129" s="1762" t="s">
        <v>2402</v>
      </c>
      <c r="C1129" s="1763" t="s">
        <v>2399</v>
      </c>
      <c r="D1129" s="1764" t="s">
        <v>284</v>
      </c>
      <c r="E1129" s="1763" t="s">
        <v>193</v>
      </c>
      <c r="F1129" s="1765" t="s">
        <v>2403</v>
      </c>
      <c r="G1129" s="1763" t="s">
        <v>2404</v>
      </c>
      <c r="H1129" s="1766" t="s">
        <v>2405</v>
      </c>
      <c r="I1129" s="1767" t="s">
        <v>2406</v>
      </c>
      <c r="J1129" s="1768"/>
    </row>
    <row r="1130" spans="1:10">
      <c r="A1130" s="1770"/>
      <c r="B1130" s="1771"/>
      <c r="C1130" s="1771">
        <v>88264</v>
      </c>
      <c r="D1130" s="1772" t="s">
        <v>94</v>
      </c>
      <c r="E1130" s="1773" t="s">
        <v>57</v>
      </c>
      <c r="F1130" s="1782">
        <v>0.3523</v>
      </c>
      <c r="G1130" s="1779">
        <v>25.54</v>
      </c>
      <c r="H1130" s="1775">
        <f>IF(E1130="H",G1130,TRUNC(G1130*(1-$K$7),2))</f>
        <v>25.54</v>
      </c>
      <c r="I1130" s="1776">
        <f t="shared" ref="I1130:I1133" si="156">TRUNC(H1130*F1130,2)</f>
        <v>8.99</v>
      </c>
      <c r="J1130" s="1768"/>
    </row>
    <row r="1131" spans="1:10" ht="24">
      <c r="A1131" s="1770"/>
      <c r="B1131" s="1771"/>
      <c r="C1131" s="1771">
        <v>88247</v>
      </c>
      <c r="D1131" s="1772" t="s">
        <v>93</v>
      </c>
      <c r="E1131" s="1773" t="s">
        <v>57</v>
      </c>
      <c r="F1131" s="1782">
        <v>0.3523</v>
      </c>
      <c r="G1131" s="1779">
        <v>21</v>
      </c>
      <c r="H1131" s="1775">
        <f>IF(E1131="H",G1131,TRUNC(G1131*(1-$K$7),2))</f>
        <v>21</v>
      </c>
      <c r="I1131" s="1776">
        <f t="shared" si="156"/>
        <v>7.39</v>
      </c>
      <c r="J1131" s="1768"/>
    </row>
    <row r="1132" spans="1:10">
      <c r="A1132" s="1770"/>
      <c r="B1132" s="1771"/>
      <c r="C1132" s="1771">
        <v>39337</v>
      </c>
      <c r="D1132" s="1772" t="s">
        <v>2105</v>
      </c>
      <c r="E1132" s="1773" t="s">
        <v>55</v>
      </c>
      <c r="F1132" s="1784">
        <v>1</v>
      </c>
      <c r="G1132" s="1779">
        <v>10.17</v>
      </c>
      <c r="H1132" s="1775">
        <f>IF(E1132="H",G1132,TRUNC(G1132*(1-$K$7),2))</f>
        <v>10.1</v>
      </c>
      <c r="I1132" s="1776">
        <f t="shared" si="156"/>
        <v>10.1</v>
      </c>
      <c r="J1132" s="1768"/>
    </row>
    <row r="1133" spans="1:10" ht="36">
      <c r="A1133" s="1770"/>
      <c r="B1133" s="1771"/>
      <c r="C1133" s="1771">
        <v>11950</v>
      </c>
      <c r="D1133" s="1772" t="s">
        <v>2104</v>
      </c>
      <c r="E1133" s="1773" t="s">
        <v>55</v>
      </c>
      <c r="F1133" s="1784">
        <v>2</v>
      </c>
      <c r="G1133" s="1779">
        <v>0.2</v>
      </c>
      <c r="H1133" s="1775">
        <f>IF(E1133="H",G1133,TRUNC(G1133*(1-$K$7),2))</f>
        <v>0.19</v>
      </c>
      <c r="I1133" s="1776">
        <f t="shared" si="156"/>
        <v>0.38</v>
      </c>
      <c r="J1133" s="1768"/>
    </row>
    <row r="1134" spans="1:10">
      <c r="A1134" s="1917" t="s">
        <v>2408</v>
      </c>
      <c r="B1134" s="1918"/>
      <c r="C1134" s="1918"/>
      <c r="D1134" s="1918"/>
      <c r="E1134" s="1918"/>
      <c r="F1134" s="1918"/>
      <c r="G1134" s="1918"/>
      <c r="H1134" s="1919"/>
      <c r="I1134" s="1778">
        <f>SUM(I1130:I1133)</f>
        <v>26.859999999999996</v>
      </c>
      <c r="J1134" s="1768"/>
    </row>
    <row r="1135" spans="1:10">
      <c r="A1135" s="1920"/>
      <c r="B1135" s="1921"/>
      <c r="C1135" s="1921"/>
      <c r="D1135" s="1921"/>
      <c r="E1135" s="1921"/>
      <c r="F1135" s="1921"/>
      <c r="G1135" s="1921"/>
      <c r="H1135" s="1921"/>
      <c r="I1135" s="1922"/>
      <c r="J1135" s="1768"/>
    </row>
    <row r="1136" spans="1:10" ht="25.5" customHeight="1">
      <c r="A1136" s="1757" t="str">
        <f>'PLANILHA SEM DESON'!B179</f>
        <v>COMP ELE 38</v>
      </c>
      <c r="B1136" s="1923" t="str">
        <f>VLOOKUP(A1136,'PLANILHA SEM DESON'!$B$17:$D$1699,2,FALSE)</f>
        <v>CONDULETE PVC ENCAIXE TIPO LR  1"</v>
      </c>
      <c r="C1136" s="1924"/>
      <c r="D1136" s="1924"/>
      <c r="E1136" s="1924"/>
      <c r="F1136" s="1924"/>
      <c r="G1136" s="1924"/>
      <c r="H1136" s="1925"/>
      <c r="I1136" s="1758" t="str">
        <f>VLOOKUP(A1136,'PLANILHA SEM DESON'!$B$17:$D$1699,3,FALSE)</f>
        <v xml:space="preserve">un </v>
      </c>
      <c r="J1136" s="1759">
        <f>I1142</f>
        <v>29.459999999999997</v>
      </c>
    </row>
    <row r="1137" spans="1:10" ht="24">
      <c r="A1137" s="1761" t="s">
        <v>2401</v>
      </c>
      <c r="B1137" s="1762" t="s">
        <v>2402</v>
      </c>
      <c r="C1137" s="1763" t="s">
        <v>2399</v>
      </c>
      <c r="D1137" s="1764" t="s">
        <v>284</v>
      </c>
      <c r="E1137" s="1763" t="s">
        <v>193</v>
      </c>
      <c r="F1137" s="1765" t="s">
        <v>2403</v>
      </c>
      <c r="G1137" s="1763" t="s">
        <v>2404</v>
      </c>
      <c r="H1137" s="1766" t="s">
        <v>2405</v>
      </c>
      <c r="I1137" s="1767" t="s">
        <v>2406</v>
      </c>
      <c r="J1137" s="1768"/>
    </row>
    <row r="1138" spans="1:10">
      <c r="A1138" s="1770"/>
      <c r="B1138" s="1771"/>
      <c r="C1138" s="1771">
        <v>88264</v>
      </c>
      <c r="D1138" s="1772" t="s">
        <v>94</v>
      </c>
      <c r="E1138" s="1773" t="s">
        <v>57</v>
      </c>
      <c r="F1138" s="1782">
        <v>0.3523</v>
      </c>
      <c r="G1138" s="1779">
        <v>25.54</v>
      </c>
      <c r="H1138" s="1775">
        <f>IF(E1138="H",G1138,TRUNC(G1138*(1-$K$7),2))</f>
        <v>25.54</v>
      </c>
      <c r="I1138" s="1776">
        <f t="shared" ref="I1138:I1141" si="157">TRUNC(H1138*F1138,2)</f>
        <v>8.99</v>
      </c>
      <c r="J1138" s="1768"/>
    </row>
    <row r="1139" spans="1:10" ht="24">
      <c r="A1139" s="1770"/>
      <c r="B1139" s="1771"/>
      <c r="C1139" s="1771">
        <v>88247</v>
      </c>
      <c r="D1139" s="1772" t="s">
        <v>93</v>
      </c>
      <c r="E1139" s="1773" t="s">
        <v>57</v>
      </c>
      <c r="F1139" s="1782">
        <v>0.3523</v>
      </c>
      <c r="G1139" s="1779">
        <v>21</v>
      </c>
      <c r="H1139" s="1775">
        <f>IF(E1139="H",G1139,TRUNC(G1139*(1-$K$7),2))</f>
        <v>21</v>
      </c>
      <c r="I1139" s="1776">
        <f t="shared" si="157"/>
        <v>7.39</v>
      </c>
      <c r="J1139" s="1768"/>
    </row>
    <row r="1140" spans="1:10">
      <c r="A1140" s="1770"/>
      <c r="B1140" s="1771"/>
      <c r="C1140" s="1771">
        <v>39338</v>
      </c>
      <c r="D1140" s="1772" t="s">
        <v>2106</v>
      </c>
      <c r="E1140" s="1773" t="s">
        <v>55</v>
      </c>
      <c r="F1140" s="1784">
        <v>1</v>
      </c>
      <c r="G1140" s="1779">
        <v>12.78</v>
      </c>
      <c r="H1140" s="1775">
        <f>IF(E1140="H",G1140,TRUNC(G1140*(1-$K$7),2))</f>
        <v>12.7</v>
      </c>
      <c r="I1140" s="1776">
        <f t="shared" si="157"/>
        <v>12.7</v>
      </c>
      <c r="J1140" s="1768"/>
    </row>
    <row r="1141" spans="1:10" ht="36">
      <c r="A1141" s="1770"/>
      <c r="B1141" s="1771"/>
      <c r="C1141" s="1771">
        <v>11950</v>
      </c>
      <c r="D1141" s="1772" t="s">
        <v>2104</v>
      </c>
      <c r="E1141" s="1773" t="s">
        <v>55</v>
      </c>
      <c r="F1141" s="1784">
        <v>2</v>
      </c>
      <c r="G1141" s="1779">
        <v>0.2</v>
      </c>
      <c r="H1141" s="1775">
        <f>IF(E1141="H",G1141,TRUNC(G1141*(1-$K$7),2))</f>
        <v>0.19</v>
      </c>
      <c r="I1141" s="1776">
        <f t="shared" si="157"/>
        <v>0.38</v>
      </c>
      <c r="J1141" s="1768"/>
    </row>
    <row r="1142" spans="1:10">
      <c r="A1142" s="1917" t="s">
        <v>2408</v>
      </c>
      <c r="B1142" s="1918"/>
      <c r="C1142" s="1918"/>
      <c r="D1142" s="1918"/>
      <c r="E1142" s="1918"/>
      <c r="F1142" s="1918"/>
      <c r="G1142" s="1918"/>
      <c r="H1142" s="1919"/>
      <c r="I1142" s="1778">
        <f>SUM(I1138:I1141)</f>
        <v>29.459999999999997</v>
      </c>
      <c r="J1142" s="1768"/>
    </row>
    <row r="1143" spans="1:10">
      <c r="A1143" s="1920"/>
      <c r="B1143" s="1921"/>
      <c r="C1143" s="1921"/>
      <c r="D1143" s="1921"/>
      <c r="E1143" s="1921"/>
      <c r="F1143" s="1921"/>
      <c r="G1143" s="1921"/>
      <c r="H1143" s="1921"/>
      <c r="I1143" s="1922"/>
      <c r="J1143" s="1768"/>
    </row>
    <row r="1144" spans="1:10" ht="25.5" customHeight="1">
      <c r="A1144" s="1757" t="str">
        <f>'PLANILHA SEM DESON'!B180</f>
        <v>COMP ELE 36</v>
      </c>
      <c r="B1144" s="1923" t="str">
        <f>VLOOKUP(A1144,'PLANILHA SEM DESON'!$B$17:$D$1699,2,FALSE)</f>
        <v>CONDULETE PVC ENCAIXE TIPO LL 3/4"</v>
      </c>
      <c r="C1144" s="1924"/>
      <c r="D1144" s="1924"/>
      <c r="E1144" s="1924"/>
      <c r="F1144" s="1924"/>
      <c r="G1144" s="1924"/>
      <c r="H1144" s="1925"/>
      <c r="I1144" s="1758" t="str">
        <f>VLOOKUP(A1144,'PLANILHA SEM DESON'!$B$17:$D$1699,3,FALSE)</f>
        <v xml:space="preserve">un </v>
      </c>
      <c r="J1144" s="1759">
        <f>I1150</f>
        <v>28.139999999999997</v>
      </c>
    </row>
    <row r="1145" spans="1:10" ht="24">
      <c r="A1145" s="1761" t="s">
        <v>2401</v>
      </c>
      <c r="B1145" s="1762" t="s">
        <v>2402</v>
      </c>
      <c r="C1145" s="1763" t="s">
        <v>2399</v>
      </c>
      <c r="D1145" s="1764" t="s">
        <v>284</v>
      </c>
      <c r="E1145" s="1763" t="s">
        <v>193</v>
      </c>
      <c r="F1145" s="1765" t="s">
        <v>2403</v>
      </c>
      <c r="G1145" s="1763" t="s">
        <v>2404</v>
      </c>
      <c r="H1145" s="1766" t="s">
        <v>2405</v>
      </c>
      <c r="I1145" s="1767" t="s">
        <v>2406</v>
      </c>
      <c r="J1145" s="1768"/>
    </row>
    <row r="1146" spans="1:10">
      <c r="A1146" s="1770"/>
      <c r="B1146" s="1771"/>
      <c r="C1146" s="1771">
        <v>88264</v>
      </c>
      <c r="D1146" s="1772" t="s">
        <v>94</v>
      </c>
      <c r="E1146" s="1773" t="s">
        <v>57</v>
      </c>
      <c r="F1146" s="1782">
        <v>0.3523</v>
      </c>
      <c r="G1146" s="1779">
        <v>25.54</v>
      </c>
      <c r="H1146" s="1775">
        <f>IF(E1146="H",G1146,TRUNC(G1146*(1-$K$7),2))</f>
        <v>25.54</v>
      </c>
      <c r="I1146" s="1776">
        <f t="shared" ref="I1146:I1149" si="158">TRUNC(H1146*F1146,2)</f>
        <v>8.99</v>
      </c>
      <c r="J1146" s="1768"/>
    </row>
    <row r="1147" spans="1:10" ht="24">
      <c r="A1147" s="1770"/>
      <c r="B1147" s="1771"/>
      <c r="C1147" s="1771">
        <v>88247</v>
      </c>
      <c r="D1147" s="1772" t="s">
        <v>93</v>
      </c>
      <c r="E1147" s="1773" t="s">
        <v>57</v>
      </c>
      <c r="F1147" s="1782">
        <v>0.3523</v>
      </c>
      <c r="G1147" s="1779">
        <v>21</v>
      </c>
      <c r="H1147" s="1775">
        <f>IF(E1147="H",G1147,TRUNC(G1147*(1-$K$7),2))</f>
        <v>21</v>
      </c>
      <c r="I1147" s="1776">
        <f t="shared" si="158"/>
        <v>7.39</v>
      </c>
      <c r="J1147" s="1768"/>
    </row>
    <row r="1148" spans="1:10" ht="24">
      <c r="A1148" s="1770"/>
      <c r="B1148" s="1771"/>
      <c r="C1148" s="1771">
        <v>12020</v>
      </c>
      <c r="D1148" s="1772" t="s">
        <v>2144</v>
      </c>
      <c r="E1148" s="1773" t="s">
        <v>55</v>
      </c>
      <c r="F1148" s="1784">
        <v>1</v>
      </c>
      <c r="G1148" s="1779">
        <v>11.45</v>
      </c>
      <c r="H1148" s="1775">
        <f>IF(E1148="H",G1148,TRUNC(G1148*(1-$K$7),2))</f>
        <v>11.38</v>
      </c>
      <c r="I1148" s="1776">
        <f t="shared" si="158"/>
        <v>11.38</v>
      </c>
      <c r="J1148" s="1768"/>
    </row>
    <row r="1149" spans="1:10" ht="36">
      <c r="A1149" s="1770"/>
      <c r="B1149" s="1771"/>
      <c r="C1149" s="1771">
        <v>11950</v>
      </c>
      <c r="D1149" s="1772" t="s">
        <v>2104</v>
      </c>
      <c r="E1149" s="1773" t="s">
        <v>55</v>
      </c>
      <c r="F1149" s="1784">
        <v>2</v>
      </c>
      <c r="G1149" s="1779">
        <v>0.2</v>
      </c>
      <c r="H1149" s="1775">
        <f>IF(E1149="H",G1149,TRUNC(G1149*(1-$K$7),2))</f>
        <v>0.19</v>
      </c>
      <c r="I1149" s="1776">
        <f t="shared" si="158"/>
        <v>0.38</v>
      </c>
      <c r="J1149" s="1768"/>
    </row>
    <row r="1150" spans="1:10">
      <c r="A1150" s="1917" t="s">
        <v>2408</v>
      </c>
      <c r="B1150" s="1918"/>
      <c r="C1150" s="1918"/>
      <c r="D1150" s="1918"/>
      <c r="E1150" s="1918"/>
      <c r="F1150" s="1918"/>
      <c r="G1150" s="1918"/>
      <c r="H1150" s="1919"/>
      <c r="I1150" s="1778">
        <f>SUM(I1146:I1149)</f>
        <v>28.139999999999997</v>
      </c>
      <c r="J1150" s="1768"/>
    </row>
    <row r="1151" spans="1:10">
      <c r="A1151" s="1920"/>
      <c r="B1151" s="1921"/>
      <c r="C1151" s="1921"/>
      <c r="D1151" s="1921"/>
      <c r="E1151" s="1921"/>
      <c r="F1151" s="1921"/>
      <c r="G1151" s="1921"/>
      <c r="H1151" s="1921"/>
      <c r="I1151" s="1922"/>
      <c r="J1151" s="1768"/>
    </row>
    <row r="1152" spans="1:10" ht="27" customHeight="1">
      <c r="A1152" s="1757">
        <f>'PLANILHA SEM DESON'!B181</f>
        <v>91879</v>
      </c>
      <c r="B1152" s="1923" t="str">
        <f>VLOOKUP(A1152,'PLANILHA SEM DESON'!$B$17:$D$1699,2,FALSE)</f>
        <v>LUVA PARA ELETRODUTO, PVC, ROSCÁVEL, DN 25 MM (3/4"), PARA CIRCUITOS TERMINAIS, INSTALADA EM LAJE - FORNECIMENTO E INSTALAÇÃO. AF_12/2015</v>
      </c>
      <c r="C1152" s="1924"/>
      <c r="D1152" s="1924"/>
      <c r="E1152" s="1924"/>
      <c r="F1152" s="1924"/>
      <c r="G1152" s="1924"/>
      <c r="H1152" s="1925"/>
      <c r="I1152" s="1758" t="str">
        <f>VLOOKUP(A1152,'PLANILHA SEM DESON'!$B$17:$D$1699,3,FALSE)</f>
        <v xml:space="preserve">un </v>
      </c>
      <c r="J1152" s="1759">
        <f>I1157</f>
        <v>7.5</v>
      </c>
    </row>
    <row r="1153" spans="1:10" ht="24">
      <c r="A1153" s="1761" t="s">
        <v>2401</v>
      </c>
      <c r="B1153" s="1762" t="s">
        <v>2402</v>
      </c>
      <c r="C1153" s="1763" t="s">
        <v>2399</v>
      </c>
      <c r="D1153" s="1764" t="s">
        <v>284</v>
      </c>
      <c r="E1153" s="1763" t="s">
        <v>193</v>
      </c>
      <c r="F1153" s="1765" t="s">
        <v>2403</v>
      </c>
      <c r="G1153" s="1763" t="s">
        <v>2404</v>
      </c>
      <c r="H1153" s="1766" t="s">
        <v>2405</v>
      </c>
      <c r="I1153" s="1767" t="s">
        <v>2406</v>
      </c>
      <c r="J1153" s="1768"/>
    </row>
    <row r="1154" spans="1:10" ht="24">
      <c r="A1154" s="1770" t="s">
        <v>2407</v>
      </c>
      <c r="B1154" s="1771" t="s">
        <v>2410</v>
      </c>
      <c r="C1154" s="1771">
        <v>1891</v>
      </c>
      <c r="D1154" s="1772" t="s">
        <v>2627</v>
      </c>
      <c r="E1154" s="1773" t="s">
        <v>2432</v>
      </c>
      <c r="F1154" s="1780">
        <v>1</v>
      </c>
      <c r="G1154" s="1774">
        <v>1.24</v>
      </c>
      <c r="H1154" s="1775">
        <f>IF(E1154="H",G1154,TRUNC(G1154*(1-$K$7),2))</f>
        <v>1.23</v>
      </c>
      <c r="I1154" s="1776">
        <f t="shared" ref="I1154:I1156" si="159">TRUNC(H1154*F1154,2)</f>
        <v>1.23</v>
      </c>
      <c r="J1154" s="1768"/>
    </row>
    <row r="1155" spans="1:10" ht="24">
      <c r="A1155" s="1770" t="s">
        <v>2407</v>
      </c>
      <c r="B1155" s="1771" t="s">
        <v>7</v>
      </c>
      <c r="C1155" s="1771">
        <v>88247</v>
      </c>
      <c r="D1155" s="1772" t="s">
        <v>93</v>
      </c>
      <c r="E1155" s="1773" t="s">
        <v>387</v>
      </c>
      <c r="F1155" s="1780">
        <v>0.13500000000000001</v>
      </c>
      <c r="G1155" s="1774">
        <v>21</v>
      </c>
      <c r="H1155" s="1775">
        <f>IF(E1155="H",G1155,TRUNC(G1155*(1-$K$7),2))</f>
        <v>21</v>
      </c>
      <c r="I1155" s="1776">
        <f t="shared" si="159"/>
        <v>2.83</v>
      </c>
      <c r="J1155" s="1768"/>
    </row>
    <row r="1156" spans="1:10">
      <c r="A1156" s="1770" t="s">
        <v>2407</v>
      </c>
      <c r="B1156" s="1771" t="s">
        <v>7</v>
      </c>
      <c r="C1156" s="1771">
        <v>88264</v>
      </c>
      <c r="D1156" s="1772" t="s">
        <v>94</v>
      </c>
      <c r="E1156" s="1773" t="s">
        <v>387</v>
      </c>
      <c r="F1156" s="1780">
        <v>0.13500000000000001</v>
      </c>
      <c r="G1156" s="1774">
        <v>25.54</v>
      </c>
      <c r="H1156" s="1775">
        <f>IF(E1156="H",G1156,TRUNC(G1156*(1-$K$7),2))</f>
        <v>25.54</v>
      </c>
      <c r="I1156" s="1776">
        <f t="shared" si="159"/>
        <v>3.44</v>
      </c>
      <c r="J1156" s="1768"/>
    </row>
    <row r="1157" spans="1:10">
      <c r="A1157" s="1917" t="s">
        <v>2408</v>
      </c>
      <c r="B1157" s="1918"/>
      <c r="C1157" s="1918"/>
      <c r="D1157" s="1918"/>
      <c r="E1157" s="1918"/>
      <c r="F1157" s="1918"/>
      <c r="G1157" s="1918"/>
      <c r="H1157" s="1919"/>
      <c r="I1157" s="1778">
        <f>SUM(I1154:I1156)</f>
        <v>7.5</v>
      </c>
      <c r="J1157" s="1768"/>
    </row>
    <row r="1158" spans="1:10">
      <c r="A1158" s="1920"/>
      <c r="B1158" s="1921"/>
      <c r="C1158" s="1921"/>
      <c r="D1158" s="1921"/>
      <c r="E1158" s="1921"/>
      <c r="F1158" s="1921"/>
      <c r="G1158" s="1921"/>
      <c r="H1158" s="1921"/>
      <c r="I1158" s="1922"/>
      <c r="J1158" s="1768"/>
    </row>
    <row r="1159" spans="1:10" ht="25.5" customHeight="1">
      <c r="A1159" s="1757" t="str">
        <f>'PLANILHA SEM DESON'!B182</f>
        <v>COMP ELE 21</v>
      </c>
      <c r="B1159" s="1923" t="str">
        <f>VLOOKUP(A1159,'PLANILHA SEM DESON'!$B$17:$D$1699,2,FALSE)</f>
        <v>INTERRUPTOR DR TETRAPOLAR 100A</v>
      </c>
      <c r="C1159" s="1924"/>
      <c r="D1159" s="1924"/>
      <c r="E1159" s="1924"/>
      <c r="F1159" s="1924"/>
      <c r="G1159" s="1924"/>
      <c r="H1159" s="1925"/>
      <c r="I1159" s="1758" t="str">
        <f>VLOOKUP(A1159,'PLANILHA SEM DESON'!$B$17:$D$1699,3,FALSE)</f>
        <v xml:space="preserve">un </v>
      </c>
      <c r="J1159" s="1759">
        <f>I1164</f>
        <v>347.14000000000004</v>
      </c>
    </row>
    <row r="1160" spans="1:10" ht="24">
      <c r="A1160" s="1761" t="s">
        <v>2401</v>
      </c>
      <c r="B1160" s="1762" t="s">
        <v>2402</v>
      </c>
      <c r="C1160" s="1763" t="s">
        <v>2399</v>
      </c>
      <c r="D1160" s="1764" t="s">
        <v>284</v>
      </c>
      <c r="E1160" s="1763" t="s">
        <v>193</v>
      </c>
      <c r="F1160" s="1765" t="s">
        <v>2403</v>
      </c>
      <c r="G1160" s="1763" t="s">
        <v>2404</v>
      </c>
      <c r="H1160" s="1766" t="s">
        <v>2405</v>
      </c>
      <c r="I1160" s="1767" t="s">
        <v>2406</v>
      </c>
      <c r="J1160" s="1768"/>
    </row>
    <row r="1161" spans="1:10">
      <c r="A1161" s="1770"/>
      <c r="B1161" s="1771"/>
      <c r="C1161" s="1771">
        <v>88264</v>
      </c>
      <c r="D1161" s="1772" t="s">
        <v>94</v>
      </c>
      <c r="E1161" s="1773" t="s">
        <v>57</v>
      </c>
      <c r="F1161" s="1784">
        <v>0.6</v>
      </c>
      <c r="G1161" s="1779">
        <v>25.54</v>
      </c>
      <c r="H1161" s="1775">
        <f>IF(E1161="H",G1161,TRUNC(G1161*(1-$K$7),2))</f>
        <v>25.54</v>
      </c>
      <c r="I1161" s="1776">
        <f t="shared" ref="I1161:I1163" si="160">TRUNC(H1161*F1161,2)</f>
        <v>15.32</v>
      </c>
      <c r="J1161" s="1768"/>
    </row>
    <row r="1162" spans="1:10" ht="24">
      <c r="A1162" s="1770"/>
      <c r="B1162" s="1771"/>
      <c r="C1162" s="1771">
        <v>88247</v>
      </c>
      <c r="D1162" s="1772" t="s">
        <v>93</v>
      </c>
      <c r="E1162" s="1773" t="s">
        <v>57</v>
      </c>
      <c r="F1162" s="1784">
        <v>0.6</v>
      </c>
      <c r="G1162" s="1779">
        <v>21</v>
      </c>
      <c r="H1162" s="1775">
        <f>IF(E1162="H",G1162,TRUNC(G1162*(1-$K$7),2))</f>
        <v>21</v>
      </c>
      <c r="I1162" s="1776">
        <f t="shared" si="160"/>
        <v>12.6</v>
      </c>
      <c r="J1162" s="1768"/>
    </row>
    <row r="1163" spans="1:10">
      <c r="A1163" s="1770"/>
      <c r="B1163" s="1771"/>
      <c r="C1163" s="1771" t="s">
        <v>65</v>
      </c>
      <c r="D1163" s="1772" t="s">
        <v>491</v>
      </c>
      <c r="E1163" s="1773" t="s">
        <v>55</v>
      </c>
      <c r="F1163" s="1784">
        <v>1</v>
      </c>
      <c r="G1163" s="1779">
        <v>321.14999999999998</v>
      </c>
      <c r="H1163" s="1775">
        <f>IF(E1163="H",G1163,TRUNC(G1163*(1-$K$7),2))</f>
        <v>319.22000000000003</v>
      </c>
      <c r="I1163" s="1776">
        <f t="shared" si="160"/>
        <v>319.22000000000003</v>
      </c>
      <c r="J1163" s="1768"/>
    </row>
    <row r="1164" spans="1:10">
      <c r="A1164" s="1917" t="s">
        <v>2408</v>
      </c>
      <c r="B1164" s="1918"/>
      <c r="C1164" s="1918"/>
      <c r="D1164" s="1918"/>
      <c r="E1164" s="1918"/>
      <c r="F1164" s="1918"/>
      <c r="G1164" s="1918"/>
      <c r="H1164" s="1919"/>
      <c r="I1164" s="1778">
        <f>SUM(I1161:I1163)</f>
        <v>347.14000000000004</v>
      </c>
      <c r="J1164" s="1768"/>
    </row>
    <row r="1165" spans="1:10">
      <c r="A1165" s="1920"/>
      <c r="B1165" s="1921"/>
      <c r="C1165" s="1921"/>
      <c r="D1165" s="1921"/>
      <c r="E1165" s="1921"/>
      <c r="F1165" s="1921"/>
      <c r="G1165" s="1921"/>
      <c r="H1165" s="1921"/>
      <c r="I1165" s="1922"/>
      <c r="J1165" s="1768"/>
    </row>
    <row r="1166" spans="1:10" ht="25.5" customHeight="1">
      <c r="A1166" s="1757">
        <f>'PLANILHA SEM DESON'!B183</f>
        <v>91953</v>
      </c>
      <c r="B1166" s="1923" t="str">
        <f>VLOOKUP(A1166,'PLANILHA SEM DESON'!$B$17:$D$1699,2,FALSE)</f>
        <v>INTERRUPTOR SIMPLES (1 MÓDULO), 10A/250V, INCLUINDO SUPORTE E PLACA - FORNECIMENTO E INSTALAÇÃO. AF_12/2015</v>
      </c>
      <c r="C1166" s="1924"/>
      <c r="D1166" s="1924"/>
      <c r="E1166" s="1924"/>
      <c r="F1166" s="1924"/>
      <c r="G1166" s="1924"/>
      <c r="H1166" s="1925"/>
      <c r="I1166" s="1758" t="str">
        <f>VLOOKUP(A1166,'PLANILHA SEM DESON'!$B$17:$D$1699,3,FALSE)</f>
        <v xml:space="preserve">un </v>
      </c>
      <c r="J1166" s="1759">
        <f>I1170</f>
        <v>23.78</v>
      </c>
    </row>
    <row r="1167" spans="1:10" ht="24">
      <c r="A1167" s="1761" t="s">
        <v>2401</v>
      </c>
      <c r="B1167" s="1762" t="s">
        <v>2402</v>
      </c>
      <c r="C1167" s="1763" t="s">
        <v>2399</v>
      </c>
      <c r="D1167" s="1764" t="s">
        <v>284</v>
      </c>
      <c r="E1167" s="1763" t="s">
        <v>193</v>
      </c>
      <c r="F1167" s="1765" t="s">
        <v>2403</v>
      </c>
      <c r="G1167" s="1763" t="s">
        <v>2404</v>
      </c>
      <c r="H1167" s="1766" t="s">
        <v>2405</v>
      </c>
      <c r="I1167" s="1767" t="s">
        <v>2406</v>
      </c>
      <c r="J1167" s="1768"/>
    </row>
    <row r="1168" spans="1:10" ht="36">
      <c r="A1168" s="1770" t="s">
        <v>2407</v>
      </c>
      <c r="B1168" s="1771" t="s">
        <v>7</v>
      </c>
      <c r="C1168" s="1771">
        <v>91946</v>
      </c>
      <c r="D1168" s="1772" t="s">
        <v>2628</v>
      </c>
      <c r="E1168" s="1773" t="s">
        <v>2432</v>
      </c>
      <c r="F1168" s="1780">
        <v>1</v>
      </c>
      <c r="G1168" s="1774">
        <v>7.2</v>
      </c>
      <c r="H1168" s="1775">
        <f>IF(E1168="H",G1168,TRUNC(G1168*(1-$K$7),2))</f>
        <v>7.15</v>
      </c>
      <c r="I1168" s="1776">
        <f t="shared" ref="I1168:I1169" si="161">TRUNC(H1168*F1168,2)</f>
        <v>7.15</v>
      </c>
      <c r="J1168" s="1768"/>
    </row>
    <row r="1169" spans="1:10" ht="36">
      <c r="A1169" s="1770" t="s">
        <v>2407</v>
      </c>
      <c r="B1169" s="1771" t="s">
        <v>7</v>
      </c>
      <c r="C1169" s="1771">
        <v>91952</v>
      </c>
      <c r="D1169" s="1772" t="s">
        <v>2629</v>
      </c>
      <c r="E1169" s="1773" t="s">
        <v>2432</v>
      </c>
      <c r="F1169" s="1780">
        <v>1</v>
      </c>
      <c r="G1169" s="1774">
        <v>16.739999999999998</v>
      </c>
      <c r="H1169" s="1775">
        <f>IF(E1169="H",G1169,TRUNC(G1169*(1-$K$7),2))</f>
        <v>16.63</v>
      </c>
      <c r="I1169" s="1776">
        <f t="shared" si="161"/>
        <v>16.63</v>
      </c>
      <c r="J1169" s="1768"/>
    </row>
    <row r="1170" spans="1:10">
      <c r="A1170" s="1917" t="s">
        <v>2408</v>
      </c>
      <c r="B1170" s="1918"/>
      <c r="C1170" s="1918"/>
      <c r="D1170" s="1918"/>
      <c r="E1170" s="1918"/>
      <c r="F1170" s="1918"/>
      <c r="G1170" s="1918"/>
      <c r="H1170" s="1919"/>
      <c r="I1170" s="1778">
        <f>SUM(I1168:I1169)</f>
        <v>23.78</v>
      </c>
      <c r="J1170" s="1768"/>
    </row>
    <row r="1171" spans="1:10">
      <c r="A1171" s="1920"/>
      <c r="B1171" s="1921"/>
      <c r="C1171" s="1921"/>
      <c r="D1171" s="1921"/>
      <c r="E1171" s="1921"/>
      <c r="F1171" s="1921"/>
      <c r="G1171" s="1921"/>
      <c r="H1171" s="1921"/>
      <c r="I1171" s="1922"/>
      <c r="J1171" s="1768"/>
    </row>
    <row r="1172" spans="1:10" ht="25.5" customHeight="1">
      <c r="A1172" s="1757">
        <f>'PLANILHA SEM DESON'!B184</f>
        <v>91959</v>
      </c>
      <c r="B1172" s="1923" t="str">
        <f>VLOOKUP(A1172,'PLANILHA SEM DESON'!$B$17:$D$1699,2,FALSE)</f>
        <v>INTERRUPTOR SIMPLES (2 MÓDULOS), 10A/250V, INCLUINDO SUPORTE E PLACA - FORNECIMENTO E INSTALAÇÃO. AF_12/2015</v>
      </c>
      <c r="C1172" s="1924"/>
      <c r="D1172" s="1924"/>
      <c r="E1172" s="1924"/>
      <c r="F1172" s="1924"/>
      <c r="G1172" s="1924"/>
      <c r="H1172" s="1925"/>
      <c r="I1172" s="1758" t="str">
        <f>VLOOKUP(A1172,'PLANILHA SEM DESON'!$B$17:$D$1699,3,FALSE)</f>
        <v xml:space="preserve">un </v>
      </c>
      <c r="J1172" s="1759">
        <f>I1176</f>
        <v>37.67</v>
      </c>
    </row>
    <row r="1173" spans="1:10" ht="24">
      <c r="A1173" s="1761" t="s">
        <v>2401</v>
      </c>
      <c r="B1173" s="1762" t="s">
        <v>2402</v>
      </c>
      <c r="C1173" s="1763" t="s">
        <v>2399</v>
      </c>
      <c r="D1173" s="1764" t="s">
        <v>284</v>
      </c>
      <c r="E1173" s="1763" t="s">
        <v>193</v>
      </c>
      <c r="F1173" s="1765" t="s">
        <v>2403</v>
      </c>
      <c r="G1173" s="1763" t="s">
        <v>2404</v>
      </c>
      <c r="H1173" s="1766" t="s">
        <v>2405</v>
      </c>
      <c r="I1173" s="1767" t="s">
        <v>2406</v>
      </c>
      <c r="J1173" s="1768"/>
    </row>
    <row r="1174" spans="1:10" ht="36">
      <c r="A1174" s="1770" t="s">
        <v>2407</v>
      </c>
      <c r="B1174" s="1771" t="s">
        <v>7</v>
      </c>
      <c r="C1174" s="1771">
        <v>91946</v>
      </c>
      <c r="D1174" s="1772" t="s">
        <v>2628</v>
      </c>
      <c r="E1174" s="1773" t="s">
        <v>2432</v>
      </c>
      <c r="F1174" s="1780">
        <v>1</v>
      </c>
      <c r="G1174" s="1774">
        <v>7.2</v>
      </c>
      <c r="H1174" s="1775">
        <f>IF(E1174="H",G1174,TRUNC(G1174*(1-$K$7),2))</f>
        <v>7.15</v>
      </c>
      <c r="I1174" s="1776">
        <f t="shared" ref="I1174:I1175" si="162">TRUNC(H1174*F1174,2)</f>
        <v>7.15</v>
      </c>
      <c r="J1174" s="1768"/>
    </row>
    <row r="1175" spans="1:10" ht="36">
      <c r="A1175" s="1770" t="s">
        <v>2407</v>
      </c>
      <c r="B1175" s="1771" t="s">
        <v>7</v>
      </c>
      <c r="C1175" s="1771">
        <v>91958</v>
      </c>
      <c r="D1175" s="1772" t="s">
        <v>2630</v>
      </c>
      <c r="E1175" s="1773" t="s">
        <v>2432</v>
      </c>
      <c r="F1175" s="1780">
        <v>1</v>
      </c>
      <c r="G1175" s="1774">
        <v>30.71</v>
      </c>
      <c r="H1175" s="1775">
        <f>IF(E1175="H",G1175,TRUNC(G1175*(1-$K$7),2))</f>
        <v>30.52</v>
      </c>
      <c r="I1175" s="1776">
        <f t="shared" si="162"/>
        <v>30.52</v>
      </c>
      <c r="J1175" s="1768"/>
    </row>
    <row r="1176" spans="1:10">
      <c r="A1176" s="1917" t="s">
        <v>2408</v>
      </c>
      <c r="B1176" s="1918"/>
      <c r="C1176" s="1918"/>
      <c r="D1176" s="1918"/>
      <c r="E1176" s="1918"/>
      <c r="F1176" s="1918"/>
      <c r="G1176" s="1918"/>
      <c r="H1176" s="1919"/>
      <c r="I1176" s="1778">
        <f>SUM(I1174:I1175)</f>
        <v>37.67</v>
      </c>
      <c r="J1176" s="1768"/>
    </row>
    <row r="1177" spans="1:10">
      <c r="A1177" s="1920"/>
      <c r="B1177" s="1921"/>
      <c r="C1177" s="1921"/>
      <c r="D1177" s="1921"/>
      <c r="E1177" s="1921"/>
      <c r="F1177" s="1921"/>
      <c r="G1177" s="1921"/>
      <c r="H1177" s="1921"/>
      <c r="I1177" s="1922"/>
      <c r="J1177" s="1768"/>
    </row>
    <row r="1178" spans="1:10" ht="24.75" customHeight="1">
      <c r="A1178" s="1757" t="str">
        <f>'PLANILHA SEM DESON'!B185</f>
        <v>COMP ELE 22</v>
      </c>
      <c r="B1178" s="1923" t="str">
        <f>VLOOKUP(A1178,'PLANILHA SEM DESON'!$B$17:$D$1699,2,FALSE)</f>
        <v>PLACA  PARA CAIXA 2X4", COM FURO CENTRAL</v>
      </c>
      <c r="C1178" s="1924"/>
      <c r="D1178" s="1924"/>
      <c r="E1178" s="1924"/>
      <c r="F1178" s="1924"/>
      <c r="G1178" s="1924"/>
      <c r="H1178" s="1925"/>
      <c r="I1178" s="1758" t="str">
        <f>VLOOKUP(A1178,'PLANILHA SEM DESON'!$B$17:$D$1699,3,FALSE)</f>
        <v xml:space="preserve">un </v>
      </c>
      <c r="J1178" s="1759">
        <f>I1183</f>
        <v>10.57</v>
      </c>
    </row>
    <row r="1179" spans="1:10" ht="24">
      <c r="A1179" s="1761" t="s">
        <v>2401</v>
      </c>
      <c r="B1179" s="1762" t="s">
        <v>2402</v>
      </c>
      <c r="C1179" s="1763" t="s">
        <v>2399</v>
      </c>
      <c r="D1179" s="1764" t="s">
        <v>284</v>
      </c>
      <c r="E1179" s="1763" t="s">
        <v>193</v>
      </c>
      <c r="F1179" s="1765" t="s">
        <v>2403</v>
      </c>
      <c r="G1179" s="1763" t="s">
        <v>2404</v>
      </c>
      <c r="H1179" s="1766" t="s">
        <v>2405</v>
      </c>
      <c r="I1179" s="1767" t="s">
        <v>2406</v>
      </c>
      <c r="J1179" s="1768"/>
    </row>
    <row r="1180" spans="1:10">
      <c r="A1180" s="1770"/>
      <c r="B1180" s="1771"/>
      <c r="C1180" s="1771">
        <v>88264</v>
      </c>
      <c r="D1180" s="1772" t="s">
        <v>94</v>
      </c>
      <c r="E1180" s="1773" t="s">
        <v>57</v>
      </c>
      <c r="F1180" s="1784">
        <v>0.05</v>
      </c>
      <c r="G1180" s="1779">
        <v>25.54</v>
      </c>
      <c r="H1180" s="1775">
        <f>IF(E1180="H",G1180,TRUNC(G1180*(1-$K$7),2))</f>
        <v>25.54</v>
      </c>
      <c r="I1180" s="1776">
        <f t="shared" ref="I1180:I1182" si="163">TRUNC(H1180*F1180,2)</f>
        <v>1.27</v>
      </c>
      <c r="J1180" s="1768"/>
    </row>
    <row r="1181" spans="1:10" ht="24">
      <c r="A1181" s="1770"/>
      <c r="B1181" s="1771"/>
      <c r="C1181" s="1771">
        <v>88247</v>
      </c>
      <c r="D1181" s="1772" t="s">
        <v>93</v>
      </c>
      <c r="E1181" s="1773" t="s">
        <v>57</v>
      </c>
      <c r="F1181" s="1784">
        <v>0.05</v>
      </c>
      <c r="G1181" s="1779">
        <v>21</v>
      </c>
      <c r="H1181" s="1775">
        <f>IF(E1181="H",G1181,TRUNC(G1181*(1-$K$7),2))</f>
        <v>21</v>
      </c>
      <c r="I1181" s="1776">
        <f t="shared" si="163"/>
        <v>1.05</v>
      </c>
      <c r="J1181" s="1768"/>
    </row>
    <row r="1182" spans="1:10">
      <c r="A1182" s="1770"/>
      <c r="B1182" s="1771"/>
      <c r="C1182" s="1771" t="s">
        <v>65</v>
      </c>
      <c r="D1182" s="1772" t="s">
        <v>488</v>
      </c>
      <c r="E1182" s="1773" t="s">
        <v>55</v>
      </c>
      <c r="F1182" s="1784">
        <v>1</v>
      </c>
      <c r="G1182" s="1779">
        <v>8.3000000000000007</v>
      </c>
      <c r="H1182" s="1775">
        <f>IF(E1182="H",G1182,TRUNC(G1182*(1-$K$7),2))</f>
        <v>8.25</v>
      </c>
      <c r="I1182" s="1776">
        <f t="shared" si="163"/>
        <v>8.25</v>
      </c>
      <c r="J1182" s="1768"/>
    </row>
    <row r="1183" spans="1:10">
      <c r="A1183" s="1917" t="s">
        <v>2408</v>
      </c>
      <c r="B1183" s="1918"/>
      <c r="C1183" s="1918"/>
      <c r="D1183" s="1918"/>
      <c r="E1183" s="1918"/>
      <c r="F1183" s="1918"/>
      <c r="G1183" s="1918"/>
      <c r="H1183" s="1919"/>
      <c r="I1183" s="1778">
        <f>SUM(I1180:I1182)</f>
        <v>10.57</v>
      </c>
      <c r="J1183" s="1768"/>
    </row>
    <row r="1184" spans="1:10">
      <c r="A1184" s="1920"/>
      <c r="B1184" s="1921"/>
      <c r="C1184" s="1921"/>
      <c r="D1184" s="1921"/>
      <c r="E1184" s="1921"/>
      <c r="F1184" s="1921"/>
      <c r="G1184" s="1921"/>
      <c r="H1184" s="1921"/>
      <c r="I1184" s="1922"/>
      <c r="J1184" s="1768"/>
    </row>
    <row r="1185" spans="1:10" ht="25.5" customHeight="1">
      <c r="A1185" s="1757">
        <f>'PLANILHA SEM DESON'!B186</f>
        <v>91967</v>
      </c>
      <c r="B1185" s="1923" t="str">
        <f>VLOOKUP(A1185,'PLANILHA SEM DESON'!$B$17:$D$1699,2,FALSE)</f>
        <v>INTERRUPTOR SIMPLES (3 MÓDULOS), 10A/250V, INCLUINDO SUPORTE E PLACA - FORNECIMENTO E INSTALAÇÃO. AF_12/2015</v>
      </c>
      <c r="C1185" s="1924"/>
      <c r="D1185" s="1924"/>
      <c r="E1185" s="1924"/>
      <c r="F1185" s="1924"/>
      <c r="G1185" s="1924"/>
      <c r="H1185" s="1925"/>
      <c r="I1185" s="1758" t="str">
        <f>VLOOKUP(A1185,'PLANILHA SEM DESON'!$B$17:$D$1699,3,FALSE)</f>
        <v xml:space="preserve">un </v>
      </c>
      <c r="J1185" s="1759">
        <f>I1189</f>
        <v>51.54</v>
      </c>
    </row>
    <row r="1186" spans="1:10" ht="24">
      <c r="A1186" s="1761" t="s">
        <v>2401</v>
      </c>
      <c r="B1186" s="1762" t="s">
        <v>2402</v>
      </c>
      <c r="C1186" s="1763" t="s">
        <v>2399</v>
      </c>
      <c r="D1186" s="1764" t="s">
        <v>284</v>
      </c>
      <c r="E1186" s="1763" t="s">
        <v>193</v>
      </c>
      <c r="F1186" s="1765" t="s">
        <v>2403</v>
      </c>
      <c r="G1186" s="1763" t="s">
        <v>2404</v>
      </c>
      <c r="H1186" s="1766" t="s">
        <v>2405</v>
      </c>
      <c r="I1186" s="1767" t="s">
        <v>2406</v>
      </c>
      <c r="J1186" s="1768"/>
    </row>
    <row r="1187" spans="1:10" ht="36">
      <c r="A1187" s="1770" t="s">
        <v>2407</v>
      </c>
      <c r="B1187" s="1771" t="s">
        <v>7</v>
      </c>
      <c r="C1187" s="1771">
        <v>91946</v>
      </c>
      <c r="D1187" s="1772" t="s">
        <v>2628</v>
      </c>
      <c r="E1187" s="1773" t="s">
        <v>2432</v>
      </c>
      <c r="F1187" s="1780">
        <v>1</v>
      </c>
      <c r="G1187" s="1774">
        <v>7.2</v>
      </c>
      <c r="H1187" s="1775">
        <f>IF(E1187="H",G1187,TRUNC(G1187*(1-$K$7),2))</f>
        <v>7.15</v>
      </c>
      <c r="I1187" s="1776">
        <f t="shared" ref="I1187:I1188" si="164">TRUNC(H1187*F1187,2)</f>
        <v>7.15</v>
      </c>
      <c r="J1187" s="1768"/>
    </row>
    <row r="1188" spans="1:10" ht="36">
      <c r="A1188" s="1770" t="s">
        <v>2407</v>
      </c>
      <c r="B1188" s="1771" t="s">
        <v>7</v>
      </c>
      <c r="C1188" s="1771">
        <v>91966</v>
      </c>
      <c r="D1188" s="1772" t="s">
        <v>2631</v>
      </c>
      <c r="E1188" s="1773" t="s">
        <v>2432</v>
      </c>
      <c r="F1188" s="1780">
        <v>1</v>
      </c>
      <c r="G1188" s="1774">
        <v>44.66</v>
      </c>
      <c r="H1188" s="1775">
        <f>IF(E1188="H",G1188,TRUNC(G1188*(1-$K$7),2))</f>
        <v>44.39</v>
      </c>
      <c r="I1188" s="1776">
        <f t="shared" si="164"/>
        <v>44.39</v>
      </c>
      <c r="J1188" s="1768"/>
    </row>
    <row r="1189" spans="1:10">
      <c r="A1189" s="1917" t="s">
        <v>2408</v>
      </c>
      <c r="B1189" s="1918"/>
      <c r="C1189" s="1918"/>
      <c r="D1189" s="1918"/>
      <c r="E1189" s="1918"/>
      <c r="F1189" s="1918"/>
      <c r="G1189" s="1918"/>
      <c r="H1189" s="1919"/>
      <c r="I1189" s="1778">
        <f>SUM(I1187:I1188)</f>
        <v>51.54</v>
      </c>
      <c r="J1189" s="1768"/>
    </row>
    <row r="1190" spans="1:10">
      <c r="A1190" s="1920"/>
      <c r="B1190" s="1921"/>
      <c r="C1190" s="1921"/>
      <c r="D1190" s="1921"/>
      <c r="E1190" s="1921"/>
      <c r="F1190" s="1921"/>
      <c r="G1190" s="1921"/>
      <c r="H1190" s="1921"/>
      <c r="I1190" s="1922"/>
      <c r="J1190" s="1768"/>
    </row>
    <row r="1191" spans="1:10" ht="25.5" customHeight="1">
      <c r="A1191" s="1757">
        <f>'PLANILHA SEM DESON'!B187</f>
        <v>92022</v>
      </c>
      <c r="B1191" s="1923" t="str">
        <f>VLOOKUP(A1191,'PLANILHA SEM DESON'!$B$17:$D$1699,2,FALSE)</f>
        <v>INTERRUPTOR SIMPLES (1 MÓDULO) COM 1 TOMADA DE EMBUTIR 2P+T 10 A, SEM SUPORTE E SEM PLACA - FORNECIMENTO E INSTALAÇÃO. AF_12/2015</v>
      </c>
      <c r="C1191" s="1924"/>
      <c r="D1191" s="1924"/>
      <c r="E1191" s="1924"/>
      <c r="F1191" s="1924"/>
      <c r="G1191" s="1924"/>
      <c r="H1191" s="1925"/>
      <c r="I1191" s="1758" t="str">
        <f>VLOOKUP(A1191,'PLANILHA SEM DESON'!$B$17:$D$1699,3,FALSE)</f>
        <v xml:space="preserve">un </v>
      </c>
      <c r="J1191" s="1759">
        <f>I1197</f>
        <v>35.299999999999997</v>
      </c>
    </row>
    <row r="1192" spans="1:10" ht="24">
      <c r="A1192" s="1761" t="s">
        <v>2401</v>
      </c>
      <c r="B1192" s="1762" t="s">
        <v>2402</v>
      </c>
      <c r="C1192" s="1763" t="s">
        <v>2399</v>
      </c>
      <c r="D1192" s="1764" t="s">
        <v>284</v>
      </c>
      <c r="E1192" s="1763" t="s">
        <v>193</v>
      </c>
      <c r="F1192" s="1765" t="s">
        <v>2403</v>
      </c>
      <c r="G1192" s="1763" t="s">
        <v>2404</v>
      </c>
      <c r="H1192" s="1766" t="s">
        <v>2405</v>
      </c>
      <c r="I1192" s="1767" t="s">
        <v>2406</v>
      </c>
      <c r="J1192" s="1768"/>
    </row>
    <row r="1193" spans="1:10">
      <c r="A1193" s="1770" t="s">
        <v>2407</v>
      </c>
      <c r="B1193" s="1771" t="s">
        <v>2410</v>
      </c>
      <c r="C1193" s="1771">
        <v>38101</v>
      </c>
      <c r="D1193" s="1772" t="s">
        <v>2632</v>
      </c>
      <c r="E1193" s="1773" t="s">
        <v>2432</v>
      </c>
      <c r="F1193" s="1780">
        <v>1</v>
      </c>
      <c r="G1193" s="1774">
        <v>7.15</v>
      </c>
      <c r="H1193" s="1775">
        <f>IF(E1193="H",G1193,TRUNC(G1193*(1-$K$7),2))</f>
        <v>7.1</v>
      </c>
      <c r="I1193" s="1776">
        <f t="shared" ref="I1193:I1196" si="165">TRUNC(H1193*F1193,2)</f>
        <v>7.1</v>
      </c>
      <c r="J1193" s="1768"/>
    </row>
    <row r="1194" spans="1:10">
      <c r="A1194" s="1770" t="s">
        <v>2407</v>
      </c>
      <c r="B1194" s="1771" t="s">
        <v>2410</v>
      </c>
      <c r="C1194" s="1771">
        <v>38112</v>
      </c>
      <c r="D1194" s="1772" t="s">
        <v>2633</v>
      </c>
      <c r="E1194" s="1773" t="s">
        <v>2432</v>
      </c>
      <c r="F1194" s="1780">
        <v>1</v>
      </c>
      <c r="G1194" s="1774">
        <v>6.28</v>
      </c>
      <c r="H1194" s="1775">
        <f>IF(E1194="H",G1194,TRUNC(G1194*(1-$K$7),2))</f>
        <v>6.24</v>
      </c>
      <c r="I1194" s="1776">
        <f t="shared" si="165"/>
        <v>6.24</v>
      </c>
      <c r="J1194" s="1768"/>
    </row>
    <row r="1195" spans="1:10" ht="24">
      <c r="A1195" s="1770" t="s">
        <v>2407</v>
      </c>
      <c r="B1195" s="1771" t="s">
        <v>7</v>
      </c>
      <c r="C1195" s="1771">
        <v>88247</v>
      </c>
      <c r="D1195" s="1772" t="s">
        <v>93</v>
      </c>
      <c r="E1195" s="1773" t="s">
        <v>387</v>
      </c>
      <c r="F1195" s="1780">
        <v>0.47199999999999998</v>
      </c>
      <c r="G1195" s="1774">
        <v>21</v>
      </c>
      <c r="H1195" s="1775">
        <f>IF(E1195="H",G1195,TRUNC(G1195*(1-$K$7),2))</f>
        <v>21</v>
      </c>
      <c r="I1195" s="1776">
        <f t="shared" si="165"/>
        <v>9.91</v>
      </c>
      <c r="J1195" s="1768"/>
    </row>
    <row r="1196" spans="1:10">
      <c r="A1196" s="1770" t="s">
        <v>2407</v>
      </c>
      <c r="B1196" s="1771" t="s">
        <v>7</v>
      </c>
      <c r="C1196" s="1771">
        <v>88264</v>
      </c>
      <c r="D1196" s="1772" t="s">
        <v>94</v>
      </c>
      <c r="E1196" s="1773" t="s">
        <v>387</v>
      </c>
      <c r="F1196" s="1780">
        <v>0.47199999999999998</v>
      </c>
      <c r="G1196" s="1774">
        <v>25.54</v>
      </c>
      <c r="H1196" s="1775">
        <f>IF(E1196="H",G1196,TRUNC(G1196*(1-$K$7),2))</f>
        <v>25.54</v>
      </c>
      <c r="I1196" s="1776">
        <f t="shared" si="165"/>
        <v>12.05</v>
      </c>
      <c r="J1196" s="1768"/>
    </row>
    <row r="1197" spans="1:10">
      <c r="A1197" s="1917" t="s">
        <v>2408</v>
      </c>
      <c r="B1197" s="1918"/>
      <c r="C1197" s="1918"/>
      <c r="D1197" s="1918"/>
      <c r="E1197" s="1918"/>
      <c r="F1197" s="1918"/>
      <c r="G1197" s="1918"/>
      <c r="H1197" s="1919"/>
      <c r="I1197" s="1778">
        <f>SUM(I1193:I1196)</f>
        <v>35.299999999999997</v>
      </c>
      <c r="J1197" s="1768"/>
    </row>
    <row r="1198" spans="1:10">
      <c r="A1198" s="1920"/>
      <c r="B1198" s="1921"/>
      <c r="C1198" s="1921"/>
      <c r="D1198" s="1921"/>
      <c r="E1198" s="1921"/>
      <c r="F1198" s="1921"/>
      <c r="G1198" s="1921"/>
      <c r="H1198" s="1921"/>
      <c r="I1198" s="1922"/>
      <c r="J1198" s="1768"/>
    </row>
    <row r="1199" spans="1:10" ht="25.5" customHeight="1">
      <c r="A1199" s="1757">
        <f>'PLANILHA SEM DESON'!B188</f>
        <v>92028</v>
      </c>
      <c r="B1199" s="1923" t="str">
        <f>VLOOKUP(A1199,'PLANILHA SEM DESON'!$B$17:$D$1699,2,FALSE)</f>
        <v>INTERRUPTOR PARALELO (1 MÓDULO) COM 1 TOMADA DE EMBUTIR 2P+T 10 A, SEM SUPORTE E SEM PLACA - FORNECIMENTO E INSTALAÇÃO. AF_12/2015</v>
      </c>
      <c r="C1199" s="1924"/>
      <c r="D1199" s="1924"/>
      <c r="E1199" s="1924"/>
      <c r="F1199" s="1924"/>
      <c r="G1199" s="1924"/>
      <c r="H1199" s="1925"/>
      <c r="I1199" s="1758" t="str">
        <f>VLOOKUP(A1199,'PLANILHA SEM DESON'!$B$17:$D$1699,3,FALSE)</f>
        <v xml:space="preserve">un </v>
      </c>
      <c r="J1199" s="1759">
        <f>I1205</f>
        <v>41.050000000000004</v>
      </c>
    </row>
    <row r="1200" spans="1:10" ht="24">
      <c r="A1200" s="1761" t="s">
        <v>2401</v>
      </c>
      <c r="B1200" s="1762" t="s">
        <v>2402</v>
      </c>
      <c r="C1200" s="1763" t="s">
        <v>2399</v>
      </c>
      <c r="D1200" s="1764" t="s">
        <v>284</v>
      </c>
      <c r="E1200" s="1763" t="s">
        <v>193</v>
      </c>
      <c r="F1200" s="1765" t="s">
        <v>2403</v>
      </c>
      <c r="G1200" s="1763" t="s">
        <v>2404</v>
      </c>
      <c r="H1200" s="1766" t="s">
        <v>2405</v>
      </c>
      <c r="I1200" s="1767" t="s">
        <v>2406</v>
      </c>
      <c r="J1200" s="1768"/>
    </row>
    <row r="1201" spans="1:10">
      <c r="A1201" s="1770" t="s">
        <v>2407</v>
      </c>
      <c r="B1201" s="1771" t="s">
        <v>2410</v>
      </c>
      <c r="C1201" s="1771">
        <v>38101</v>
      </c>
      <c r="D1201" s="1772" t="s">
        <v>2632</v>
      </c>
      <c r="E1201" s="1773" t="s">
        <v>2432</v>
      </c>
      <c r="F1201" s="1780">
        <v>1</v>
      </c>
      <c r="G1201" s="1774">
        <v>7.15</v>
      </c>
      <c r="H1201" s="1775">
        <f>IF(E1201="H",G1201,TRUNC(G1201*(1-$K$7),2))</f>
        <v>7.1</v>
      </c>
      <c r="I1201" s="1776">
        <f t="shared" ref="I1201:I1204" si="166">TRUNC(H1201*F1201,2)</f>
        <v>7.1</v>
      </c>
      <c r="J1201" s="1768"/>
    </row>
    <row r="1202" spans="1:10">
      <c r="A1202" s="1770" t="s">
        <v>2407</v>
      </c>
      <c r="B1202" s="1771" t="s">
        <v>2410</v>
      </c>
      <c r="C1202" s="1771">
        <v>38113</v>
      </c>
      <c r="D1202" s="1772" t="s">
        <v>2634</v>
      </c>
      <c r="E1202" s="1773" t="s">
        <v>2432</v>
      </c>
      <c r="F1202" s="1780">
        <v>1</v>
      </c>
      <c r="G1202" s="1774">
        <v>8.18</v>
      </c>
      <c r="H1202" s="1775">
        <f>IF(E1202="H",G1202,TRUNC(G1202*(1-$K$7),2))</f>
        <v>8.1300000000000008</v>
      </c>
      <c r="I1202" s="1776">
        <f t="shared" si="166"/>
        <v>8.1300000000000008</v>
      </c>
      <c r="J1202" s="1768"/>
    </row>
    <row r="1203" spans="1:10" ht="24">
      <c r="A1203" s="1770" t="s">
        <v>2407</v>
      </c>
      <c r="B1203" s="1771" t="s">
        <v>7</v>
      </c>
      <c r="C1203" s="1771">
        <v>88247</v>
      </c>
      <c r="D1203" s="1772" t="s">
        <v>93</v>
      </c>
      <c r="E1203" s="1773" t="s">
        <v>387</v>
      </c>
      <c r="F1203" s="1780">
        <v>0.55500000000000005</v>
      </c>
      <c r="G1203" s="1774">
        <v>21</v>
      </c>
      <c r="H1203" s="1775">
        <f>IF(E1203="H",G1203,TRUNC(G1203*(1-$K$7),2))</f>
        <v>21</v>
      </c>
      <c r="I1203" s="1776">
        <f t="shared" si="166"/>
        <v>11.65</v>
      </c>
      <c r="J1203" s="1768"/>
    </row>
    <row r="1204" spans="1:10">
      <c r="A1204" s="1770" t="s">
        <v>2407</v>
      </c>
      <c r="B1204" s="1771" t="s">
        <v>7</v>
      </c>
      <c r="C1204" s="1771">
        <v>88264</v>
      </c>
      <c r="D1204" s="1772" t="s">
        <v>94</v>
      </c>
      <c r="E1204" s="1773" t="s">
        <v>387</v>
      </c>
      <c r="F1204" s="1780">
        <v>0.55500000000000005</v>
      </c>
      <c r="G1204" s="1774">
        <v>25.54</v>
      </c>
      <c r="H1204" s="1775">
        <f>IF(E1204="H",G1204,TRUNC(G1204*(1-$K$7),2))</f>
        <v>25.54</v>
      </c>
      <c r="I1204" s="1776">
        <f t="shared" si="166"/>
        <v>14.17</v>
      </c>
      <c r="J1204" s="1768"/>
    </row>
    <row r="1205" spans="1:10">
      <c r="A1205" s="1917" t="s">
        <v>2408</v>
      </c>
      <c r="B1205" s="1918"/>
      <c r="C1205" s="1918"/>
      <c r="D1205" s="1918"/>
      <c r="E1205" s="1918"/>
      <c r="F1205" s="1918"/>
      <c r="G1205" s="1918"/>
      <c r="H1205" s="1919"/>
      <c r="I1205" s="1778">
        <f>SUM(I1201:I1204)</f>
        <v>41.050000000000004</v>
      </c>
      <c r="J1205" s="1768"/>
    </row>
    <row r="1206" spans="1:10">
      <c r="A1206" s="1920"/>
      <c r="B1206" s="1921"/>
      <c r="C1206" s="1921"/>
      <c r="D1206" s="1921"/>
      <c r="E1206" s="1921"/>
      <c r="F1206" s="1921"/>
      <c r="G1206" s="1921"/>
      <c r="H1206" s="1921"/>
      <c r="I1206" s="1922"/>
      <c r="J1206" s="1768"/>
    </row>
    <row r="1207" spans="1:10" ht="23.25" customHeight="1">
      <c r="A1207" s="1757">
        <f>'PLANILHA SEM DESON'!B189</f>
        <v>91994</v>
      </c>
      <c r="B1207" s="1923" t="str">
        <f>VLOOKUP(A1207,'PLANILHA SEM DESON'!$B$17:$D$1699,2,FALSE)</f>
        <v>TOMADA MÉDIA DE EMBUTIR (1 MÓDULO), 2P+T 10 A, SEM SUPORTE E SEM PLACA - FORNECIMENTO E INSTALAÇÃO. AF_12/2015</v>
      </c>
      <c r="C1207" s="1924"/>
      <c r="D1207" s="1924"/>
      <c r="E1207" s="1924"/>
      <c r="F1207" s="1924"/>
      <c r="G1207" s="1924"/>
      <c r="H1207" s="1925"/>
      <c r="I1207" s="1758" t="str">
        <f>VLOOKUP(A1207,'PLANILHA SEM DESON'!$B$17:$D$1699,3,FALSE)</f>
        <v xml:space="preserve">un </v>
      </c>
      <c r="J1207" s="1759">
        <f>I1212</f>
        <v>21.419999999999998</v>
      </c>
    </row>
    <row r="1208" spans="1:10" ht="24">
      <c r="A1208" s="1761" t="s">
        <v>2401</v>
      </c>
      <c r="B1208" s="1762" t="s">
        <v>2402</v>
      </c>
      <c r="C1208" s="1763" t="s">
        <v>2399</v>
      </c>
      <c r="D1208" s="1764" t="s">
        <v>284</v>
      </c>
      <c r="E1208" s="1763" t="s">
        <v>193</v>
      </c>
      <c r="F1208" s="1765" t="s">
        <v>2403</v>
      </c>
      <c r="G1208" s="1763" t="s">
        <v>2404</v>
      </c>
      <c r="H1208" s="1766" t="s">
        <v>2405</v>
      </c>
      <c r="I1208" s="1767" t="s">
        <v>2406</v>
      </c>
      <c r="J1208" s="1768"/>
    </row>
    <row r="1209" spans="1:10">
      <c r="A1209" s="1770" t="s">
        <v>2407</v>
      </c>
      <c r="B1209" s="1771" t="s">
        <v>2410</v>
      </c>
      <c r="C1209" s="1771">
        <v>38101</v>
      </c>
      <c r="D1209" s="1772" t="s">
        <v>2632</v>
      </c>
      <c r="E1209" s="1773" t="s">
        <v>2432</v>
      </c>
      <c r="F1209" s="1780">
        <v>1</v>
      </c>
      <c r="G1209" s="1774">
        <v>7.15</v>
      </c>
      <c r="H1209" s="1775">
        <f>IF(E1209="H",G1209,TRUNC(G1209*(1-$K$7),2))</f>
        <v>7.1</v>
      </c>
      <c r="I1209" s="1776">
        <f t="shared" ref="I1209:I1211" si="167">TRUNC(H1209*F1209,2)</f>
        <v>7.1</v>
      </c>
      <c r="J1209" s="1768"/>
    </row>
    <row r="1210" spans="1:10" ht="24">
      <c r="A1210" s="1770" t="s">
        <v>2407</v>
      </c>
      <c r="B1210" s="1771" t="s">
        <v>7</v>
      </c>
      <c r="C1210" s="1771">
        <v>88247</v>
      </c>
      <c r="D1210" s="1772" t="s">
        <v>93</v>
      </c>
      <c r="E1210" s="1773" t="s">
        <v>387</v>
      </c>
      <c r="F1210" s="1780">
        <v>0.308</v>
      </c>
      <c r="G1210" s="1774">
        <v>21</v>
      </c>
      <c r="H1210" s="1775">
        <f>IF(E1210="H",G1210,TRUNC(G1210*(1-$K$7),2))</f>
        <v>21</v>
      </c>
      <c r="I1210" s="1776">
        <f t="shared" si="167"/>
        <v>6.46</v>
      </c>
      <c r="J1210" s="1768"/>
    </row>
    <row r="1211" spans="1:10">
      <c r="A1211" s="1770" t="s">
        <v>2407</v>
      </c>
      <c r="B1211" s="1771" t="s">
        <v>7</v>
      </c>
      <c r="C1211" s="1771">
        <v>88264</v>
      </c>
      <c r="D1211" s="1772" t="s">
        <v>94</v>
      </c>
      <c r="E1211" s="1773" t="s">
        <v>387</v>
      </c>
      <c r="F1211" s="1780">
        <v>0.308</v>
      </c>
      <c r="G1211" s="1774">
        <v>25.54</v>
      </c>
      <c r="H1211" s="1775">
        <f>IF(E1211="H",G1211,TRUNC(G1211*(1-$K$7),2))</f>
        <v>25.54</v>
      </c>
      <c r="I1211" s="1776">
        <f t="shared" si="167"/>
        <v>7.86</v>
      </c>
      <c r="J1211" s="1768"/>
    </row>
    <row r="1212" spans="1:10">
      <c r="A1212" s="1917" t="s">
        <v>2408</v>
      </c>
      <c r="B1212" s="1918"/>
      <c r="C1212" s="1918"/>
      <c r="D1212" s="1918"/>
      <c r="E1212" s="1918"/>
      <c r="F1212" s="1918"/>
      <c r="G1212" s="1918"/>
      <c r="H1212" s="1919"/>
      <c r="I1212" s="1778">
        <f>SUM(I1209:I1211)</f>
        <v>21.419999999999998</v>
      </c>
      <c r="J1212" s="1768"/>
    </row>
    <row r="1213" spans="1:10">
      <c r="A1213" s="1920"/>
      <c r="B1213" s="1921"/>
      <c r="C1213" s="1921"/>
      <c r="D1213" s="1921"/>
      <c r="E1213" s="1921"/>
      <c r="F1213" s="1921"/>
      <c r="G1213" s="1921"/>
      <c r="H1213" s="1921"/>
      <c r="I1213" s="1922"/>
      <c r="J1213" s="1768"/>
    </row>
    <row r="1214" spans="1:10" ht="27.75" customHeight="1">
      <c r="A1214" s="1757">
        <f>'PLANILHA SEM DESON'!B190</f>
        <v>92000</v>
      </c>
      <c r="B1214" s="1923" t="str">
        <f>VLOOKUP(A1214,'PLANILHA SEM DESON'!$B$17:$D$1699,2,FALSE)</f>
        <v>TOMADA BAIXA DE EMBUTIR (1 MÓDULO), 2P+T - 10A, INCLUINDO SUPORTE E PLACA - FORNECIMENTO E INSTALAÇÃO. AF_12/2015</v>
      </c>
      <c r="C1214" s="1924"/>
      <c r="D1214" s="1924"/>
      <c r="E1214" s="1924"/>
      <c r="F1214" s="1924"/>
      <c r="G1214" s="1924"/>
      <c r="H1214" s="1925"/>
      <c r="I1214" s="1758" t="str">
        <f>VLOOKUP(A1214,'PLANILHA SEM DESON'!$B$17:$D$1699,3,FALSE)</f>
        <v xml:space="preserve">un </v>
      </c>
      <c r="J1214" s="1759">
        <f>I1218</f>
        <v>25.119999999999997</v>
      </c>
    </row>
    <row r="1215" spans="1:10" ht="24">
      <c r="A1215" s="1761" t="s">
        <v>2401</v>
      </c>
      <c r="B1215" s="1762" t="s">
        <v>2402</v>
      </c>
      <c r="C1215" s="1763" t="s">
        <v>2399</v>
      </c>
      <c r="D1215" s="1764" t="s">
        <v>284</v>
      </c>
      <c r="E1215" s="1763" t="s">
        <v>193</v>
      </c>
      <c r="F1215" s="1765" t="s">
        <v>2403</v>
      </c>
      <c r="G1215" s="1763" t="s">
        <v>2404</v>
      </c>
      <c r="H1215" s="1766" t="s">
        <v>2405</v>
      </c>
      <c r="I1215" s="1767" t="s">
        <v>2406</v>
      </c>
      <c r="J1215" s="1768"/>
    </row>
    <row r="1216" spans="1:10" ht="36">
      <c r="A1216" s="1770" t="s">
        <v>2407</v>
      </c>
      <c r="B1216" s="1771" t="s">
        <v>7</v>
      </c>
      <c r="C1216" s="1771">
        <v>91946</v>
      </c>
      <c r="D1216" s="1772" t="s">
        <v>2628</v>
      </c>
      <c r="E1216" s="1773" t="s">
        <v>2432</v>
      </c>
      <c r="F1216" s="1780">
        <v>1</v>
      </c>
      <c r="G1216" s="1774">
        <v>7.2</v>
      </c>
      <c r="H1216" s="1775">
        <f>IF(E1216="H",G1216,TRUNC(G1216*(1-$K$7),2))</f>
        <v>7.15</v>
      </c>
      <c r="I1216" s="1776">
        <f t="shared" ref="I1216:I1217" si="168">TRUNC(H1216*F1216,2)</f>
        <v>7.15</v>
      </c>
      <c r="J1216" s="1768"/>
    </row>
    <row r="1217" spans="1:10" ht="36">
      <c r="A1217" s="1770" t="s">
        <v>2407</v>
      </c>
      <c r="B1217" s="1771" t="s">
        <v>7</v>
      </c>
      <c r="C1217" s="1771">
        <v>91998</v>
      </c>
      <c r="D1217" s="1772" t="s">
        <v>2635</v>
      </c>
      <c r="E1217" s="1773" t="s">
        <v>2432</v>
      </c>
      <c r="F1217" s="1780">
        <v>1</v>
      </c>
      <c r="G1217" s="1774">
        <v>18.079999999999998</v>
      </c>
      <c r="H1217" s="1775">
        <f>IF(E1217="H",G1217,TRUNC(G1217*(1-$K$7),2))</f>
        <v>17.97</v>
      </c>
      <c r="I1217" s="1776">
        <f t="shared" si="168"/>
        <v>17.97</v>
      </c>
      <c r="J1217" s="1768"/>
    </row>
    <row r="1218" spans="1:10">
      <c r="A1218" s="1917" t="s">
        <v>2408</v>
      </c>
      <c r="B1218" s="1918"/>
      <c r="C1218" s="1918"/>
      <c r="D1218" s="1918"/>
      <c r="E1218" s="1918"/>
      <c r="F1218" s="1918"/>
      <c r="G1218" s="1918"/>
      <c r="H1218" s="1919"/>
      <c r="I1218" s="1778">
        <f>SUM(I1216:I1217)</f>
        <v>25.119999999999997</v>
      </c>
      <c r="J1218" s="1768"/>
    </row>
    <row r="1219" spans="1:10">
      <c r="A1219" s="1920"/>
      <c r="B1219" s="1921"/>
      <c r="C1219" s="1921"/>
      <c r="D1219" s="1921"/>
      <c r="E1219" s="1921"/>
      <c r="F1219" s="1921"/>
      <c r="G1219" s="1921"/>
      <c r="H1219" s="1921"/>
      <c r="I1219" s="1922"/>
      <c r="J1219" s="1768"/>
    </row>
    <row r="1220" spans="1:10" ht="30" customHeight="1">
      <c r="A1220" s="1757">
        <f>'PLANILHA SEM DESON'!B191</f>
        <v>91997</v>
      </c>
      <c r="B1220" s="1923" t="str">
        <f>VLOOKUP(A1220,'PLANILHA SEM DESON'!$B$17:$D$1699,2,FALSE)</f>
        <v>TOMADA MÉDIA DE EMBUTIR (1 MÓDULO), 2P+T - 10A, INCLUINDO SUPORTE E PLACA - FORNECIMENTO E INSTALAÇÃO. AF_12/2015</v>
      </c>
      <c r="C1220" s="1924"/>
      <c r="D1220" s="1924"/>
      <c r="E1220" s="1924"/>
      <c r="F1220" s="1924"/>
      <c r="G1220" s="1924"/>
      <c r="H1220" s="1925"/>
      <c r="I1220" s="1758" t="str">
        <f>VLOOKUP(A1220,'PLANILHA SEM DESON'!$B$17:$D$1699,3,FALSE)</f>
        <v xml:space="preserve">un </v>
      </c>
      <c r="J1220" s="1759">
        <f>I1224</f>
        <v>30.46</v>
      </c>
    </row>
    <row r="1221" spans="1:10" ht="24">
      <c r="A1221" s="1761" t="s">
        <v>2401</v>
      </c>
      <c r="B1221" s="1762" t="s">
        <v>2402</v>
      </c>
      <c r="C1221" s="1763" t="s">
        <v>2399</v>
      </c>
      <c r="D1221" s="1764" t="s">
        <v>284</v>
      </c>
      <c r="E1221" s="1763" t="s">
        <v>193</v>
      </c>
      <c r="F1221" s="1765" t="s">
        <v>2403</v>
      </c>
      <c r="G1221" s="1763" t="s">
        <v>2404</v>
      </c>
      <c r="H1221" s="1766" t="s">
        <v>2405</v>
      </c>
      <c r="I1221" s="1767" t="s">
        <v>2406</v>
      </c>
      <c r="J1221" s="1768"/>
    </row>
    <row r="1222" spans="1:10" ht="36">
      <c r="A1222" s="1770" t="s">
        <v>2407</v>
      </c>
      <c r="B1222" s="1771" t="s">
        <v>7</v>
      </c>
      <c r="C1222" s="1771">
        <v>91946</v>
      </c>
      <c r="D1222" s="1772" t="s">
        <v>2628</v>
      </c>
      <c r="E1222" s="1773" t="s">
        <v>2432</v>
      </c>
      <c r="F1222" s="1780">
        <v>1</v>
      </c>
      <c r="G1222" s="1774">
        <v>7.2</v>
      </c>
      <c r="H1222" s="1775">
        <f>IF(E1222="H",G1222,TRUNC(G1222*(1-$K$7),2))</f>
        <v>7.15</v>
      </c>
      <c r="I1222" s="1776">
        <f t="shared" ref="I1222:I1223" si="169">TRUNC(H1222*F1222,2)</f>
        <v>7.15</v>
      </c>
      <c r="J1222" s="1768"/>
    </row>
    <row r="1223" spans="1:10" ht="36">
      <c r="A1223" s="1770" t="s">
        <v>2407</v>
      </c>
      <c r="B1223" s="1771" t="s">
        <v>7</v>
      </c>
      <c r="C1223" s="1771">
        <v>91995</v>
      </c>
      <c r="D1223" s="1772" t="s">
        <v>2636</v>
      </c>
      <c r="E1223" s="1773" t="s">
        <v>2432</v>
      </c>
      <c r="F1223" s="1780">
        <v>1</v>
      </c>
      <c r="G1223" s="1774">
        <v>23.46</v>
      </c>
      <c r="H1223" s="1775">
        <f>IF(E1223="H",G1223,TRUNC(G1223*(1-$K$7),2))</f>
        <v>23.31</v>
      </c>
      <c r="I1223" s="1776">
        <f t="shared" si="169"/>
        <v>23.31</v>
      </c>
      <c r="J1223" s="1768"/>
    </row>
    <row r="1224" spans="1:10">
      <c r="A1224" s="1917" t="s">
        <v>2408</v>
      </c>
      <c r="B1224" s="1918"/>
      <c r="C1224" s="1918"/>
      <c r="D1224" s="1918"/>
      <c r="E1224" s="1918"/>
      <c r="F1224" s="1918"/>
      <c r="G1224" s="1918"/>
      <c r="H1224" s="1919"/>
      <c r="I1224" s="1778">
        <f>SUM(I1222:I1223)</f>
        <v>30.46</v>
      </c>
      <c r="J1224" s="1768"/>
    </row>
    <row r="1225" spans="1:10">
      <c r="A1225" s="1920"/>
      <c r="B1225" s="1921"/>
      <c r="C1225" s="1921"/>
      <c r="D1225" s="1921"/>
      <c r="E1225" s="1921"/>
      <c r="F1225" s="1921"/>
      <c r="G1225" s="1921"/>
      <c r="H1225" s="1921"/>
      <c r="I1225" s="1922"/>
      <c r="J1225" s="1768"/>
    </row>
    <row r="1226" spans="1:10" ht="27" customHeight="1">
      <c r="A1226" s="1757">
        <f>'PLANILHA SEM DESON'!B192</f>
        <v>91992</v>
      </c>
      <c r="B1226" s="1923" t="str">
        <f>VLOOKUP(A1226,'PLANILHA SEM DESON'!$B$17:$D$1699,2,FALSE)</f>
        <v>TOMADA ALTA DE EMBUTIR (1 MÓDULO), 2P+T - 10A, INCLUINDO SUPORTE E PLACA - FORNECIMENTO E INSTALAÇÃO. AF_12/2015</v>
      </c>
      <c r="C1226" s="1924"/>
      <c r="D1226" s="1924"/>
      <c r="E1226" s="1924"/>
      <c r="F1226" s="1924"/>
      <c r="G1226" s="1924"/>
      <c r="H1226" s="1925"/>
      <c r="I1226" s="1758" t="str">
        <f>VLOOKUP(A1226,'PLANILHA SEM DESON'!$B$17:$D$1699,3,FALSE)</f>
        <v xml:space="preserve">un </v>
      </c>
      <c r="J1226" s="1759">
        <f>I1230</f>
        <v>37.18</v>
      </c>
    </row>
    <row r="1227" spans="1:10" ht="24">
      <c r="A1227" s="1761" t="s">
        <v>2401</v>
      </c>
      <c r="B1227" s="1762" t="s">
        <v>2402</v>
      </c>
      <c r="C1227" s="1763" t="s">
        <v>2399</v>
      </c>
      <c r="D1227" s="1764" t="s">
        <v>284</v>
      </c>
      <c r="E1227" s="1763" t="s">
        <v>193</v>
      </c>
      <c r="F1227" s="1765" t="s">
        <v>2403</v>
      </c>
      <c r="G1227" s="1763" t="s">
        <v>2404</v>
      </c>
      <c r="H1227" s="1766" t="s">
        <v>2405</v>
      </c>
      <c r="I1227" s="1767" t="s">
        <v>2406</v>
      </c>
      <c r="J1227" s="1768"/>
    </row>
    <row r="1228" spans="1:10" ht="36">
      <c r="A1228" s="1770" t="s">
        <v>2407</v>
      </c>
      <c r="B1228" s="1771" t="s">
        <v>7</v>
      </c>
      <c r="C1228" s="1771">
        <v>91946</v>
      </c>
      <c r="D1228" s="1772" t="s">
        <v>2628</v>
      </c>
      <c r="E1228" s="1773" t="s">
        <v>2432</v>
      </c>
      <c r="F1228" s="1780">
        <v>1</v>
      </c>
      <c r="G1228" s="1774">
        <v>7.2</v>
      </c>
      <c r="H1228" s="1775">
        <f>IF(E1228="H",G1228,TRUNC(G1228*(1-$K$7),2))</f>
        <v>7.15</v>
      </c>
      <c r="I1228" s="1776">
        <f t="shared" ref="I1228:I1229" si="170">TRUNC(H1228*F1228,2)</f>
        <v>7.15</v>
      </c>
      <c r="J1228" s="1768"/>
    </row>
    <row r="1229" spans="1:10" ht="36">
      <c r="A1229" s="1770" t="s">
        <v>2407</v>
      </c>
      <c r="B1229" s="1771" t="s">
        <v>7</v>
      </c>
      <c r="C1229" s="1771">
        <v>91990</v>
      </c>
      <c r="D1229" s="1772" t="s">
        <v>2637</v>
      </c>
      <c r="E1229" s="1773" t="s">
        <v>2432</v>
      </c>
      <c r="F1229" s="1780">
        <v>1</v>
      </c>
      <c r="G1229" s="1774">
        <v>30.22</v>
      </c>
      <c r="H1229" s="1775">
        <f>IF(E1229="H",G1229,TRUNC(G1229*(1-$K$7),2))</f>
        <v>30.03</v>
      </c>
      <c r="I1229" s="1776">
        <f t="shared" si="170"/>
        <v>30.03</v>
      </c>
      <c r="J1229" s="1768"/>
    </row>
    <row r="1230" spans="1:10">
      <c r="A1230" s="1917" t="s">
        <v>2408</v>
      </c>
      <c r="B1230" s="1918"/>
      <c r="C1230" s="1918"/>
      <c r="D1230" s="1918"/>
      <c r="E1230" s="1918"/>
      <c r="F1230" s="1918"/>
      <c r="G1230" s="1918"/>
      <c r="H1230" s="1919"/>
      <c r="I1230" s="1778">
        <f>SUM(I1228:I1229)</f>
        <v>37.18</v>
      </c>
      <c r="J1230" s="1768"/>
    </row>
    <row r="1231" spans="1:10">
      <c r="A1231" s="1920"/>
      <c r="B1231" s="1921"/>
      <c r="C1231" s="1921"/>
      <c r="D1231" s="1921"/>
      <c r="E1231" s="1921"/>
      <c r="F1231" s="1921"/>
      <c r="G1231" s="1921"/>
      <c r="H1231" s="1921"/>
      <c r="I1231" s="1922"/>
      <c r="J1231" s="1768"/>
    </row>
    <row r="1232" spans="1:10" ht="27" customHeight="1">
      <c r="A1232" s="1757">
        <f>'PLANILHA SEM DESON'!B193</f>
        <v>92009</v>
      </c>
      <c r="B1232" s="1923" t="str">
        <f>VLOOKUP(A1232,'PLANILHA SEM DESON'!$B$17:$D$1699,2,FALSE)</f>
        <v xml:space="preserve">TOMADA BAIXA DE EMBUTIR (2 MÓDULOS), 2P+T - 10A, INCLUINDO SUPORTE E PLACA - FORNECIMENTO E INSTALAÇÃO. </v>
      </c>
      <c r="C1232" s="1924"/>
      <c r="D1232" s="1924"/>
      <c r="E1232" s="1924"/>
      <c r="F1232" s="1924"/>
      <c r="G1232" s="1924"/>
      <c r="H1232" s="1925"/>
      <c r="I1232" s="1758" t="str">
        <f>VLOOKUP(A1232,'PLANILHA SEM DESON'!$B$17:$D$1699,3,FALSE)</f>
        <v xml:space="preserve">un </v>
      </c>
      <c r="J1232" s="1759">
        <f>I1236</f>
        <v>44.22</v>
      </c>
    </row>
    <row r="1233" spans="1:10" ht="24">
      <c r="A1233" s="1761" t="s">
        <v>2401</v>
      </c>
      <c r="B1233" s="1762" t="s">
        <v>2402</v>
      </c>
      <c r="C1233" s="1763" t="s">
        <v>2399</v>
      </c>
      <c r="D1233" s="1764" t="s">
        <v>284</v>
      </c>
      <c r="E1233" s="1763" t="s">
        <v>193</v>
      </c>
      <c r="F1233" s="1765" t="s">
        <v>2403</v>
      </c>
      <c r="G1233" s="1763" t="s">
        <v>2404</v>
      </c>
      <c r="H1233" s="1766" t="s">
        <v>2405</v>
      </c>
      <c r="I1233" s="1767" t="s">
        <v>2406</v>
      </c>
      <c r="J1233" s="1768"/>
    </row>
    <row r="1234" spans="1:10" ht="36">
      <c r="A1234" s="1770" t="s">
        <v>2407</v>
      </c>
      <c r="B1234" s="1771" t="s">
        <v>7</v>
      </c>
      <c r="C1234" s="1771">
        <v>91946</v>
      </c>
      <c r="D1234" s="1772" t="s">
        <v>2628</v>
      </c>
      <c r="E1234" s="1773" t="s">
        <v>2432</v>
      </c>
      <c r="F1234" s="1780">
        <v>1</v>
      </c>
      <c r="G1234" s="1774">
        <v>7.2</v>
      </c>
      <c r="H1234" s="1775">
        <f>IF(E1234="H",G1234,TRUNC(G1234*(1-$K$7),2))</f>
        <v>7.15</v>
      </c>
      <c r="I1234" s="1776">
        <f t="shared" ref="I1234:I1235" si="171">TRUNC(H1234*F1234,2)</f>
        <v>7.15</v>
      </c>
      <c r="J1234" s="1768"/>
    </row>
    <row r="1235" spans="1:10" ht="36">
      <c r="A1235" s="1770" t="s">
        <v>2407</v>
      </c>
      <c r="B1235" s="1771" t="s">
        <v>7</v>
      </c>
      <c r="C1235" s="1771">
        <v>92007</v>
      </c>
      <c r="D1235" s="1772" t="s">
        <v>2638</v>
      </c>
      <c r="E1235" s="1773" t="s">
        <v>2432</v>
      </c>
      <c r="F1235" s="1780">
        <v>1</v>
      </c>
      <c r="G1235" s="1774">
        <v>37.299999999999997</v>
      </c>
      <c r="H1235" s="1775">
        <f>IF(E1235="H",G1235,TRUNC(G1235*(1-$K$7),2))</f>
        <v>37.07</v>
      </c>
      <c r="I1235" s="1776">
        <f t="shared" si="171"/>
        <v>37.07</v>
      </c>
      <c r="J1235" s="1768"/>
    </row>
    <row r="1236" spans="1:10">
      <c r="A1236" s="1917" t="s">
        <v>2408</v>
      </c>
      <c r="B1236" s="1918"/>
      <c r="C1236" s="1918"/>
      <c r="D1236" s="1918"/>
      <c r="E1236" s="1918"/>
      <c r="F1236" s="1918"/>
      <c r="G1236" s="1918"/>
      <c r="H1236" s="1919"/>
      <c r="I1236" s="1778">
        <f>SUM(I1234:I1235)</f>
        <v>44.22</v>
      </c>
      <c r="J1236" s="1768"/>
    </row>
    <row r="1237" spans="1:10">
      <c r="A1237" s="1920"/>
      <c r="B1237" s="1921"/>
      <c r="C1237" s="1921"/>
      <c r="D1237" s="1921"/>
      <c r="E1237" s="1921"/>
      <c r="F1237" s="1921"/>
      <c r="G1237" s="1921"/>
      <c r="H1237" s="1921"/>
      <c r="I1237" s="1922"/>
      <c r="J1237" s="1768"/>
    </row>
    <row r="1238" spans="1:10" ht="32.25" customHeight="1">
      <c r="A1238" s="1757">
        <f>'PLANILHA SEM DESON'!B194</f>
        <v>93653</v>
      </c>
      <c r="B1238" s="1923" t="str">
        <f>VLOOKUP(A1238,'PLANILHA SEM DESON'!$B$17:$D$1699,2,FALSE)</f>
        <v>DISJUNTOR MONOPOLAR TIPO DIN, CORRENTE NOMINAL DE 10A - FORNECIMENTO E INSTALAÇÃO. AF_10/2020</v>
      </c>
      <c r="C1238" s="1924"/>
      <c r="D1238" s="1924"/>
      <c r="E1238" s="1924"/>
      <c r="F1238" s="1924"/>
      <c r="G1238" s="1924"/>
      <c r="H1238" s="1925"/>
      <c r="I1238" s="1758" t="str">
        <f>VLOOKUP(A1238,'PLANILHA SEM DESON'!$B$17:$D$1699,3,FALSE)</f>
        <v xml:space="preserve">un </v>
      </c>
      <c r="J1238" s="1759">
        <f>I1244</f>
        <v>12.530000000000001</v>
      </c>
    </row>
    <row r="1239" spans="1:10" ht="24">
      <c r="A1239" s="1761" t="s">
        <v>2401</v>
      </c>
      <c r="B1239" s="1762" t="s">
        <v>2402</v>
      </c>
      <c r="C1239" s="1763" t="s">
        <v>2399</v>
      </c>
      <c r="D1239" s="1764" t="s">
        <v>284</v>
      </c>
      <c r="E1239" s="1763" t="s">
        <v>193</v>
      </c>
      <c r="F1239" s="1765" t="s">
        <v>2403</v>
      </c>
      <c r="G1239" s="1763" t="s">
        <v>2404</v>
      </c>
      <c r="H1239" s="1766" t="s">
        <v>2405</v>
      </c>
      <c r="I1239" s="1767" t="s">
        <v>2406</v>
      </c>
      <c r="J1239" s="1768"/>
    </row>
    <row r="1240" spans="1:10" ht="36">
      <c r="A1240" s="1770" t="s">
        <v>2407</v>
      </c>
      <c r="B1240" s="1771" t="s">
        <v>2410</v>
      </c>
      <c r="C1240" s="1771">
        <v>1570</v>
      </c>
      <c r="D1240" s="1772" t="s">
        <v>2639</v>
      </c>
      <c r="E1240" s="1773" t="s">
        <v>2432</v>
      </c>
      <c r="F1240" s="1780">
        <v>1</v>
      </c>
      <c r="G1240" s="1774">
        <v>0.96</v>
      </c>
      <c r="H1240" s="1775">
        <f>IF(E1240="H",G1240,TRUNC(G1240*(1-$K$7),2))</f>
        <v>0.95</v>
      </c>
      <c r="I1240" s="1776">
        <f t="shared" ref="I1240:I1243" si="172">TRUNC(H1240*F1240,2)</f>
        <v>0.95</v>
      </c>
      <c r="J1240" s="1768"/>
    </row>
    <row r="1241" spans="1:10">
      <c r="A1241" s="1770" t="s">
        <v>2407</v>
      </c>
      <c r="B1241" s="1771" t="s">
        <v>2410</v>
      </c>
      <c r="C1241" s="1771">
        <v>34653</v>
      </c>
      <c r="D1241" s="1772" t="s">
        <v>2640</v>
      </c>
      <c r="E1241" s="1773" t="s">
        <v>2432</v>
      </c>
      <c r="F1241" s="1780">
        <v>1</v>
      </c>
      <c r="G1241" s="1774">
        <v>10.029999999999999</v>
      </c>
      <c r="H1241" s="1775">
        <f>IF(E1241="H",G1241,TRUNC(G1241*(1-$K$7),2))</f>
        <v>9.9600000000000009</v>
      </c>
      <c r="I1241" s="1776">
        <f t="shared" si="172"/>
        <v>9.9600000000000009</v>
      </c>
      <c r="J1241" s="1768"/>
    </row>
    <row r="1242" spans="1:10" ht="24">
      <c r="A1242" s="1770" t="s">
        <v>2407</v>
      </c>
      <c r="B1242" s="1771" t="s">
        <v>7</v>
      </c>
      <c r="C1242" s="1771">
        <v>88247</v>
      </c>
      <c r="D1242" s="1772" t="s">
        <v>93</v>
      </c>
      <c r="E1242" s="1773" t="s">
        <v>387</v>
      </c>
      <c r="F1242" s="1780">
        <v>3.5200000000000002E-2</v>
      </c>
      <c r="G1242" s="1774">
        <v>21</v>
      </c>
      <c r="H1242" s="1775">
        <f>IF(E1242="H",G1242,TRUNC(G1242*(1-$K$7),2))</f>
        <v>21</v>
      </c>
      <c r="I1242" s="1776">
        <f t="shared" si="172"/>
        <v>0.73</v>
      </c>
      <c r="J1242" s="1768"/>
    </row>
    <row r="1243" spans="1:10">
      <c r="A1243" s="1770" t="s">
        <v>2407</v>
      </c>
      <c r="B1243" s="1771" t="s">
        <v>7</v>
      </c>
      <c r="C1243" s="1771">
        <v>88264</v>
      </c>
      <c r="D1243" s="1772" t="s">
        <v>94</v>
      </c>
      <c r="E1243" s="1773" t="s">
        <v>387</v>
      </c>
      <c r="F1243" s="1780">
        <v>3.5200000000000002E-2</v>
      </c>
      <c r="G1243" s="1774">
        <v>25.54</v>
      </c>
      <c r="H1243" s="1775">
        <f>IF(E1243="H",G1243,TRUNC(G1243*(1-$K$7),2))</f>
        <v>25.54</v>
      </c>
      <c r="I1243" s="1776">
        <f t="shared" si="172"/>
        <v>0.89</v>
      </c>
      <c r="J1243" s="1768"/>
    </row>
    <row r="1244" spans="1:10">
      <c r="A1244" s="1917" t="s">
        <v>2408</v>
      </c>
      <c r="B1244" s="1918"/>
      <c r="C1244" s="1918"/>
      <c r="D1244" s="1918"/>
      <c r="E1244" s="1918"/>
      <c r="F1244" s="1918"/>
      <c r="G1244" s="1918"/>
      <c r="H1244" s="1919"/>
      <c r="I1244" s="1778">
        <f>SUM(I1240:I1243)</f>
        <v>12.530000000000001</v>
      </c>
      <c r="J1244" s="1768"/>
    </row>
    <row r="1245" spans="1:10">
      <c r="A1245" s="1920"/>
      <c r="B1245" s="1921"/>
      <c r="C1245" s="1921"/>
      <c r="D1245" s="1921"/>
      <c r="E1245" s="1921"/>
      <c r="F1245" s="1921"/>
      <c r="G1245" s="1921"/>
      <c r="H1245" s="1921"/>
      <c r="I1245" s="1922"/>
      <c r="J1245" s="1768"/>
    </row>
    <row r="1246" spans="1:10">
      <c r="A1246" s="1757">
        <f>'PLANILHA SEM DESON'!B195</f>
        <v>93661</v>
      </c>
      <c r="B1246" s="1923" t="str">
        <f>VLOOKUP(A1246,'PLANILHA SEM DESON'!$B$17:$D$1699,2,FALSE)</f>
        <v>DISJUNTOR BIPOLAR TIPO DIN, CORRENTE NOMINAL DE 16A - FORNECIMENTO E INSTALAÇÃO. AF_10/2020</v>
      </c>
      <c r="C1246" s="1924"/>
      <c r="D1246" s="1924"/>
      <c r="E1246" s="1924"/>
      <c r="F1246" s="1924"/>
      <c r="G1246" s="1924"/>
      <c r="H1246" s="1925"/>
      <c r="I1246" s="1758" t="str">
        <f>VLOOKUP(A1246,'PLANILHA SEM DESON'!$B$17:$D$1699,3,FALSE)</f>
        <v xml:space="preserve">un </v>
      </c>
      <c r="J1246" s="1759">
        <f>I1252</f>
        <v>63.46</v>
      </c>
    </row>
    <row r="1247" spans="1:10" ht="24">
      <c r="A1247" s="1761" t="s">
        <v>2401</v>
      </c>
      <c r="B1247" s="1762" t="s">
        <v>2402</v>
      </c>
      <c r="C1247" s="1763" t="s">
        <v>2399</v>
      </c>
      <c r="D1247" s="1764" t="s">
        <v>284</v>
      </c>
      <c r="E1247" s="1763" t="s">
        <v>193</v>
      </c>
      <c r="F1247" s="1765" t="s">
        <v>2403</v>
      </c>
      <c r="G1247" s="1763" t="s">
        <v>2404</v>
      </c>
      <c r="H1247" s="1766" t="s">
        <v>2405</v>
      </c>
      <c r="I1247" s="1767" t="s">
        <v>2406</v>
      </c>
      <c r="J1247" s="1768"/>
    </row>
    <row r="1248" spans="1:10" ht="36">
      <c r="A1248" s="1770" t="s">
        <v>2407</v>
      </c>
      <c r="B1248" s="1771" t="s">
        <v>2410</v>
      </c>
      <c r="C1248" s="1771">
        <v>1570</v>
      </c>
      <c r="D1248" s="1772" t="s">
        <v>2639</v>
      </c>
      <c r="E1248" s="1773" t="s">
        <v>2432</v>
      </c>
      <c r="F1248" s="1780">
        <v>2</v>
      </c>
      <c r="G1248" s="1774">
        <v>0.96</v>
      </c>
      <c r="H1248" s="1775">
        <f>IF(E1248="H",G1248,TRUNC(G1248*(1-$K$7),2))</f>
        <v>0.95</v>
      </c>
      <c r="I1248" s="1776">
        <f t="shared" ref="I1248:I1251" si="173">TRUNC(H1248*F1248,2)</f>
        <v>1.9</v>
      </c>
      <c r="J1248" s="1768"/>
    </row>
    <row r="1249" spans="1:10">
      <c r="A1249" s="1770" t="s">
        <v>2407</v>
      </c>
      <c r="B1249" s="1771" t="s">
        <v>2410</v>
      </c>
      <c r="C1249" s="1771">
        <v>34616</v>
      </c>
      <c r="D1249" s="1772" t="s">
        <v>2641</v>
      </c>
      <c r="E1249" s="1773" t="s">
        <v>2432</v>
      </c>
      <c r="F1249" s="1780">
        <v>1</v>
      </c>
      <c r="G1249" s="1774">
        <v>57.49</v>
      </c>
      <c r="H1249" s="1775">
        <f>IF(E1249="H",G1249,TRUNC(G1249*(1-$K$7),2))</f>
        <v>57.14</v>
      </c>
      <c r="I1249" s="1776">
        <f t="shared" si="173"/>
        <v>57.14</v>
      </c>
      <c r="J1249" s="1768"/>
    </row>
    <row r="1250" spans="1:10" ht="24">
      <c r="A1250" s="1770" t="s">
        <v>2407</v>
      </c>
      <c r="B1250" s="1771" t="s">
        <v>7</v>
      </c>
      <c r="C1250" s="1771">
        <v>88247</v>
      </c>
      <c r="D1250" s="1772" t="s">
        <v>93</v>
      </c>
      <c r="E1250" s="1773" t="s">
        <v>387</v>
      </c>
      <c r="F1250" s="1780">
        <v>9.5200000000000007E-2</v>
      </c>
      <c r="G1250" s="1774">
        <v>21</v>
      </c>
      <c r="H1250" s="1775">
        <f>IF(E1250="H",G1250,TRUNC(G1250*(1-$K$7),2))</f>
        <v>21</v>
      </c>
      <c r="I1250" s="1776">
        <f t="shared" si="173"/>
        <v>1.99</v>
      </c>
      <c r="J1250" s="1768"/>
    </row>
    <row r="1251" spans="1:10">
      <c r="A1251" s="1770" t="s">
        <v>2407</v>
      </c>
      <c r="B1251" s="1771" t="s">
        <v>7</v>
      </c>
      <c r="C1251" s="1771">
        <v>88264</v>
      </c>
      <c r="D1251" s="1772" t="s">
        <v>94</v>
      </c>
      <c r="E1251" s="1773" t="s">
        <v>387</v>
      </c>
      <c r="F1251" s="1780">
        <v>9.5200000000000007E-2</v>
      </c>
      <c r="G1251" s="1774">
        <v>25.54</v>
      </c>
      <c r="H1251" s="1775">
        <f>IF(E1251="H",G1251,TRUNC(G1251*(1-$K$7),2))</f>
        <v>25.54</v>
      </c>
      <c r="I1251" s="1776">
        <f t="shared" si="173"/>
        <v>2.4300000000000002</v>
      </c>
      <c r="J1251" s="1768"/>
    </row>
    <row r="1252" spans="1:10">
      <c r="A1252" s="1917" t="s">
        <v>2408</v>
      </c>
      <c r="B1252" s="1918"/>
      <c r="C1252" s="1918"/>
      <c r="D1252" s="1918"/>
      <c r="E1252" s="1918"/>
      <c r="F1252" s="1918"/>
      <c r="G1252" s="1918"/>
      <c r="H1252" s="1919"/>
      <c r="I1252" s="1778">
        <f>SUM(I1248:I1251)</f>
        <v>63.46</v>
      </c>
      <c r="J1252" s="1768"/>
    </row>
    <row r="1253" spans="1:10">
      <c r="A1253" s="1920"/>
      <c r="B1253" s="1921"/>
      <c r="C1253" s="1921"/>
      <c r="D1253" s="1921"/>
      <c r="E1253" s="1921"/>
      <c r="F1253" s="1921"/>
      <c r="G1253" s="1921"/>
      <c r="H1253" s="1921"/>
      <c r="I1253" s="1922"/>
      <c r="J1253" s="1768"/>
    </row>
    <row r="1254" spans="1:10">
      <c r="A1254" s="1757">
        <f>'PLANILHA SEM DESON'!B196</f>
        <v>93660</v>
      </c>
      <c r="B1254" s="1923" t="str">
        <f>VLOOKUP(A1254,'PLANILHA SEM DESON'!$B$17:$D$1699,2,FALSE)</f>
        <v>DISJUNTOR BIPOLAR TIPO DIN, CORRENTE NOMINAL DE 10A - FORNECIMENTO E INSTALAÇÃO. AF_10/2020</v>
      </c>
      <c r="C1254" s="1924"/>
      <c r="D1254" s="1924"/>
      <c r="E1254" s="1924"/>
      <c r="F1254" s="1924"/>
      <c r="G1254" s="1924"/>
      <c r="H1254" s="1925"/>
      <c r="I1254" s="1758" t="str">
        <f>VLOOKUP(A1254,'PLANILHA SEM DESON'!$B$17:$D$1699,3,FALSE)</f>
        <v xml:space="preserve">un </v>
      </c>
      <c r="J1254" s="1759">
        <f>I1260</f>
        <v>62.3</v>
      </c>
    </row>
    <row r="1255" spans="1:10" ht="24">
      <c r="A1255" s="1761" t="s">
        <v>2401</v>
      </c>
      <c r="B1255" s="1762" t="s">
        <v>2402</v>
      </c>
      <c r="C1255" s="1763" t="s">
        <v>2399</v>
      </c>
      <c r="D1255" s="1764" t="s">
        <v>284</v>
      </c>
      <c r="E1255" s="1763" t="s">
        <v>193</v>
      </c>
      <c r="F1255" s="1765" t="s">
        <v>2403</v>
      </c>
      <c r="G1255" s="1763" t="s">
        <v>2404</v>
      </c>
      <c r="H1255" s="1766" t="s">
        <v>2405</v>
      </c>
      <c r="I1255" s="1767" t="s">
        <v>2406</v>
      </c>
      <c r="J1255" s="1768"/>
    </row>
    <row r="1256" spans="1:10" ht="36">
      <c r="A1256" s="1770" t="s">
        <v>2407</v>
      </c>
      <c r="B1256" s="1771" t="s">
        <v>2410</v>
      </c>
      <c r="C1256" s="1771">
        <v>1570</v>
      </c>
      <c r="D1256" s="1772" t="s">
        <v>2639</v>
      </c>
      <c r="E1256" s="1773" t="s">
        <v>2432</v>
      </c>
      <c r="F1256" s="1780">
        <v>2</v>
      </c>
      <c r="G1256" s="1774">
        <v>0.96</v>
      </c>
      <c r="H1256" s="1775">
        <f>IF(E1256="H",G1256,TRUNC(G1256*(1-$K$7),2))</f>
        <v>0.95</v>
      </c>
      <c r="I1256" s="1776">
        <f t="shared" ref="I1256:I1259" si="174">TRUNC(H1256*F1256,2)</f>
        <v>1.9</v>
      </c>
      <c r="J1256" s="1768"/>
    </row>
    <row r="1257" spans="1:10">
      <c r="A1257" s="1770" t="s">
        <v>2407</v>
      </c>
      <c r="B1257" s="1771" t="s">
        <v>2410</v>
      </c>
      <c r="C1257" s="1771">
        <v>34616</v>
      </c>
      <c r="D1257" s="1772" t="s">
        <v>2641</v>
      </c>
      <c r="E1257" s="1773" t="s">
        <v>2432</v>
      </c>
      <c r="F1257" s="1780">
        <v>1</v>
      </c>
      <c r="G1257" s="1774">
        <v>57.49</v>
      </c>
      <c r="H1257" s="1775">
        <f>IF(E1257="H",G1257,TRUNC(G1257*(1-$K$7),2))</f>
        <v>57.14</v>
      </c>
      <c r="I1257" s="1776">
        <f t="shared" si="174"/>
        <v>57.14</v>
      </c>
      <c r="J1257" s="1768"/>
    </row>
    <row r="1258" spans="1:10" ht="24">
      <c r="A1258" s="1770" t="s">
        <v>2407</v>
      </c>
      <c r="B1258" s="1771" t="s">
        <v>7</v>
      </c>
      <c r="C1258" s="1771">
        <v>88247</v>
      </c>
      <c r="D1258" s="1772" t="s">
        <v>93</v>
      </c>
      <c r="E1258" s="1773" t="s">
        <v>387</v>
      </c>
      <c r="F1258" s="1780">
        <v>7.0300000000000001E-2</v>
      </c>
      <c r="G1258" s="1774">
        <v>21</v>
      </c>
      <c r="H1258" s="1775">
        <f>IF(E1258="H",G1258,TRUNC(G1258*(1-$K$7),2))</f>
        <v>21</v>
      </c>
      <c r="I1258" s="1776">
        <f t="shared" si="174"/>
        <v>1.47</v>
      </c>
      <c r="J1258" s="1768"/>
    </row>
    <row r="1259" spans="1:10">
      <c r="A1259" s="1770" t="s">
        <v>2407</v>
      </c>
      <c r="B1259" s="1771" t="s">
        <v>7</v>
      </c>
      <c r="C1259" s="1771">
        <v>88264</v>
      </c>
      <c r="D1259" s="1772" t="s">
        <v>94</v>
      </c>
      <c r="E1259" s="1773" t="s">
        <v>387</v>
      </c>
      <c r="F1259" s="1780">
        <v>7.0300000000000001E-2</v>
      </c>
      <c r="G1259" s="1774">
        <v>25.54</v>
      </c>
      <c r="H1259" s="1775">
        <f>IF(E1259="H",G1259,TRUNC(G1259*(1-$K$7),2))</f>
        <v>25.54</v>
      </c>
      <c r="I1259" s="1776">
        <f t="shared" si="174"/>
        <v>1.79</v>
      </c>
      <c r="J1259" s="1768"/>
    </row>
    <row r="1260" spans="1:10">
      <c r="A1260" s="1917" t="s">
        <v>2408</v>
      </c>
      <c r="B1260" s="1918"/>
      <c r="C1260" s="1918"/>
      <c r="D1260" s="1918"/>
      <c r="E1260" s="1918"/>
      <c r="F1260" s="1918"/>
      <c r="G1260" s="1918"/>
      <c r="H1260" s="1919"/>
      <c r="I1260" s="1778">
        <f>SUM(I1256:I1259)</f>
        <v>62.3</v>
      </c>
      <c r="J1260" s="1768"/>
    </row>
    <row r="1261" spans="1:10">
      <c r="A1261" s="1920"/>
      <c r="B1261" s="1921"/>
      <c r="C1261" s="1921"/>
      <c r="D1261" s="1921"/>
      <c r="E1261" s="1921"/>
      <c r="F1261" s="1921"/>
      <c r="G1261" s="1921"/>
      <c r="H1261" s="1921"/>
      <c r="I1261" s="1922"/>
      <c r="J1261" s="1768"/>
    </row>
    <row r="1262" spans="1:10" ht="29.25" customHeight="1">
      <c r="A1262" s="1757">
        <f>'PLANILHA SEM DESON'!B197</f>
        <v>101895</v>
      </c>
      <c r="B1262" s="1923" t="str">
        <f>VLOOKUP(A1262,'PLANILHA SEM DESON'!$B$17:$D$1699,2,FALSE)</f>
        <v>DISJUNTOR TERMOMAGNÉTICO TRIPOLAR , CORRENTE NOMINAL DE 125A - FORNECIMENTO E INSTALAÇÃO. AF_10/2020</v>
      </c>
      <c r="C1262" s="1924"/>
      <c r="D1262" s="1924"/>
      <c r="E1262" s="1924"/>
      <c r="F1262" s="1924"/>
      <c r="G1262" s="1924"/>
      <c r="H1262" s="1925"/>
      <c r="I1262" s="1758" t="str">
        <f>VLOOKUP(A1262,'PLANILHA SEM DESON'!$B$17:$D$1699,3,FALSE)</f>
        <v xml:space="preserve">un </v>
      </c>
      <c r="J1262" s="1759">
        <f>I1268</f>
        <v>458.85999999999996</v>
      </c>
    </row>
    <row r="1263" spans="1:10" ht="24">
      <c r="A1263" s="1761" t="s">
        <v>2401</v>
      </c>
      <c r="B1263" s="1762" t="s">
        <v>2402</v>
      </c>
      <c r="C1263" s="1763" t="s">
        <v>2399</v>
      </c>
      <c r="D1263" s="1764" t="s">
        <v>284</v>
      </c>
      <c r="E1263" s="1763" t="s">
        <v>193</v>
      </c>
      <c r="F1263" s="1765" t="s">
        <v>2403</v>
      </c>
      <c r="G1263" s="1763" t="s">
        <v>2404</v>
      </c>
      <c r="H1263" s="1766" t="s">
        <v>2405</v>
      </c>
      <c r="I1263" s="1767" t="s">
        <v>2406</v>
      </c>
      <c r="J1263" s="1768"/>
    </row>
    <row r="1264" spans="1:10" ht="36">
      <c r="A1264" s="1770" t="s">
        <v>2407</v>
      </c>
      <c r="B1264" s="1771" t="s">
        <v>2410</v>
      </c>
      <c r="C1264" s="1771">
        <v>1578</v>
      </c>
      <c r="D1264" s="1772" t="s">
        <v>2642</v>
      </c>
      <c r="E1264" s="1773" t="s">
        <v>2432</v>
      </c>
      <c r="F1264" s="1780">
        <v>3</v>
      </c>
      <c r="G1264" s="1774">
        <v>5.17</v>
      </c>
      <c r="H1264" s="1775">
        <f>IF(E1264="H",G1264,TRUNC(G1264*(1-$K$7),2))</f>
        <v>5.13</v>
      </c>
      <c r="I1264" s="1776">
        <f t="shared" ref="I1264:I1267" si="175">TRUNC(H1264*F1264,2)</f>
        <v>15.39</v>
      </c>
      <c r="J1264" s="1768"/>
    </row>
    <row r="1265" spans="1:10">
      <c r="A1265" s="1770" t="s">
        <v>2407</v>
      </c>
      <c r="B1265" s="1771" t="s">
        <v>2410</v>
      </c>
      <c r="C1265" s="1771">
        <v>2391</v>
      </c>
      <c r="D1265" s="1772" t="s">
        <v>2643</v>
      </c>
      <c r="E1265" s="1773" t="s">
        <v>2432</v>
      </c>
      <c r="F1265" s="1780">
        <v>1</v>
      </c>
      <c r="G1265" s="1774">
        <v>384.21</v>
      </c>
      <c r="H1265" s="1775">
        <f>IF(E1265="H",G1265,TRUNC(G1265*(1-$K$7),2))</f>
        <v>381.9</v>
      </c>
      <c r="I1265" s="1776">
        <f t="shared" si="175"/>
        <v>381.9</v>
      </c>
      <c r="J1265" s="1768"/>
    </row>
    <row r="1266" spans="1:10" ht="24">
      <c r="A1266" s="1770" t="s">
        <v>2407</v>
      </c>
      <c r="B1266" s="1771" t="s">
        <v>7</v>
      </c>
      <c r="C1266" s="1771">
        <v>88247</v>
      </c>
      <c r="D1266" s="1772" t="s">
        <v>93</v>
      </c>
      <c r="E1266" s="1773" t="s">
        <v>387</v>
      </c>
      <c r="F1266" s="1780">
        <v>1.3231999999999999</v>
      </c>
      <c r="G1266" s="1774">
        <v>21</v>
      </c>
      <c r="H1266" s="1775">
        <f>IF(E1266="H",G1266,TRUNC(G1266*(1-$K$7),2))</f>
        <v>21</v>
      </c>
      <c r="I1266" s="1776">
        <f t="shared" si="175"/>
        <v>27.78</v>
      </c>
      <c r="J1266" s="1768"/>
    </row>
    <row r="1267" spans="1:10">
      <c r="A1267" s="1770" t="s">
        <v>2407</v>
      </c>
      <c r="B1267" s="1771" t="s">
        <v>7</v>
      </c>
      <c r="C1267" s="1771">
        <v>88264</v>
      </c>
      <c r="D1267" s="1772" t="s">
        <v>94</v>
      </c>
      <c r="E1267" s="1773" t="s">
        <v>387</v>
      </c>
      <c r="F1267" s="1780">
        <v>1.3231999999999999</v>
      </c>
      <c r="G1267" s="1774">
        <v>25.54</v>
      </c>
      <c r="H1267" s="1775">
        <f>IF(E1267="H",G1267,TRUNC(G1267*(1-$K$7),2))</f>
        <v>25.54</v>
      </c>
      <c r="I1267" s="1776">
        <f t="shared" si="175"/>
        <v>33.79</v>
      </c>
      <c r="J1267" s="1768"/>
    </row>
    <row r="1268" spans="1:10">
      <c r="A1268" s="1917" t="s">
        <v>2408</v>
      </c>
      <c r="B1268" s="1918"/>
      <c r="C1268" s="1918"/>
      <c r="D1268" s="1918"/>
      <c r="E1268" s="1918"/>
      <c r="F1268" s="1918"/>
      <c r="G1268" s="1918"/>
      <c r="H1268" s="1919"/>
      <c r="I1268" s="1778">
        <f>SUM(I1264:I1267)</f>
        <v>458.85999999999996</v>
      </c>
      <c r="J1268" s="1768"/>
    </row>
    <row r="1269" spans="1:10">
      <c r="A1269" s="1920"/>
      <c r="B1269" s="1921"/>
      <c r="C1269" s="1921"/>
      <c r="D1269" s="1921"/>
      <c r="E1269" s="1921"/>
      <c r="F1269" s="1921"/>
      <c r="G1269" s="1921"/>
      <c r="H1269" s="1921"/>
      <c r="I1269" s="1922"/>
      <c r="J1269" s="1768"/>
    </row>
    <row r="1270" spans="1:10" ht="25.5" customHeight="1">
      <c r="A1270" s="1757" t="str">
        <f>'PLANILHA SEM DESON'!B198</f>
        <v>COMP ELE 24</v>
      </c>
      <c r="B1270" s="1923" t="str">
        <f>VLOOKUP(A1270,'PLANILHA SEM DESON'!$B$17:$D$1699,2,FALSE)</f>
        <v>DISJUNTOR TERMOMAGNETICO TRIPOLAR DIN 100A ,40 KA FORNECIMENTO E INSTALACAO</v>
      </c>
      <c r="C1270" s="1924"/>
      <c r="D1270" s="1924"/>
      <c r="E1270" s="1924"/>
      <c r="F1270" s="1924"/>
      <c r="G1270" s="1924"/>
      <c r="H1270" s="1925"/>
      <c r="I1270" s="1758" t="str">
        <f>VLOOKUP(A1270,'PLANILHA SEM DESON'!$B$17:$D$1699,3,FALSE)</f>
        <v xml:space="preserve">un </v>
      </c>
      <c r="J1270" s="1759">
        <f>I1275</f>
        <v>308.61</v>
      </c>
    </row>
    <row r="1271" spans="1:10" ht="24">
      <c r="A1271" s="1761" t="s">
        <v>2401</v>
      </c>
      <c r="B1271" s="1762" t="s">
        <v>2402</v>
      </c>
      <c r="C1271" s="1763" t="s">
        <v>2399</v>
      </c>
      <c r="D1271" s="1764" t="s">
        <v>284</v>
      </c>
      <c r="E1271" s="1763" t="s">
        <v>193</v>
      </c>
      <c r="F1271" s="1765" t="s">
        <v>2403</v>
      </c>
      <c r="G1271" s="1763" t="s">
        <v>2404</v>
      </c>
      <c r="H1271" s="1766" t="s">
        <v>2405</v>
      </c>
      <c r="I1271" s="1767" t="s">
        <v>2406</v>
      </c>
      <c r="J1271" s="1768"/>
    </row>
    <row r="1272" spans="1:10">
      <c r="A1272" s="1770"/>
      <c r="B1272" s="1771"/>
      <c r="C1272" s="1771">
        <v>88264</v>
      </c>
      <c r="D1272" s="1772" t="s">
        <v>94</v>
      </c>
      <c r="E1272" s="1773" t="s">
        <v>57</v>
      </c>
      <c r="F1272" s="1784">
        <v>0.4</v>
      </c>
      <c r="G1272" s="1779">
        <v>25.54</v>
      </c>
      <c r="H1272" s="1775">
        <f>IF(E1272="H",G1272,TRUNC(G1272*(1-$K$7),2))</f>
        <v>25.54</v>
      </c>
      <c r="I1272" s="1776">
        <f t="shared" ref="I1272:I1274" si="176">TRUNC(H1272*F1272,2)</f>
        <v>10.210000000000001</v>
      </c>
      <c r="J1272" s="1768"/>
    </row>
    <row r="1273" spans="1:10" ht="24">
      <c r="A1273" s="1770"/>
      <c r="B1273" s="1771"/>
      <c r="C1273" s="1771">
        <v>88247</v>
      </c>
      <c r="D1273" s="1772" t="s">
        <v>93</v>
      </c>
      <c r="E1273" s="1773" t="s">
        <v>57</v>
      </c>
      <c r="F1273" s="1784">
        <v>0.4</v>
      </c>
      <c r="G1273" s="1779">
        <v>21</v>
      </c>
      <c r="H1273" s="1775">
        <f>IF(E1273="H",G1273,TRUNC(G1273*(1-$K$7),2))</f>
        <v>21</v>
      </c>
      <c r="I1273" s="1776">
        <f t="shared" si="176"/>
        <v>8.4</v>
      </c>
      <c r="J1273" s="1768"/>
    </row>
    <row r="1274" spans="1:10" ht="24">
      <c r="A1274" s="1770"/>
      <c r="B1274" s="1771"/>
      <c r="C1274" s="1771" t="s">
        <v>65</v>
      </c>
      <c r="D1274" s="1772" t="s">
        <v>1553</v>
      </c>
      <c r="E1274" s="1773" t="s">
        <v>55</v>
      </c>
      <c r="F1274" s="1784">
        <v>1</v>
      </c>
      <c r="G1274" s="1779">
        <v>291.76</v>
      </c>
      <c r="H1274" s="1775">
        <f>IF(E1274="H",G1274,TRUNC(G1274*(1-$K$7),2))</f>
        <v>290</v>
      </c>
      <c r="I1274" s="1776">
        <f t="shared" si="176"/>
        <v>290</v>
      </c>
      <c r="J1274" s="1768"/>
    </row>
    <row r="1275" spans="1:10">
      <c r="A1275" s="1917" t="s">
        <v>2408</v>
      </c>
      <c r="B1275" s="1918"/>
      <c r="C1275" s="1918"/>
      <c r="D1275" s="1918"/>
      <c r="E1275" s="1918"/>
      <c r="F1275" s="1918"/>
      <c r="G1275" s="1918"/>
      <c r="H1275" s="1919"/>
      <c r="I1275" s="1778">
        <f>SUM(I1272:I1274)</f>
        <v>308.61</v>
      </c>
      <c r="J1275" s="1768"/>
    </row>
    <row r="1276" spans="1:10">
      <c r="A1276" s="1920"/>
      <c r="B1276" s="1921"/>
      <c r="C1276" s="1921"/>
      <c r="D1276" s="1921"/>
      <c r="E1276" s="1921"/>
      <c r="F1276" s="1921"/>
      <c r="G1276" s="1921"/>
      <c r="H1276" s="1921"/>
      <c r="I1276" s="1922"/>
      <c r="J1276" s="1768"/>
    </row>
    <row r="1277" spans="1:10" ht="25.5" customHeight="1">
      <c r="A1277" s="1757" t="str">
        <f>'PLANILHA SEM DESON'!B199</f>
        <v>COMP ELE 26</v>
      </c>
      <c r="B1277" s="1923" t="str">
        <f>VLOOKUP(A1277,'PLANILHA SEM DESON'!$B$17:$D$1699,2,FALSE)</f>
        <v>DISJUNTOR TERMOMAGNETICO TRIPOLAR DIN 90A ,10 KA FORNECIMENTO E INSTALACAO</v>
      </c>
      <c r="C1277" s="1924"/>
      <c r="D1277" s="1924"/>
      <c r="E1277" s="1924"/>
      <c r="F1277" s="1924"/>
      <c r="G1277" s="1924"/>
      <c r="H1277" s="1925"/>
      <c r="I1277" s="1758" t="str">
        <f>VLOOKUP(A1277,'PLANILHA SEM DESON'!$B$17:$D$1699,3,FALSE)</f>
        <v xml:space="preserve">un </v>
      </c>
      <c r="J1277" s="1759">
        <f>I1282</f>
        <v>327.85</v>
      </c>
    </row>
    <row r="1278" spans="1:10" ht="24">
      <c r="A1278" s="1761" t="s">
        <v>2401</v>
      </c>
      <c r="B1278" s="1762" t="s">
        <v>2402</v>
      </c>
      <c r="C1278" s="1763" t="s">
        <v>2399</v>
      </c>
      <c r="D1278" s="1764" t="s">
        <v>284</v>
      </c>
      <c r="E1278" s="1763" t="s">
        <v>193</v>
      </c>
      <c r="F1278" s="1765" t="s">
        <v>2403</v>
      </c>
      <c r="G1278" s="1763" t="s">
        <v>2404</v>
      </c>
      <c r="H1278" s="1766" t="s">
        <v>2405</v>
      </c>
      <c r="I1278" s="1767" t="s">
        <v>2406</v>
      </c>
      <c r="J1278" s="1768"/>
    </row>
    <row r="1279" spans="1:10">
      <c r="A1279" s="1770"/>
      <c r="B1279" s="1771"/>
      <c r="C1279" s="1771">
        <v>88264</v>
      </c>
      <c r="D1279" s="1772" t="s">
        <v>94</v>
      </c>
      <c r="E1279" s="1773" t="s">
        <v>57</v>
      </c>
      <c r="F1279" s="1784">
        <v>0.4</v>
      </c>
      <c r="G1279" s="1779">
        <v>25.54</v>
      </c>
      <c r="H1279" s="1775">
        <f>IF(E1279="H",G1279,TRUNC(G1279*(1-$K$7),2))</f>
        <v>25.54</v>
      </c>
      <c r="I1279" s="1776">
        <f t="shared" ref="I1279:I1281" si="177">TRUNC(H1279*F1279,2)</f>
        <v>10.210000000000001</v>
      </c>
      <c r="J1279" s="1768"/>
    </row>
    <row r="1280" spans="1:10" ht="24">
      <c r="A1280" s="1770"/>
      <c r="B1280" s="1771"/>
      <c r="C1280" s="1771">
        <v>88247</v>
      </c>
      <c r="D1280" s="1772" t="s">
        <v>93</v>
      </c>
      <c r="E1280" s="1773" t="s">
        <v>57</v>
      </c>
      <c r="F1280" s="1784">
        <v>0.4</v>
      </c>
      <c r="G1280" s="1779">
        <v>21</v>
      </c>
      <c r="H1280" s="1775">
        <f>IF(E1280="H",G1280,TRUNC(G1280*(1-$K$7),2))</f>
        <v>21</v>
      </c>
      <c r="I1280" s="1776">
        <f t="shared" si="177"/>
        <v>8.4</v>
      </c>
      <c r="J1280" s="1768"/>
    </row>
    <row r="1281" spans="1:10" ht="24">
      <c r="A1281" s="1770"/>
      <c r="B1281" s="1771"/>
      <c r="C1281" s="1771" t="s">
        <v>65</v>
      </c>
      <c r="D1281" s="1772" t="s">
        <v>2139</v>
      </c>
      <c r="E1281" s="1773" t="s">
        <v>55</v>
      </c>
      <c r="F1281" s="1784">
        <v>1</v>
      </c>
      <c r="G1281" s="1779">
        <v>311.11</v>
      </c>
      <c r="H1281" s="1775">
        <f>IF(E1281="H",G1281,TRUNC(G1281*(1-$K$7),2))</f>
        <v>309.24</v>
      </c>
      <c r="I1281" s="1776">
        <f t="shared" si="177"/>
        <v>309.24</v>
      </c>
      <c r="J1281" s="1768"/>
    </row>
    <row r="1282" spans="1:10">
      <c r="A1282" s="1917" t="s">
        <v>2408</v>
      </c>
      <c r="B1282" s="1918"/>
      <c r="C1282" s="1918"/>
      <c r="D1282" s="1918"/>
      <c r="E1282" s="1918"/>
      <c r="F1282" s="1918"/>
      <c r="G1282" s="1918"/>
      <c r="H1282" s="1919"/>
      <c r="I1282" s="1778">
        <f>SUM(I1279:I1281)</f>
        <v>327.85</v>
      </c>
      <c r="J1282" s="1768"/>
    </row>
    <row r="1283" spans="1:10">
      <c r="A1283" s="1920"/>
      <c r="B1283" s="1921"/>
      <c r="C1283" s="1921"/>
      <c r="D1283" s="1921"/>
      <c r="E1283" s="1921"/>
      <c r="F1283" s="1921"/>
      <c r="G1283" s="1921"/>
      <c r="H1283" s="1921"/>
      <c r="I1283" s="1922"/>
      <c r="J1283" s="1768"/>
    </row>
    <row r="1284" spans="1:10" ht="25.5" customHeight="1">
      <c r="A1284" s="1757">
        <f>'PLANILHA SEM DESON'!B200</f>
        <v>91941</v>
      </c>
      <c r="B1284" s="1923" t="str">
        <f>VLOOKUP(A1284,'PLANILHA SEM DESON'!$B$17:$D$1699,2,FALSE)</f>
        <v>CAIXA RETANGULAR 4" X 2" BAIXA (0,30 M DO PISO), PVC, INSTALADA EM PAREDE - FORNECIMENTO E INSTALAÇÃO. AF_12/2015</v>
      </c>
      <c r="C1284" s="1924"/>
      <c r="D1284" s="1924"/>
      <c r="E1284" s="1924"/>
      <c r="F1284" s="1924"/>
      <c r="G1284" s="1924"/>
      <c r="H1284" s="1925"/>
      <c r="I1284" s="1758" t="str">
        <f>VLOOKUP(A1284,'PLANILHA SEM DESON'!$B$17:$D$1699,3,FALSE)</f>
        <v xml:space="preserve">un </v>
      </c>
      <c r="J1284" s="1759">
        <f>I1290</f>
        <v>9.8600000000000012</v>
      </c>
    </row>
    <row r="1285" spans="1:10" ht="24">
      <c r="A1285" s="1761" t="s">
        <v>2401</v>
      </c>
      <c r="B1285" s="1762" t="s">
        <v>2402</v>
      </c>
      <c r="C1285" s="1763" t="s">
        <v>2399</v>
      </c>
      <c r="D1285" s="1764" t="s">
        <v>284</v>
      </c>
      <c r="E1285" s="1763" t="s">
        <v>193</v>
      </c>
      <c r="F1285" s="1765" t="s">
        <v>2403</v>
      </c>
      <c r="G1285" s="1763" t="s">
        <v>2404</v>
      </c>
      <c r="H1285" s="1766" t="s">
        <v>2405</v>
      </c>
      <c r="I1285" s="1767" t="s">
        <v>2406</v>
      </c>
      <c r="J1285" s="1768"/>
    </row>
    <row r="1286" spans="1:10" ht="24">
      <c r="A1286" s="1770" t="s">
        <v>2407</v>
      </c>
      <c r="B1286" s="1771" t="s">
        <v>2410</v>
      </c>
      <c r="C1286" s="1771">
        <v>1872</v>
      </c>
      <c r="D1286" s="1772" t="s">
        <v>2644</v>
      </c>
      <c r="E1286" s="1773" t="s">
        <v>2432</v>
      </c>
      <c r="F1286" s="1780">
        <v>1</v>
      </c>
      <c r="G1286" s="1774">
        <v>2.4700000000000002</v>
      </c>
      <c r="H1286" s="1775">
        <f>IF(E1286="H",G1286,TRUNC(G1286*(1-$K$7),2))</f>
        <v>2.4500000000000002</v>
      </c>
      <c r="I1286" s="1776">
        <f t="shared" ref="I1286:I1289" si="178">TRUNC(H1286*F1286,2)</f>
        <v>2.4500000000000002</v>
      </c>
      <c r="J1286" s="1768"/>
    </row>
    <row r="1287" spans="1:10" ht="24">
      <c r="A1287" s="1770" t="s">
        <v>2407</v>
      </c>
      <c r="B1287" s="1771" t="s">
        <v>7</v>
      </c>
      <c r="C1287" s="1771">
        <v>88247</v>
      </c>
      <c r="D1287" s="1772" t="s">
        <v>93</v>
      </c>
      <c r="E1287" s="1773" t="s">
        <v>387</v>
      </c>
      <c r="F1287" s="1780">
        <v>0.14499999999999999</v>
      </c>
      <c r="G1287" s="1774">
        <v>21</v>
      </c>
      <c r="H1287" s="1775">
        <f>IF(E1287="H",G1287,TRUNC(G1287*(1-$K$7),2))</f>
        <v>21</v>
      </c>
      <c r="I1287" s="1776">
        <f t="shared" si="178"/>
        <v>3.04</v>
      </c>
      <c r="J1287" s="1768"/>
    </row>
    <row r="1288" spans="1:10">
      <c r="A1288" s="1770" t="s">
        <v>2407</v>
      </c>
      <c r="B1288" s="1771" t="s">
        <v>7</v>
      </c>
      <c r="C1288" s="1771">
        <v>88264</v>
      </c>
      <c r="D1288" s="1772" t="s">
        <v>94</v>
      </c>
      <c r="E1288" s="1773" t="s">
        <v>387</v>
      </c>
      <c r="F1288" s="1780">
        <v>0.14499999999999999</v>
      </c>
      <c r="G1288" s="1774">
        <v>25.54</v>
      </c>
      <c r="H1288" s="1775">
        <f>IF(E1288="H",G1288,TRUNC(G1288*(1-$K$7),2))</f>
        <v>25.54</v>
      </c>
      <c r="I1288" s="1776">
        <f t="shared" si="178"/>
        <v>3.7</v>
      </c>
      <c r="J1288" s="1768"/>
    </row>
    <row r="1289" spans="1:10" ht="24">
      <c r="A1289" s="1770" t="s">
        <v>2407</v>
      </c>
      <c r="B1289" s="1771" t="s">
        <v>7</v>
      </c>
      <c r="C1289" s="1771">
        <v>88629</v>
      </c>
      <c r="D1289" s="1772" t="s">
        <v>2645</v>
      </c>
      <c r="E1289" s="1773" t="s">
        <v>1132</v>
      </c>
      <c r="F1289" s="1780">
        <v>8.9999999999999998E-4</v>
      </c>
      <c r="G1289" s="1774">
        <v>754.41</v>
      </c>
      <c r="H1289" s="1775">
        <f>IF(E1289="H",G1289,TRUNC(G1289*(1-$K$7),2))</f>
        <v>749.88</v>
      </c>
      <c r="I1289" s="1776">
        <f t="shared" si="178"/>
        <v>0.67</v>
      </c>
      <c r="J1289" s="1768"/>
    </row>
    <row r="1290" spans="1:10">
      <c r="A1290" s="1917" t="s">
        <v>2408</v>
      </c>
      <c r="B1290" s="1918"/>
      <c r="C1290" s="1918"/>
      <c r="D1290" s="1918"/>
      <c r="E1290" s="1918"/>
      <c r="F1290" s="1918"/>
      <c r="G1290" s="1918"/>
      <c r="H1290" s="1919"/>
      <c r="I1290" s="1778">
        <f>SUM(I1286:I1289)</f>
        <v>9.8600000000000012</v>
      </c>
      <c r="J1290" s="1768"/>
    </row>
    <row r="1291" spans="1:10">
      <c r="A1291" s="1920"/>
      <c r="B1291" s="1921"/>
      <c r="C1291" s="1921"/>
      <c r="D1291" s="1921"/>
      <c r="E1291" s="1921"/>
      <c r="F1291" s="1921"/>
      <c r="G1291" s="1921"/>
      <c r="H1291" s="1921"/>
      <c r="I1291" s="1922"/>
      <c r="J1291" s="1768"/>
    </row>
    <row r="1292" spans="1:10" ht="24.75" customHeight="1">
      <c r="A1292" s="1757">
        <f>'PLANILHA SEM DESON'!B201</f>
        <v>91940</v>
      </c>
      <c r="B1292" s="1923" t="str">
        <f>VLOOKUP(A1292,'PLANILHA SEM DESON'!$B$17:$D$1699,2,FALSE)</f>
        <v>CAIXA RETANGULAR 4" X 2" MÉDIA (1,30 M DO PISO), METÁLICA, INSTALADA EM PAREDE - FORNECIMENTO E INSTALAÇÃO. AF_12/2015</v>
      </c>
      <c r="C1292" s="1924"/>
      <c r="D1292" s="1924"/>
      <c r="E1292" s="1924"/>
      <c r="F1292" s="1924"/>
      <c r="G1292" s="1924"/>
      <c r="H1292" s="1925"/>
      <c r="I1292" s="1758" t="str">
        <f>VLOOKUP(A1292,'PLANILHA SEM DESON'!$B$17:$D$1699,3,FALSE)</f>
        <v xml:space="preserve">un </v>
      </c>
      <c r="J1292" s="1759">
        <f>I1298</f>
        <v>14.6</v>
      </c>
    </row>
    <row r="1293" spans="1:10" ht="24">
      <c r="A1293" s="1761" t="s">
        <v>2401</v>
      </c>
      <c r="B1293" s="1762" t="s">
        <v>2402</v>
      </c>
      <c r="C1293" s="1763" t="s">
        <v>2399</v>
      </c>
      <c r="D1293" s="1764" t="s">
        <v>284</v>
      </c>
      <c r="E1293" s="1763" t="s">
        <v>193</v>
      </c>
      <c r="F1293" s="1765" t="s">
        <v>2403</v>
      </c>
      <c r="G1293" s="1763" t="s">
        <v>2404</v>
      </c>
      <c r="H1293" s="1766" t="s">
        <v>2405</v>
      </c>
      <c r="I1293" s="1767" t="s">
        <v>2406</v>
      </c>
      <c r="J1293" s="1768"/>
    </row>
    <row r="1294" spans="1:10" ht="24">
      <c r="A1294" s="1770" t="s">
        <v>2407</v>
      </c>
      <c r="B1294" s="1771" t="s">
        <v>2410</v>
      </c>
      <c r="C1294" s="1771">
        <v>1872</v>
      </c>
      <c r="D1294" s="1772" t="s">
        <v>2644</v>
      </c>
      <c r="E1294" s="1773" t="s">
        <v>2432</v>
      </c>
      <c r="F1294" s="1780">
        <v>1</v>
      </c>
      <c r="G1294" s="1774">
        <v>2.4700000000000002</v>
      </c>
      <c r="H1294" s="1775">
        <f>IF(E1294="H",G1294,TRUNC(G1294*(1-$K$7),2))</f>
        <v>2.4500000000000002</v>
      </c>
      <c r="I1294" s="1776">
        <f t="shared" ref="I1294:I1297" si="179">TRUNC(H1294*F1294,2)</f>
        <v>2.4500000000000002</v>
      </c>
      <c r="J1294" s="1768"/>
    </row>
    <row r="1295" spans="1:10" ht="24">
      <c r="A1295" s="1770" t="s">
        <v>2407</v>
      </c>
      <c r="B1295" s="1771" t="s">
        <v>7</v>
      </c>
      <c r="C1295" s="1771">
        <v>88247</v>
      </c>
      <c r="D1295" s="1772" t="s">
        <v>93</v>
      </c>
      <c r="E1295" s="1773" t="s">
        <v>387</v>
      </c>
      <c r="F1295" s="1780">
        <v>0.247</v>
      </c>
      <c r="G1295" s="1774">
        <v>21</v>
      </c>
      <c r="H1295" s="1775">
        <f>IF(E1295="H",G1295,TRUNC(G1295*(1-$K$7),2))</f>
        <v>21</v>
      </c>
      <c r="I1295" s="1776">
        <f t="shared" si="179"/>
        <v>5.18</v>
      </c>
      <c r="J1295" s="1768"/>
    </row>
    <row r="1296" spans="1:10">
      <c r="A1296" s="1770" t="s">
        <v>2407</v>
      </c>
      <c r="B1296" s="1771" t="s">
        <v>7</v>
      </c>
      <c r="C1296" s="1771">
        <v>88264</v>
      </c>
      <c r="D1296" s="1772" t="s">
        <v>94</v>
      </c>
      <c r="E1296" s="1773" t="s">
        <v>387</v>
      </c>
      <c r="F1296" s="1780">
        <v>0.247</v>
      </c>
      <c r="G1296" s="1774">
        <v>25.54</v>
      </c>
      <c r="H1296" s="1775">
        <f>IF(E1296="H",G1296,TRUNC(G1296*(1-$K$7),2))</f>
        <v>25.54</v>
      </c>
      <c r="I1296" s="1776">
        <f t="shared" si="179"/>
        <v>6.3</v>
      </c>
      <c r="J1296" s="1768"/>
    </row>
    <row r="1297" spans="1:10" ht="24">
      <c r="A1297" s="1770" t="s">
        <v>2407</v>
      </c>
      <c r="B1297" s="1771" t="s">
        <v>7</v>
      </c>
      <c r="C1297" s="1771">
        <v>88629</v>
      </c>
      <c r="D1297" s="1772" t="s">
        <v>2645</v>
      </c>
      <c r="E1297" s="1773" t="s">
        <v>1132</v>
      </c>
      <c r="F1297" s="1780">
        <v>8.9999999999999998E-4</v>
      </c>
      <c r="G1297" s="1774">
        <v>754.41</v>
      </c>
      <c r="H1297" s="1775">
        <f>IF(E1297="H",G1297,TRUNC(G1297*(1-$K$7),2))</f>
        <v>749.88</v>
      </c>
      <c r="I1297" s="1776">
        <f t="shared" si="179"/>
        <v>0.67</v>
      </c>
      <c r="J1297" s="1768"/>
    </row>
    <row r="1298" spans="1:10">
      <c r="A1298" s="1917" t="s">
        <v>2408</v>
      </c>
      <c r="B1298" s="1918"/>
      <c r="C1298" s="1918"/>
      <c r="D1298" s="1918"/>
      <c r="E1298" s="1918"/>
      <c r="F1298" s="1918"/>
      <c r="G1298" s="1918"/>
      <c r="H1298" s="1919"/>
      <c r="I1298" s="1778">
        <f>SUM(I1294:I1297)</f>
        <v>14.6</v>
      </c>
      <c r="J1298" s="1768"/>
    </row>
    <row r="1299" spans="1:10">
      <c r="A1299" s="1920"/>
      <c r="B1299" s="1921"/>
      <c r="C1299" s="1921"/>
      <c r="D1299" s="1921"/>
      <c r="E1299" s="1921"/>
      <c r="F1299" s="1921"/>
      <c r="G1299" s="1921"/>
      <c r="H1299" s="1921"/>
      <c r="I1299" s="1922"/>
      <c r="J1299" s="1768"/>
    </row>
    <row r="1300" spans="1:10" ht="25.5" customHeight="1">
      <c r="A1300" s="1757">
        <f>'PLANILHA SEM DESON'!B202</f>
        <v>91939</v>
      </c>
      <c r="B1300" s="1923" t="str">
        <f>VLOOKUP(A1300,'PLANILHA SEM DESON'!$B$17:$D$1699,2,FALSE)</f>
        <v>CAIXA RETANGULAR 4" X 2" ALTA (2,00 M DO PISO), PVC, INSTALADA EM PAREDE - FORNECIMENTO E INSTALAÇÃO. AF_12/2015</v>
      </c>
      <c r="C1300" s="1924"/>
      <c r="D1300" s="1924"/>
      <c r="E1300" s="1924"/>
      <c r="F1300" s="1924"/>
      <c r="G1300" s="1924"/>
      <c r="H1300" s="1925"/>
      <c r="I1300" s="1758" t="str">
        <f>VLOOKUP(A1300,'PLANILHA SEM DESON'!$B$17:$D$1699,3,FALSE)</f>
        <v xml:space="preserve">un </v>
      </c>
      <c r="J1300" s="1759">
        <f>I1306</f>
        <v>27.26</v>
      </c>
    </row>
    <row r="1301" spans="1:10" ht="24">
      <c r="A1301" s="1761" t="s">
        <v>2401</v>
      </c>
      <c r="B1301" s="1762" t="s">
        <v>2402</v>
      </c>
      <c r="C1301" s="1763" t="s">
        <v>2399</v>
      </c>
      <c r="D1301" s="1764" t="s">
        <v>284</v>
      </c>
      <c r="E1301" s="1763" t="s">
        <v>193</v>
      </c>
      <c r="F1301" s="1765" t="s">
        <v>2403</v>
      </c>
      <c r="G1301" s="1763" t="s">
        <v>2404</v>
      </c>
      <c r="H1301" s="1766" t="s">
        <v>2405</v>
      </c>
      <c r="I1301" s="1767" t="s">
        <v>2406</v>
      </c>
      <c r="J1301" s="1768"/>
    </row>
    <row r="1302" spans="1:10" ht="24">
      <c r="A1302" s="1770" t="s">
        <v>2407</v>
      </c>
      <c r="B1302" s="1771" t="s">
        <v>2410</v>
      </c>
      <c r="C1302" s="1771">
        <v>1872</v>
      </c>
      <c r="D1302" s="1772" t="s">
        <v>2644</v>
      </c>
      <c r="E1302" s="1773" t="s">
        <v>2432</v>
      </c>
      <c r="F1302" s="1780">
        <v>1</v>
      </c>
      <c r="G1302" s="1774">
        <v>2.4700000000000002</v>
      </c>
      <c r="H1302" s="1775">
        <f>IF(E1302="H",G1302,TRUNC(G1302*(1-$K$7),2))</f>
        <v>2.4500000000000002</v>
      </c>
      <c r="I1302" s="1776">
        <f t="shared" ref="I1302:I1305" si="180">TRUNC(H1302*F1302,2)</f>
        <v>2.4500000000000002</v>
      </c>
      <c r="J1302" s="1768"/>
    </row>
    <row r="1303" spans="1:10" ht="24">
      <c r="A1303" s="1770" t="s">
        <v>2407</v>
      </c>
      <c r="B1303" s="1771" t="s">
        <v>7</v>
      </c>
      <c r="C1303" s="1771">
        <v>88247</v>
      </c>
      <c r="D1303" s="1772" t="s">
        <v>93</v>
      </c>
      <c r="E1303" s="1773" t="s">
        <v>387</v>
      </c>
      <c r="F1303" s="1780">
        <v>0.51900000000000002</v>
      </c>
      <c r="G1303" s="1774">
        <v>21</v>
      </c>
      <c r="H1303" s="1775">
        <f>IF(E1303="H",G1303,TRUNC(G1303*(1-$K$7),2))</f>
        <v>21</v>
      </c>
      <c r="I1303" s="1776">
        <f t="shared" si="180"/>
        <v>10.89</v>
      </c>
      <c r="J1303" s="1768"/>
    </row>
    <row r="1304" spans="1:10">
      <c r="A1304" s="1770" t="s">
        <v>2407</v>
      </c>
      <c r="B1304" s="1771" t="s">
        <v>7</v>
      </c>
      <c r="C1304" s="1771">
        <v>88264</v>
      </c>
      <c r="D1304" s="1772" t="s">
        <v>94</v>
      </c>
      <c r="E1304" s="1773" t="s">
        <v>387</v>
      </c>
      <c r="F1304" s="1780">
        <v>0.51900000000000002</v>
      </c>
      <c r="G1304" s="1774">
        <v>25.54</v>
      </c>
      <c r="H1304" s="1775">
        <f>IF(E1304="H",G1304,TRUNC(G1304*(1-$K$7),2))</f>
        <v>25.54</v>
      </c>
      <c r="I1304" s="1776">
        <f t="shared" si="180"/>
        <v>13.25</v>
      </c>
      <c r="J1304" s="1768"/>
    </row>
    <row r="1305" spans="1:10" ht="24">
      <c r="A1305" s="1770" t="s">
        <v>2407</v>
      </c>
      <c r="B1305" s="1771" t="s">
        <v>7</v>
      </c>
      <c r="C1305" s="1771">
        <v>88629</v>
      </c>
      <c r="D1305" s="1772" t="s">
        <v>2645</v>
      </c>
      <c r="E1305" s="1773" t="s">
        <v>1132</v>
      </c>
      <c r="F1305" s="1780">
        <v>8.9999999999999998E-4</v>
      </c>
      <c r="G1305" s="1774">
        <v>754.41</v>
      </c>
      <c r="H1305" s="1775">
        <f>IF(E1305="H",G1305,TRUNC(G1305*(1-$K$7),2))</f>
        <v>749.88</v>
      </c>
      <c r="I1305" s="1776">
        <f t="shared" si="180"/>
        <v>0.67</v>
      </c>
      <c r="J1305" s="1768"/>
    </row>
    <row r="1306" spans="1:10">
      <c r="A1306" s="1917" t="s">
        <v>2408</v>
      </c>
      <c r="B1306" s="1918"/>
      <c r="C1306" s="1918"/>
      <c r="D1306" s="1918"/>
      <c r="E1306" s="1918"/>
      <c r="F1306" s="1918"/>
      <c r="G1306" s="1918"/>
      <c r="H1306" s="1919"/>
      <c r="I1306" s="1778">
        <f>SUM(I1302:I1305)</f>
        <v>27.26</v>
      </c>
      <c r="J1306" s="1768"/>
    </row>
    <row r="1307" spans="1:10">
      <c r="A1307" s="1920"/>
      <c r="B1307" s="1921"/>
      <c r="C1307" s="1921"/>
      <c r="D1307" s="1921"/>
      <c r="E1307" s="1921"/>
      <c r="F1307" s="1921"/>
      <c r="G1307" s="1921"/>
      <c r="H1307" s="1921"/>
      <c r="I1307" s="1922"/>
      <c r="J1307" s="1768"/>
    </row>
    <row r="1308" spans="1:10" ht="24.75" customHeight="1">
      <c r="A1308" s="1757" t="str">
        <f>'PLANILHA SEM DESON'!B203</f>
        <v>COMP ELE 23</v>
      </c>
      <c r="B1308" s="1923" t="str">
        <f>VLOOKUP(A1308,'PLANILHA SEM DESON'!$B$17:$D$1699,2,FALSE)</f>
        <v>CAIXA DE PASSAGEM METÁLICA PINTADA DE EMBUTIR 300X300X120 MM - FORNECIMENTO E INSTALAÇÃO</v>
      </c>
      <c r="C1308" s="1924"/>
      <c r="D1308" s="1924"/>
      <c r="E1308" s="1924"/>
      <c r="F1308" s="1924"/>
      <c r="G1308" s="1924"/>
      <c r="H1308" s="1925"/>
      <c r="I1308" s="1758" t="str">
        <f>VLOOKUP(A1308,'PLANILHA SEM DESON'!$B$17:$D$1699,3,FALSE)</f>
        <v xml:space="preserve">un </v>
      </c>
      <c r="J1308" s="1759">
        <f>I1313</f>
        <v>98.240000000000009</v>
      </c>
    </row>
    <row r="1309" spans="1:10" ht="24">
      <c r="A1309" s="1761" t="s">
        <v>2401</v>
      </c>
      <c r="B1309" s="1762" t="s">
        <v>2402</v>
      </c>
      <c r="C1309" s="1763" t="s">
        <v>2399</v>
      </c>
      <c r="D1309" s="1764" t="s">
        <v>284</v>
      </c>
      <c r="E1309" s="1763" t="s">
        <v>193</v>
      </c>
      <c r="F1309" s="1765" t="s">
        <v>2403</v>
      </c>
      <c r="G1309" s="1763" t="s">
        <v>2404</v>
      </c>
      <c r="H1309" s="1766" t="s">
        <v>2405</v>
      </c>
      <c r="I1309" s="1767" t="s">
        <v>2406</v>
      </c>
      <c r="J1309" s="1768"/>
    </row>
    <row r="1310" spans="1:10">
      <c r="A1310" s="1770"/>
      <c r="B1310" s="1771"/>
      <c r="C1310" s="1771">
        <v>88264</v>
      </c>
      <c r="D1310" s="1772" t="s">
        <v>94</v>
      </c>
      <c r="E1310" s="1773" t="s">
        <v>57</v>
      </c>
      <c r="F1310" s="1784">
        <v>0.34599999999999997</v>
      </c>
      <c r="G1310" s="1779">
        <v>25.54</v>
      </c>
      <c r="H1310" s="1775">
        <f>IF(E1310="H",G1310,TRUNC(G1310*(1-$K$7),2))</f>
        <v>25.54</v>
      </c>
      <c r="I1310" s="1776">
        <f t="shared" ref="I1310:I1312" si="181">TRUNC(H1310*F1310,2)</f>
        <v>8.83</v>
      </c>
      <c r="J1310" s="1768"/>
    </row>
    <row r="1311" spans="1:10" ht="24">
      <c r="A1311" s="1770"/>
      <c r="B1311" s="1771"/>
      <c r="C1311" s="1771">
        <v>88247</v>
      </c>
      <c r="D1311" s="1772" t="s">
        <v>93</v>
      </c>
      <c r="E1311" s="1773" t="s">
        <v>57</v>
      </c>
      <c r="F1311" s="1784">
        <v>0.34599999999999997</v>
      </c>
      <c r="G1311" s="1779">
        <v>21</v>
      </c>
      <c r="H1311" s="1775">
        <f>IF(E1311="H",G1311,TRUNC(G1311*(1-$K$7),2))</f>
        <v>21</v>
      </c>
      <c r="I1311" s="1776">
        <f t="shared" si="181"/>
        <v>7.26</v>
      </c>
      <c r="J1311" s="1768"/>
    </row>
    <row r="1312" spans="1:10" ht="24">
      <c r="A1312" s="1770"/>
      <c r="B1312" s="1771"/>
      <c r="C1312" s="1771">
        <v>39772</v>
      </c>
      <c r="D1312" s="1772" t="s">
        <v>1547</v>
      </c>
      <c r="E1312" s="1773" t="s">
        <v>55</v>
      </c>
      <c r="F1312" s="1784">
        <v>1</v>
      </c>
      <c r="G1312" s="1779">
        <v>82.65</v>
      </c>
      <c r="H1312" s="1775">
        <f>IF(E1312="H",G1312,TRUNC(G1312*(1-$K$7),2))</f>
        <v>82.15</v>
      </c>
      <c r="I1312" s="1776">
        <f t="shared" si="181"/>
        <v>82.15</v>
      </c>
      <c r="J1312" s="1768"/>
    </row>
    <row r="1313" spans="1:10">
      <c r="A1313" s="1917" t="s">
        <v>2408</v>
      </c>
      <c r="B1313" s="1918"/>
      <c r="C1313" s="1918"/>
      <c r="D1313" s="1918"/>
      <c r="E1313" s="1918"/>
      <c r="F1313" s="1918"/>
      <c r="G1313" s="1918"/>
      <c r="H1313" s="1919"/>
      <c r="I1313" s="1778">
        <f>SUM(I1310:I1312)</f>
        <v>98.240000000000009</v>
      </c>
      <c r="J1313" s="1768"/>
    </row>
    <row r="1314" spans="1:10">
      <c r="A1314" s="1920"/>
      <c r="B1314" s="1921"/>
      <c r="C1314" s="1921"/>
      <c r="D1314" s="1921"/>
      <c r="E1314" s="1921"/>
      <c r="F1314" s="1921"/>
      <c r="G1314" s="1921"/>
      <c r="H1314" s="1921"/>
      <c r="I1314" s="1922"/>
      <c r="J1314" s="1768"/>
    </row>
    <row r="1315" spans="1:10" ht="24.75" customHeight="1">
      <c r="A1315" s="1757" t="str">
        <f>'PLANILHA SEM DESON'!B204</f>
        <v>COMP ELE 15</v>
      </c>
      <c r="B1315" s="1923" t="str">
        <f>VLOOKUP(A1315,'PLANILHA SEM DESON'!$B$17:$D$1699,2,FALSE)</f>
        <v>CAIXA DE PASSAGEM METÁLICA PINTADA DE EMBUTIR 400X400X150 MM - FORNECIMENTO E INSTALAÇÃO</v>
      </c>
      <c r="C1315" s="1924"/>
      <c r="D1315" s="1924"/>
      <c r="E1315" s="1924"/>
      <c r="F1315" s="1924"/>
      <c r="G1315" s="1924"/>
      <c r="H1315" s="1925"/>
      <c r="I1315" s="1758" t="str">
        <f>VLOOKUP(A1315,'PLANILHA SEM DESON'!$B$17:$D$1699,3,FALSE)</f>
        <v xml:space="preserve">un </v>
      </c>
      <c r="J1315" s="1759">
        <f>I1320</f>
        <v>148.14000000000001</v>
      </c>
    </row>
    <row r="1316" spans="1:10" ht="24">
      <c r="A1316" s="1761" t="s">
        <v>2401</v>
      </c>
      <c r="B1316" s="1762" t="s">
        <v>2402</v>
      </c>
      <c r="C1316" s="1763" t="s">
        <v>2399</v>
      </c>
      <c r="D1316" s="1764" t="s">
        <v>284</v>
      </c>
      <c r="E1316" s="1763" t="s">
        <v>193</v>
      </c>
      <c r="F1316" s="1765" t="s">
        <v>2403</v>
      </c>
      <c r="G1316" s="1763" t="s">
        <v>2404</v>
      </c>
      <c r="H1316" s="1766" t="s">
        <v>2405</v>
      </c>
      <c r="I1316" s="1767" t="s">
        <v>2406</v>
      </c>
      <c r="J1316" s="1768"/>
    </row>
    <row r="1317" spans="1:10">
      <c r="A1317" s="1770"/>
      <c r="B1317" s="1771"/>
      <c r="C1317" s="1771">
        <v>88264</v>
      </c>
      <c r="D1317" s="1772" t="s">
        <v>94</v>
      </c>
      <c r="E1317" s="1773" t="s">
        <v>57</v>
      </c>
      <c r="F1317" s="1784">
        <v>0.34599999999999997</v>
      </c>
      <c r="G1317" s="1779">
        <v>25.54</v>
      </c>
      <c r="H1317" s="1775">
        <f>IF(E1317="H",G1317,TRUNC(G1317*(1-$K$7),2))</f>
        <v>25.54</v>
      </c>
      <c r="I1317" s="1776">
        <f t="shared" ref="I1317:I1319" si="182">TRUNC(H1317*F1317,2)</f>
        <v>8.83</v>
      </c>
      <c r="J1317" s="1768"/>
    </row>
    <row r="1318" spans="1:10" ht="24">
      <c r="A1318" s="1770"/>
      <c r="B1318" s="1771"/>
      <c r="C1318" s="1771">
        <v>88247</v>
      </c>
      <c r="D1318" s="1772" t="s">
        <v>93</v>
      </c>
      <c r="E1318" s="1773" t="s">
        <v>57</v>
      </c>
      <c r="F1318" s="1784">
        <v>0.34599999999999997</v>
      </c>
      <c r="G1318" s="1779">
        <v>21</v>
      </c>
      <c r="H1318" s="1775">
        <f>IF(E1318="H",G1318,TRUNC(G1318*(1-$K$7),2))</f>
        <v>21</v>
      </c>
      <c r="I1318" s="1776">
        <f t="shared" si="182"/>
        <v>7.26</v>
      </c>
      <c r="J1318" s="1768"/>
    </row>
    <row r="1319" spans="1:10" ht="24">
      <c r="A1319" s="1770"/>
      <c r="B1319" s="1771"/>
      <c r="C1319" s="1771">
        <v>39773</v>
      </c>
      <c r="D1319" s="1772" t="s">
        <v>1496</v>
      </c>
      <c r="E1319" s="1773" t="s">
        <v>55</v>
      </c>
      <c r="F1319" s="1784">
        <v>1</v>
      </c>
      <c r="G1319" s="1779">
        <v>132.85</v>
      </c>
      <c r="H1319" s="1775">
        <f>IF(E1319="H",G1319,TRUNC(G1319*(1-$K$7),2))</f>
        <v>132.05000000000001</v>
      </c>
      <c r="I1319" s="1776">
        <f t="shared" si="182"/>
        <v>132.05000000000001</v>
      </c>
      <c r="J1319" s="1768"/>
    </row>
    <row r="1320" spans="1:10">
      <c r="A1320" s="1917" t="s">
        <v>2408</v>
      </c>
      <c r="B1320" s="1918"/>
      <c r="C1320" s="1918"/>
      <c r="D1320" s="1918"/>
      <c r="E1320" s="1918"/>
      <c r="F1320" s="1918"/>
      <c r="G1320" s="1918"/>
      <c r="H1320" s="1919"/>
      <c r="I1320" s="1778">
        <f>SUM(I1317:I1319)</f>
        <v>148.14000000000001</v>
      </c>
      <c r="J1320" s="1768"/>
    </row>
    <row r="1321" spans="1:10">
      <c r="A1321" s="1920"/>
      <c r="B1321" s="1921"/>
      <c r="C1321" s="1921"/>
      <c r="D1321" s="1921"/>
      <c r="E1321" s="1921"/>
      <c r="F1321" s="1921"/>
      <c r="G1321" s="1921"/>
      <c r="H1321" s="1921"/>
      <c r="I1321" s="1922"/>
      <c r="J1321" s="1768"/>
    </row>
    <row r="1322" spans="1:10" ht="24.75" customHeight="1">
      <c r="A1322" s="1757" t="str">
        <f>'PLANILHA SEM DESON'!B205</f>
        <v>COMP ELE 25</v>
      </c>
      <c r="B1322" s="1923" t="str">
        <f>VLOOKUP(A1322,'PLANILHA SEM DESON'!$B$17:$D$1699,2,FALSE)</f>
        <v>DISPOSITIVO DE PROTEÇÃO CONTRA SURTO (DPS) 175V - 10 KA</v>
      </c>
      <c r="C1322" s="1924"/>
      <c r="D1322" s="1924"/>
      <c r="E1322" s="1924"/>
      <c r="F1322" s="1924"/>
      <c r="G1322" s="1924"/>
      <c r="H1322" s="1925"/>
      <c r="I1322" s="1758" t="str">
        <f>VLOOKUP(A1322,'PLANILHA SEM DESON'!$B$17:$D$1699,3,FALSE)</f>
        <v xml:space="preserve">un </v>
      </c>
      <c r="J1322" s="1759">
        <f>I1327</f>
        <v>88.550000000000011</v>
      </c>
    </row>
    <row r="1323" spans="1:10" ht="24">
      <c r="A1323" s="1761" t="s">
        <v>2401</v>
      </c>
      <c r="B1323" s="1762" t="s">
        <v>2402</v>
      </c>
      <c r="C1323" s="1763" t="s">
        <v>2399</v>
      </c>
      <c r="D1323" s="1764" t="s">
        <v>284</v>
      </c>
      <c r="E1323" s="1763" t="s">
        <v>193</v>
      </c>
      <c r="F1323" s="1765" t="s">
        <v>2403</v>
      </c>
      <c r="G1323" s="1763" t="s">
        <v>2404</v>
      </c>
      <c r="H1323" s="1766" t="s">
        <v>2405</v>
      </c>
      <c r="I1323" s="1767" t="s">
        <v>2406</v>
      </c>
      <c r="J1323" s="1768"/>
    </row>
    <row r="1324" spans="1:10">
      <c r="A1324" s="1770"/>
      <c r="B1324" s="1771"/>
      <c r="C1324" s="1771">
        <v>88264</v>
      </c>
      <c r="D1324" s="1772" t="s">
        <v>94</v>
      </c>
      <c r="E1324" s="1773" t="s">
        <v>57</v>
      </c>
      <c r="F1324" s="1784">
        <v>0.3</v>
      </c>
      <c r="G1324" s="1779">
        <v>25.54</v>
      </c>
      <c r="H1324" s="1775">
        <f>IF(E1324="H",G1324,TRUNC(G1324*(1-$K$7),2))</f>
        <v>25.54</v>
      </c>
      <c r="I1324" s="1776">
        <f t="shared" ref="I1324:I1326" si="183">TRUNC(H1324*F1324,2)</f>
        <v>7.66</v>
      </c>
      <c r="J1324" s="1768"/>
    </row>
    <row r="1325" spans="1:10" ht="24">
      <c r="A1325" s="1770"/>
      <c r="B1325" s="1771"/>
      <c r="C1325" s="1771">
        <v>88247</v>
      </c>
      <c r="D1325" s="1772" t="s">
        <v>93</v>
      </c>
      <c r="E1325" s="1773" t="s">
        <v>57</v>
      </c>
      <c r="F1325" s="1784">
        <v>0.3</v>
      </c>
      <c r="G1325" s="1779">
        <v>21</v>
      </c>
      <c r="H1325" s="1775">
        <f>IF(E1325="H",G1325,TRUNC(G1325*(1-$K$7),2))</f>
        <v>21</v>
      </c>
      <c r="I1325" s="1776">
        <f t="shared" si="183"/>
        <v>6.3</v>
      </c>
      <c r="J1325" s="1768"/>
    </row>
    <row r="1326" spans="1:10" ht="24">
      <c r="A1326" s="1770"/>
      <c r="B1326" s="1771"/>
      <c r="C1326" s="1771">
        <v>39465</v>
      </c>
      <c r="D1326" s="1772" t="s">
        <v>1556</v>
      </c>
      <c r="E1326" s="1773" t="s">
        <v>55</v>
      </c>
      <c r="F1326" s="1784">
        <v>1</v>
      </c>
      <c r="G1326" s="1779">
        <v>75.05</v>
      </c>
      <c r="H1326" s="1775">
        <f>IF(E1326="H",G1326,TRUNC(G1326*(1-$K$7),2))</f>
        <v>74.59</v>
      </c>
      <c r="I1326" s="1776">
        <f t="shared" si="183"/>
        <v>74.59</v>
      </c>
      <c r="J1326" s="1768"/>
    </row>
    <row r="1327" spans="1:10">
      <c r="A1327" s="1917" t="s">
        <v>2408</v>
      </c>
      <c r="B1327" s="1918"/>
      <c r="C1327" s="1918"/>
      <c r="D1327" s="1918"/>
      <c r="E1327" s="1918"/>
      <c r="F1327" s="1918"/>
      <c r="G1327" s="1918"/>
      <c r="H1327" s="1919"/>
      <c r="I1327" s="1778">
        <f>SUM(I1324:I1326)</f>
        <v>88.550000000000011</v>
      </c>
      <c r="J1327" s="1768"/>
    </row>
    <row r="1328" spans="1:10">
      <c r="A1328" s="1920"/>
      <c r="B1328" s="1921"/>
      <c r="C1328" s="1921"/>
      <c r="D1328" s="1921"/>
      <c r="E1328" s="1921"/>
      <c r="F1328" s="1921"/>
      <c r="G1328" s="1921"/>
      <c r="H1328" s="1921"/>
      <c r="I1328" s="1922"/>
      <c r="J1328" s="1768"/>
    </row>
    <row r="1329" spans="1:10" ht="24.75" customHeight="1">
      <c r="A1329" s="1757" t="str">
        <f>'PLANILHA SEM DESON'!B206</f>
        <v>COMP ELE 11</v>
      </c>
      <c r="B1329" s="1923" t="str">
        <f>VLOOKUP(A1329,'PLANILHA SEM DESON'!$B$17:$D$1699,2,FALSE)</f>
        <v>ABRAÇADEIRA METÁLICA TIPO "D" COM CUNHA DN 3/4"</v>
      </c>
      <c r="C1329" s="1924"/>
      <c r="D1329" s="1924"/>
      <c r="E1329" s="1924"/>
      <c r="F1329" s="1924"/>
      <c r="G1329" s="1924"/>
      <c r="H1329" s="1925"/>
      <c r="I1329" s="1758" t="str">
        <f>VLOOKUP(A1329,'PLANILHA SEM DESON'!$B$17:$D$1699,3,FALSE)</f>
        <v xml:space="preserve">un </v>
      </c>
      <c r="J1329" s="1759">
        <f>I1334</f>
        <v>4.18</v>
      </c>
    </row>
    <row r="1330" spans="1:10" ht="24">
      <c r="A1330" s="1761" t="s">
        <v>2401</v>
      </c>
      <c r="B1330" s="1762" t="s">
        <v>2402</v>
      </c>
      <c r="C1330" s="1763" t="s">
        <v>2399</v>
      </c>
      <c r="D1330" s="1764" t="s">
        <v>284</v>
      </c>
      <c r="E1330" s="1763" t="s">
        <v>193</v>
      </c>
      <c r="F1330" s="1765" t="s">
        <v>2403</v>
      </c>
      <c r="G1330" s="1763" t="s">
        <v>2404</v>
      </c>
      <c r="H1330" s="1766" t="s">
        <v>2405</v>
      </c>
      <c r="I1330" s="1767" t="s">
        <v>2406</v>
      </c>
      <c r="J1330" s="1768"/>
    </row>
    <row r="1331" spans="1:10">
      <c r="A1331" s="1770"/>
      <c r="B1331" s="1771"/>
      <c r="C1331" s="1771">
        <v>88264</v>
      </c>
      <c r="D1331" s="1772" t="s">
        <v>94</v>
      </c>
      <c r="E1331" s="1773" t="s">
        <v>57</v>
      </c>
      <c r="F1331" s="1784">
        <v>0.05</v>
      </c>
      <c r="G1331" s="1779">
        <v>25.54</v>
      </c>
      <c r="H1331" s="1775">
        <f>IF(E1331="H",G1331,TRUNC(G1331*(1-$K$7),2))</f>
        <v>25.54</v>
      </c>
      <c r="I1331" s="1776">
        <f t="shared" ref="I1331:I1333" si="184">TRUNC(H1331*F1331,2)</f>
        <v>1.27</v>
      </c>
      <c r="J1331" s="1768"/>
    </row>
    <row r="1332" spans="1:10" ht="24">
      <c r="A1332" s="1770"/>
      <c r="B1332" s="1771"/>
      <c r="C1332" s="1771">
        <v>88247</v>
      </c>
      <c r="D1332" s="1772" t="s">
        <v>93</v>
      </c>
      <c r="E1332" s="1773" t="s">
        <v>57</v>
      </c>
      <c r="F1332" s="1784">
        <v>2.5000000000000001E-2</v>
      </c>
      <c r="G1332" s="1779">
        <v>21</v>
      </c>
      <c r="H1332" s="1775">
        <f>IF(E1332="H",G1332,TRUNC(G1332*(1-$K$7),2))</f>
        <v>21</v>
      </c>
      <c r="I1332" s="1776">
        <f t="shared" si="184"/>
        <v>0.52</v>
      </c>
      <c r="J1332" s="1768"/>
    </row>
    <row r="1333" spans="1:10" ht="24">
      <c r="A1333" s="1770"/>
      <c r="B1333" s="1771"/>
      <c r="C1333" s="1771">
        <v>39128</v>
      </c>
      <c r="D1333" s="1772" t="s">
        <v>1563</v>
      </c>
      <c r="E1333" s="1773" t="s">
        <v>55</v>
      </c>
      <c r="F1333" s="1784">
        <v>1</v>
      </c>
      <c r="G1333" s="1779">
        <v>2.41</v>
      </c>
      <c r="H1333" s="1775">
        <f>IF(E1333="H",G1333,TRUNC(G1333*(1-$K$7),2))</f>
        <v>2.39</v>
      </c>
      <c r="I1333" s="1776">
        <f t="shared" si="184"/>
        <v>2.39</v>
      </c>
      <c r="J1333" s="1768"/>
    </row>
    <row r="1334" spans="1:10">
      <c r="A1334" s="1917" t="s">
        <v>2408</v>
      </c>
      <c r="B1334" s="1918"/>
      <c r="C1334" s="1918"/>
      <c r="D1334" s="1918"/>
      <c r="E1334" s="1918"/>
      <c r="F1334" s="1918"/>
      <c r="G1334" s="1918"/>
      <c r="H1334" s="1919"/>
      <c r="I1334" s="1778">
        <f>SUM(I1331:I1333)</f>
        <v>4.18</v>
      </c>
      <c r="J1334" s="1768"/>
    </row>
    <row r="1335" spans="1:10">
      <c r="A1335" s="1920"/>
      <c r="B1335" s="1921"/>
      <c r="C1335" s="1921"/>
      <c r="D1335" s="1921"/>
      <c r="E1335" s="1921"/>
      <c r="F1335" s="1921"/>
      <c r="G1335" s="1921"/>
      <c r="H1335" s="1921"/>
      <c r="I1335" s="1922"/>
      <c r="J1335" s="1768"/>
    </row>
    <row r="1336" spans="1:10" ht="24.75" customHeight="1">
      <c r="A1336" s="1757" t="str">
        <f>'PLANILHA SEM DESON'!B207</f>
        <v>COMP ELE 27</v>
      </c>
      <c r="B1336" s="1923" t="str">
        <f>VLOOKUP(A1336,'PLANILHA SEM DESON'!$B$17:$D$1699,2,FALSE)</f>
        <v>ABRAÇADEIRA METÁLICA TIPO "D" COM UNHA DN 3/4"</v>
      </c>
      <c r="C1336" s="1924"/>
      <c r="D1336" s="1924"/>
      <c r="E1336" s="1924"/>
      <c r="F1336" s="1924"/>
      <c r="G1336" s="1924"/>
      <c r="H1336" s="1925"/>
      <c r="I1336" s="1758" t="str">
        <f>VLOOKUP(A1336,'PLANILHA SEM DESON'!$B$17:$D$1699,3,FALSE)</f>
        <v xml:space="preserve">un </v>
      </c>
      <c r="J1336" s="1759">
        <f>I1341</f>
        <v>3.98</v>
      </c>
    </row>
    <row r="1337" spans="1:10" ht="24">
      <c r="A1337" s="1761" t="s">
        <v>2401</v>
      </c>
      <c r="B1337" s="1762" t="s">
        <v>2402</v>
      </c>
      <c r="C1337" s="1763" t="s">
        <v>2399</v>
      </c>
      <c r="D1337" s="1764" t="s">
        <v>284</v>
      </c>
      <c r="E1337" s="1763" t="s">
        <v>193</v>
      </c>
      <c r="F1337" s="1765" t="s">
        <v>2403</v>
      </c>
      <c r="G1337" s="1763" t="s">
        <v>2404</v>
      </c>
      <c r="H1337" s="1766" t="s">
        <v>2405</v>
      </c>
      <c r="I1337" s="1767" t="s">
        <v>2406</v>
      </c>
      <c r="J1337" s="1768"/>
    </row>
    <row r="1338" spans="1:10">
      <c r="A1338" s="1770"/>
      <c r="B1338" s="1771"/>
      <c r="C1338" s="1771">
        <v>88264</v>
      </c>
      <c r="D1338" s="1772" t="s">
        <v>94</v>
      </c>
      <c r="E1338" s="1773" t="s">
        <v>57</v>
      </c>
      <c r="F1338" s="1784">
        <v>0.05</v>
      </c>
      <c r="G1338" s="1779">
        <v>25.54</v>
      </c>
      <c r="H1338" s="1775">
        <f>IF(E1338="H",G1338,TRUNC(G1338*(1-$K$7),2))</f>
        <v>25.54</v>
      </c>
      <c r="I1338" s="1776">
        <f t="shared" ref="I1338:I1340" si="185">TRUNC(H1338*F1338,2)</f>
        <v>1.27</v>
      </c>
      <c r="J1338" s="1768"/>
    </row>
    <row r="1339" spans="1:10" ht="24">
      <c r="A1339" s="1770"/>
      <c r="B1339" s="1771"/>
      <c r="C1339" s="1771">
        <v>88247</v>
      </c>
      <c r="D1339" s="1772" t="s">
        <v>93</v>
      </c>
      <c r="E1339" s="1773" t="s">
        <v>57</v>
      </c>
      <c r="F1339" s="1784">
        <v>2.5000000000000001E-2</v>
      </c>
      <c r="G1339" s="1779">
        <v>21</v>
      </c>
      <c r="H1339" s="1775">
        <f>IF(E1339="H",G1339,TRUNC(G1339*(1-$K$7),2))</f>
        <v>21</v>
      </c>
      <c r="I1339" s="1776">
        <f t="shared" si="185"/>
        <v>0.52</v>
      </c>
      <c r="J1339" s="1768"/>
    </row>
    <row r="1340" spans="1:10" ht="24">
      <c r="A1340" s="1770"/>
      <c r="B1340" s="1771"/>
      <c r="C1340" s="1771" t="s">
        <v>65</v>
      </c>
      <c r="D1340" s="1772" t="s">
        <v>2072</v>
      </c>
      <c r="E1340" s="1773" t="s">
        <v>55</v>
      </c>
      <c r="F1340" s="1784">
        <v>1</v>
      </c>
      <c r="G1340" s="1779">
        <v>2.21</v>
      </c>
      <c r="H1340" s="1775">
        <f>IF(E1340="H",G1340,TRUNC(G1340*(1-$K$7),2))</f>
        <v>2.19</v>
      </c>
      <c r="I1340" s="1776">
        <f t="shared" si="185"/>
        <v>2.19</v>
      </c>
      <c r="J1340" s="1768"/>
    </row>
    <row r="1341" spans="1:10">
      <c r="A1341" s="1917" t="s">
        <v>2408</v>
      </c>
      <c r="B1341" s="1918"/>
      <c r="C1341" s="1918"/>
      <c r="D1341" s="1918"/>
      <c r="E1341" s="1918"/>
      <c r="F1341" s="1918"/>
      <c r="G1341" s="1918"/>
      <c r="H1341" s="1919"/>
      <c r="I1341" s="1778">
        <f>SUM(I1338:I1340)</f>
        <v>3.98</v>
      </c>
      <c r="J1341" s="1768"/>
    </row>
    <row r="1342" spans="1:10">
      <c r="A1342" s="1920"/>
      <c r="B1342" s="1921"/>
      <c r="C1342" s="1921"/>
      <c r="D1342" s="1921"/>
      <c r="E1342" s="1921"/>
      <c r="F1342" s="1921"/>
      <c r="G1342" s="1921"/>
      <c r="H1342" s="1921"/>
      <c r="I1342" s="1922"/>
      <c r="J1342" s="1768"/>
    </row>
    <row r="1343" spans="1:10" ht="24.75" customHeight="1">
      <c r="A1343" s="1757">
        <f>'PLANILHA SEM DESON'!B208</f>
        <v>95727</v>
      </c>
      <c r="B1343" s="1923" t="str">
        <f>VLOOKUP(A1343,'PLANILHA SEM DESON'!$B$17:$D$1699,2,FALSE)</f>
        <v>ELETRODUTO RÍGIDO SOLDÁVEL, PVC, DN 25 MM (3/4), APARENTE, INSTALADO EM TETO - FORNECIMENTO E INSTALAÇÃO. AF_11/2016</v>
      </c>
      <c r="C1343" s="1924"/>
      <c r="D1343" s="1924"/>
      <c r="E1343" s="1924"/>
      <c r="F1343" s="1924"/>
      <c r="G1343" s="1924"/>
      <c r="H1343" s="1925"/>
      <c r="I1343" s="1758" t="str">
        <f>VLOOKUP(A1343,'PLANILHA SEM DESON'!$B$17:$D$1699,3,FALSE)</f>
        <v>m</v>
      </c>
      <c r="J1343" s="1759">
        <f>I1349</f>
        <v>11.959999999999999</v>
      </c>
    </row>
    <row r="1344" spans="1:10" ht="24">
      <c r="A1344" s="1761" t="s">
        <v>2401</v>
      </c>
      <c r="B1344" s="1762" t="s">
        <v>2402</v>
      </c>
      <c r="C1344" s="1763" t="s">
        <v>2399</v>
      </c>
      <c r="D1344" s="1764" t="s">
        <v>284</v>
      </c>
      <c r="E1344" s="1763" t="s">
        <v>193</v>
      </c>
      <c r="F1344" s="1765" t="s">
        <v>2403</v>
      </c>
      <c r="G1344" s="1763" t="s">
        <v>2404</v>
      </c>
      <c r="H1344" s="1766" t="s">
        <v>2405</v>
      </c>
      <c r="I1344" s="1767" t="s">
        <v>2406</v>
      </c>
      <c r="J1344" s="1768"/>
    </row>
    <row r="1345" spans="1:10" ht="24">
      <c r="A1345" s="1770" t="s">
        <v>2407</v>
      </c>
      <c r="B1345" s="1771" t="s">
        <v>2410</v>
      </c>
      <c r="C1345" s="1771">
        <v>2678</v>
      </c>
      <c r="D1345" s="1772" t="s">
        <v>2646</v>
      </c>
      <c r="E1345" s="1773" t="s">
        <v>158</v>
      </c>
      <c r="F1345" s="1780">
        <v>1.0538000000000001</v>
      </c>
      <c r="G1345" s="1774">
        <v>2.83</v>
      </c>
      <c r="H1345" s="1775">
        <f>IF(E1345="H",G1345,TRUNC(G1345*(1-$K$7),2))</f>
        <v>2.81</v>
      </c>
      <c r="I1345" s="1776">
        <f t="shared" ref="I1345:I1348" si="186">TRUNC(H1345*F1345,2)</f>
        <v>2.96</v>
      </c>
      <c r="J1345" s="1768"/>
    </row>
    <row r="1346" spans="1:10" ht="24">
      <c r="A1346" s="1770" t="s">
        <v>2407</v>
      </c>
      <c r="B1346" s="1771" t="s">
        <v>7</v>
      </c>
      <c r="C1346" s="1771">
        <v>88247</v>
      </c>
      <c r="D1346" s="1772" t="s">
        <v>93</v>
      </c>
      <c r="E1346" s="1773" t="s">
        <v>387</v>
      </c>
      <c r="F1346" s="1780">
        <v>0.122</v>
      </c>
      <c r="G1346" s="1774">
        <v>21</v>
      </c>
      <c r="H1346" s="1775">
        <f>IF(E1346="H",G1346,TRUNC(G1346*(1-$K$7),2))</f>
        <v>21</v>
      </c>
      <c r="I1346" s="1776">
        <f t="shared" si="186"/>
        <v>2.56</v>
      </c>
      <c r="J1346" s="1768"/>
    </row>
    <row r="1347" spans="1:10">
      <c r="A1347" s="1770" t="s">
        <v>2407</v>
      </c>
      <c r="B1347" s="1771" t="s">
        <v>7</v>
      </c>
      <c r="C1347" s="1771">
        <v>88264</v>
      </c>
      <c r="D1347" s="1772" t="s">
        <v>94</v>
      </c>
      <c r="E1347" s="1773" t="s">
        <v>387</v>
      </c>
      <c r="F1347" s="1780">
        <v>0.122</v>
      </c>
      <c r="G1347" s="1774">
        <v>25.54</v>
      </c>
      <c r="H1347" s="1775">
        <f>IF(E1347="H",G1347,TRUNC(G1347*(1-$K$7),2))</f>
        <v>25.54</v>
      </c>
      <c r="I1347" s="1776">
        <f t="shared" si="186"/>
        <v>3.11</v>
      </c>
      <c r="J1347" s="1768"/>
    </row>
    <row r="1348" spans="1:10" ht="60">
      <c r="A1348" s="1770" t="s">
        <v>2407</v>
      </c>
      <c r="B1348" s="1771" t="s">
        <v>7</v>
      </c>
      <c r="C1348" s="1771">
        <v>91170</v>
      </c>
      <c r="D1348" s="1772" t="s">
        <v>2462</v>
      </c>
      <c r="E1348" s="1773" t="s">
        <v>158</v>
      </c>
      <c r="F1348" s="1780">
        <v>1</v>
      </c>
      <c r="G1348" s="1774">
        <v>3.36</v>
      </c>
      <c r="H1348" s="1775">
        <f>IF(E1348="H",G1348,TRUNC(G1348*(1-$K$7),2))</f>
        <v>3.33</v>
      </c>
      <c r="I1348" s="1776">
        <f t="shared" si="186"/>
        <v>3.33</v>
      </c>
      <c r="J1348" s="1768"/>
    </row>
    <row r="1349" spans="1:10">
      <c r="A1349" s="1917" t="s">
        <v>2408</v>
      </c>
      <c r="B1349" s="1918"/>
      <c r="C1349" s="1918"/>
      <c r="D1349" s="1918"/>
      <c r="E1349" s="1918"/>
      <c r="F1349" s="1918"/>
      <c r="G1349" s="1918"/>
      <c r="H1349" s="1919"/>
      <c r="I1349" s="1778">
        <f>SUM(I1345:I1348)</f>
        <v>11.959999999999999</v>
      </c>
      <c r="J1349" s="1768"/>
    </row>
    <row r="1350" spans="1:10">
      <c r="A1350" s="1920"/>
      <c r="B1350" s="1921"/>
      <c r="C1350" s="1921"/>
      <c r="D1350" s="1921"/>
      <c r="E1350" s="1921"/>
      <c r="F1350" s="1921"/>
      <c r="G1350" s="1921"/>
      <c r="H1350" s="1921"/>
      <c r="I1350" s="1922"/>
      <c r="J1350" s="1768"/>
    </row>
    <row r="1351" spans="1:10" ht="24.75" customHeight="1">
      <c r="A1351" s="1757">
        <f>'PLANILHA SEM DESON'!B209</f>
        <v>91846</v>
      </c>
      <c r="B1351" s="1923" t="str">
        <f>VLOOKUP(A1351,'PLANILHA SEM DESON'!$B$17:$D$1699,2,FALSE)</f>
        <v>ELETRODUTO FLEXÍVEL CORRUGADO, PVC, DN 32 MM (1"), PARA CIRCUITOS TERMINAIS, INSTALADO EM LAJE - FORNECIMENTO E INSTALAÇÃO. AF_12/2015</v>
      </c>
      <c r="C1351" s="1924"/>
      <c r="D1351" s="1924"/>
      <c r="E1351" s="1924"/>
      <c r="F1351" s="1924"/>
      <c r="G1351" s="1924"/>
      <c r="H1351" s="1925"/>
      <c r="I1351" s="1758" t="str">
        <f>VLOOKUP(A1351,'PLANILHA SEM DESON'!$B$17:$D$1699,3,FALSE)</f>
        <v>m</v>
      </c>
      <c r="J1351" s="1759">
        <f>I1357</f>
        <v>9.77</v>
      </c>
    </row>
    <row r="1352" spans="1:10" ht="24">
      <c r="A1352" s="1761" t="s">
        <v>2401</v>
      </c>
      <c r="B1352" s="1762" t="s">
        <v>2402</v>
      </c>
      <c r="C1352" s="1763" t="s">
        <v>2399</v>
      </c>
      <c r="D1352" s="1764" t="s">
        <v>284</v>
      </c>
      <c r="E1352" s="1763" t="s">
        <v>193</v>
      </c>
      <c r="F1352" s="1765" t="s">
        <v>2403</v>
      </c>
      <c r="G1352" s="1763" t="s">
        <v>2404</v>
      </c>
      <c r="H1352" s="1766" t="s">
        <v>2405</v>
      </c>
      <c r="I1352" s="1767" t="s">
        <v>2406</v>
      </c>
      <c r="J1352" s="1768"/>
    </row>
    <row r="1353" spans="1:10" ht="24">
      <c r="A1353" s="1770" t="s">
        <v>2407</v>
      </c>
      <c r="B1353" s="1771" t="s">
        <v>2410</v>
      </c>
      <c r="C1353" s="1771">
        <v>2690</v>
      </c>
      <c r="D1353" s="1772" t="s">
        <v>2647</v>
      </c>
      <c r="E1353" s="1773" t="s">
        <v>158</v>
      </c>
      <c r="F1353" s="1780">
        <v>1.1000000000000001</v>
      </c>
      <c r="G1353" s="1774">
        <v>4.3600000000000003</v>
      </c>
      <c r="H1353" s="1775">
        <f>IF(E1353="H",G1353,TRUNC(G1353*(1-$K$7),2))</f>
        <v>4.33</v>
      </c>
      <c r="I1353" s="1776">
        <f t="shared" ref="I1353:I1356" si="187">TRUNC(H1353*F1353,2)</f>
        <v>4.76</v>
      </c>
      <c r="J1353" s="1768"/>
    </row>
    <row r="1354" spans="1:10" ht="24">
      <c r="A1354" s="1770" t="s">
        <v>2407</v>
      </c>
      <c r="B1354" s="1771" t="s">
        <v>2410</v>
      </c>
      <c r="C1354" s="1771">
        <v>43132</v>
      </c>
      <c r="D1354" s="1772" t="s">
        <v>2559</v>
      </c>
      <c r="E1354" s="1773" t="s">
        <v>1340</v>
      </c>
      <c r="F1354" s="1780">
        <v>2E-3</v>
      </c>
      <c r="G1354" s="1774">
        <v>24.9</v>
      </c>
      <c r="H1354" s="1775">
        <f>IF(E1354="H",G1354,TRUNC(G1354*(1-$K$7),2))</f>
        <v>24.75</v>
      </c>
      <c r="I1354" s="1776">
        <f t="shared" si="187"/>
        <v>0.04</v>
      </c>
      <c r="J1354" s="1768"/>
    </row>
    <row r="1355" spans="1:10" ht="24">
      <c r="A1355" s="1770" t="s">
        <v>2407</v>
      </c>
      <c r="B1355" s="1771" t="s">
        <v>7</v>
      </c>
      <c r="C1355" s="1771">
        <v>88247</v>
      </c>
      <c r="D1355" s="1772" t="s">
        <v>93</v>
      </c>
      <c r="E1355" s="1773" t="s">
        <v>387</v>
      </c>
      <c r="F1355" s="1780">
        <v>0.107</v>
      </c>
      <c r="G1355" s="1774">
        <v>21</v>
      </c>
      <c r="H1355" s="1775">
        <f>IF(E1355="H",G1355,TRUNC(G1355*(1-$K$7),2))</f>
        <v>21</v>
      </c>
      <c r="I1355" s="1776">
        <f t="shared" si="187"/>
        <v>2.2400000000000002</v>
      </c>
      <c r="J1355" s="1768"/>
    </row>
    <row r="1356" spans="1:10">
      <c r="A1356" s="1770" t="s">
        <v>2407</v>
      </c>
      <c r="B1356" s="1771" t="s">
        <v>7</v>
      </c>
      <c r="C1356" s="1771">
        <v>88264</v>
      </c>
      <c r="D1356" s="1772" t="s">
        <v>94</v>
      </c>
      <c r="E1356" s="1773" t="s">
        <v>387</v>
      </c>
      <c r="F1356" s="1780">
        <v>0.107</v>
      </c>
      <c r="G1356" s="1774">
        <v>25.54</v>
      </c>
      <c r="H1356" s="1775">
        <f>IF(E1356="H",G1356,TRUNC(G1356*(1-$K$7),2))</f>
        <v>25.54</v>
      </c>
      <c r="I1356" s="1776">
        <f t="shared" si="187"/>
        <v>2.73</v>
      </c>
      <c r="J1356" s="1768"/>
    </row>
    <row r="1357" spans="1:10">
      <c r="A1357" s="1917" t="s">
        <v>2408</v>
      </c>
      <c r="B1357" s="1918"/>
      <c r="C1357" s="1918"/>
      <c r="D1357" s="1918"/>
      <c r="E1357" s="1918"/>
      <c r="F1357" s="1918"/>
      <c r="G1357" s="1918"/>
      <c r="H1357" s="1919"/>
      <c r="I1357" s="1778">
        <f>SUM(I1353:I1356)</f>
        <v>9.77</v>
      </c>
      <c r="J1357" s="1768"/>
    </row>
    <row r="1358" spans="1:10">
      <c r="A1358" s="1920"/>
      <c r="B1358" s="1921"/>
      <c r="C1358" s="1921"/>
      <c r="D1358" s="1921"/>
      <c r="E1358" s="1921"/>
      <c r="F1358" s="1921"/>
      <c r="G1358" s="1921"/>
      <c r="H1358" s="1921"/>
      <c r="I1358" s="1922"/>
      <c r="J1358" s="1768"/>
    </row>
    <row r="1359" spans="1:10" ht="24.75" customHeight="1">
      <c r="A1359" s="1757">
        <f>'PLANILHA SEM DESON'!B210</f>
        <v>91844</v>
      </c>
      <c r="B1359" s="1923" t="str">
        <f>VLOOKUP(A1359,'PLANILHA SEM DESON'!$B$17:$D$1699,2,FALSE)</f>
        <v>ELETRODUTO FLEXÍVEL CORRUGADO, PVC, DN 25 MM (3/4"), PARA CIRCUITOS TERMINAIS, INSTALADO EM LAJE - FORNECIMENTO E INSTALAÇÃO. AF_12/2015</v>
      </c>
      <c r="C1359" s="1924"/>
      <c r="D1359" s="1924"/>
      <c r="E1359" s="1924"/>
      <c r="F1359" s="1924"/>
      <c r="G1359" s="1924"/>
      <c r="H1359" s="1925"/>
      <c r="I1359" s="1758" t="str">
        <f>VLOOKUP(A1359,'PLANILHA SEM DESON'!$B$17:$D$1699,3,FALSE)</f>
        <v>m</v>
      </c>
      <c r="J1359" s="1759">
        <f>I1365</f>
        <v>6.85</v>
      </c>
    </row>
    <row r="1360" spans="1:10" ht="24">
      <c r="A1360" s="1761" t="s">
        <v>2401</v>
      </c>
      <c r="B1360" s="1762" t="s">
        <v>2402</v>
      </c>
      <c r="C1360" s="1763" t="s">
        <v>2399</v>
      </c>
      <c r="D1360" s="1764" t="s">
        <v>284</v>
      </c>
      <c r="E1360" s="1763" t="s">
        <v>193</v>
      </c>
      <c r="F1360" s="1765" t="s">
        <v>2403</v>
      </c>
      <c r="G1360" s="1763" t="s">
        <v>2404</v>
      </c>
      <c r="H1360" s="1766" t="s">
        <v>2405</v>
      </c>
      <c r="I1360" s="1767" t="s">
        <v>2406</v>
      </c>
      <c r="J1360" s="1768"/>
    </row>
    <row r="1361" spans="1:10" ht="24">
      <c r="A1361" s="1770" t="s">
        <v>2407</v>
      </c>
      <c r="B1361" s="1771" t="s">
        <v>2410</v>
      </c>
      <c r="C1361" s="1771">
        <v>2688</v>
      </c>
      <c r="D1361" s="1772" t="s">
        <v>2648</v>
      </c>
      <c r="E1361" s="1773" t="s">
        <v>158</v>
      </c>
      <c r="F1361" s="1780">
        <v>1.1000000000000001</v>
      </c>
      <c r="G1361" s="1774">
        <v>2.54</v>
      </c>
      <c r="H1361" s="1775">
        <f>IF(E1361="H",G1361,TRUNC(G1361*(1-$K$7),2))</f>
        <v>2.52</v>
      </c>
      <c r="I1361" s="1776">
        <f t="shared" ref="I1361:I1364" si="188">TRUNC(H1361*F1361,2)</f>
        <v>2.77</v>
      </c>
      <c r="J1361" s="1768"/>
    </row>
    <row r="1362" spans="1:10" ht="24">
      <c r="A1362" s="1770" t="s">
        <v>2407</v>
      </c>
      <c r="B1362" s="1771" t="s">
        <v>2410</v>
      </c>
      <c r="C1362" s="1771">
        <v>43132</v>
      </c>
      <c r="D1362" s="1772" t="s">
        <v>2559</v>
      </c>
      <c r="E1362" s="1773" t="s">
        <v>1340</v>
      </c>
      <c r="F1362" s="1780">
        <v>1.8E-3</v>
      </c>
      <c r="G1362" s="1774">
        <v>24.9</v>
      </c>
      <c r="H1362" s="1775">
        <f>IF(E1362="H",G1362,TRUNC(G1362*(1-$K$7),2))</f>
        <v>24.75</v>
      </c>
      <c r="I1362" s="1776">
        <f t="shared" si="188"/>
        <v>0.04</v>
      </c>
      <c r="J1362" s="1768"/>
    </row>
    <row r="1363" spans="1:10" ht="24">
      <c r="A1363" s="1770" t="s">
        <v>2407</v>
      </c>
      <c r="B1363" s="1771" t="s">
        <v>7</v>
      </c>
      <c r="C1363" s="1771">
        <v>88247</v>
      </c>
      <c r="D1363" s="1772" t="s">
        <v>93</v>
      </c>
      <c r="E1363" s="1773" t="s">
        <v>387</v>
      </c>
      <c r="F1363" s="1780">
        <v>8.6999999999999994E-2</v>
      </c>
      <c r="G1363" s="1774">
        <v>21</v>
      </c>
      <c r="H1363" s="1775">
        <f>IF(E1363="H",G1363,TRUNC(G1363*(1-$K$7),2))</f>
        <v>21</v>
      </c>
      <c r="I1363" s="1776">
        <f t="shared" si="188"/>
        <v>1.82</v>
      </c>
      <c r="J1363" s="1768"/>
    </row>
    <row r="1364" spans="1:10">
      <c r="A1364" s="1770" t="s">
        <v>2407</v>
      </c>
      <c r="B1364" s="1771" t="s">
        <v>7</v>
      </c>
      <c r="C1364" s="1771">
        <v>88264</v>
      </c>
      <c r="D1364" s="1772" t="s">
        <v>94</v>
      </c>
      <c r="E1364" s="1773" t="s">
        <v>387</v>
      </c>
      <c r="F1364" s="1780">
        <v>8.6999999999999994E-2</v>
      </c>
      <c r="G1364" s="1774">
        <v>25.54</v>
      </c>
      <c r="H1364" s="1775">
        <f>IF(E1364="H",G1364,TRUNC(G1364*(1-$K$7),2))</f>
        <v>25.54</v>
      </c>
      <c r="I1364" s="1776">
        <f t="shared" si="188"/>
        <v>2.2200000000000002</v>
      </c>
      <c r="J1364" s="1768"/>
    </row>
    <row r="1365" spans="1:10">
      <c r="A1365" s="1917" t="s">
        <v>2408</v>
      </c>
      <c r="B1365" s="1918"/>
      <c r="C1365" s="1918"/>
      <c r="D1365" s="1918"/>
      <c r="E1365" s="1918"/>
      <c r="F1365" s="1918"/>
      <c r="G1365" s="1918"/>
      <c r="H1365" s="1919"/>
      <c r="I1365" s="1778">
        <f>SUM(I1361:I1364)</f>
        <v>6.85</v>
      </c>
      <c r="J1365" s="1768"/>
    </row>
    <row r="1366" spans="1:10">
      <c r="A1366" s="1920"/>
      <c r="B1366" s="1921"/>
      <c r="C1366" s="1921"/>
      <c r="D1366" s="1921"/>
      <c r="E1366" s="1921"/>
      <c r="F1366" s="1921"/>
      <c r="G1366" s="1921"/>
      <c r="H1366" s="1921"/>
      <c r="I1366" s="1922"/>
      <c r="J1366" s="1768"/>
    </row>
    <row r="1367" spans="1:10" ht="24" customHeight="1">
      <c r="A1367" s="1757">
        <f>'PLANILHA SEM DESON'!B211</f>
        <v>91854</v>
      </c>
      <c r="B1367" s="1923" t="str">
        <f>VLOOKUP(A1367,'PLANILHA SEM DESON'!$B$17:$D$1699,2,FALSE)</f>
        <v>ELETRODUTO FLEXÍVEL CORRUGADO, PVC, DN 25 MM (3/4"), PARA CIRCUITOS TERMINAIS, INSTALADO EM PAREDE - FORNECIMENTO E INSTALAÇÃO. AF_12/2015</v>
      </c>
      <c r="C1367" s="1924"/>
      <c r="D1367" s="1924"/>
      <c r="E1367" s="1924"/>
      <c r="F1367" s="1924"/>
      <c r="G1367" s="1924"/>
      <c r="H1367" s="1925"/>
      <c r="I1367" s="1758" t="str">
        <f>VLOOKUP(A1367,'PLANILHA SEM DESON'!$B$17:$D$1699,3,FALSE)</f>
        <v>m</v>
      </c>
      <c r="J1367" s="1759">
        <f>I1372</f>
        <v>9.25</v>
      </c>
    </row>
    <row r="1368" spans="1:10" ht="24">
      <c r="A1368" s="1761" t="s">
        <v>2401</v>
      </c>
      <c r="B1368" s="1762" t="s">
        <v>2402</v>
      </c>
      <c r="C1368" s="1763" t="s">
        <v>2399</v>
      </c>
      <c r="D1368" s="1764" t="s">
        <v>284</v>
      </c>
      <c r="E1368" s="1763" t="s">
        <v>193</v>
      </c>
      <c r="F1368" s="1765" t="s">
        <v>2403</v>
      </c>
      <c r="G1368" s="1763" t="s">
        <v>2404</v>
      </c>
      <c r="H1368" s="1766" t="s">
        <v>2405</v>
      </c>
      <c r="I1368" s="1767" t="s">
        <v>2406</v>
      </c>
      <c r="J1368" s="1768"/>
    </row>
    <row r="1369" spans="1:10" ht="24">
      <c r="A1369" s="1770" t="s">
        <v>2407</v>
      </c>
      <c r="B1369" s="1771" t="s">
        <v>2410</v>
      </c>
      <c r="C1369" s="1771">
        <v>2688</v>
      </c>
      <c r="D1369" s="1772" t="s">
        <v>2648</v>
      </c>
      <c r="E1369" s="1773" t="s">
        <v>158</v>
      </c>
      <c r="F1369" s="1780">
        <v>1.0169999999999999</v>
      </c>
      <c r="G1369" s="1774">
        <v>2.54</v>
      </c>
      <c r="H1369" s="1775">
        <f>IF(E1369="H",G1369,TRUNC(G1369*(1-$K$7),2))</f>
        <v>2.52</v>
      </c>
      <c r="I1369" s="1776">
        <f t="shared" ref="I1369:I1371" si="189">TRUNC(H1369*F1369,2)</f>
        <v>2.56</v>
      </c>
      <c r="J1369" s="1768"/>
    </row>
    <row r="1370" spans="1:10" ht="24">
      <c r="A1370" s="1770" t="s">
        <v>2407</v>
      </c>
      <c r="B1370" s="1771" t="s">
        <v>7</v>
      </c>
      <c r="C1370" s="1771">
        <v>88247</v>
      </c>
      <c r="D1370" s="1772" t="s">
        <v>93</v>
      </c>
      <c r="E1370" s="1773" t="s">
        <v>387</v>
      </c>
      <c r="F1370" s="1780">
        <v>0.14399999999999999</v>
      </c>
      <c r="G1370" s="1774">
        <v>21</v>
      </c>
      <c r="H1370" s="1775">
        <f>IF(E1370="H",G1370,TRUNC(G1370*(1-$K$7),2))</f>
        <v>21</v>
      </c>
      <c r="I1370" s="1776">
        <f t="shared" si="189"/>
        <v>3.02</v>
      </c>
      <c r="J1370" s="1768"/>
    </row>
    <row r="1371" spans="1:10">
      <c r="A1371" s="1770" t="s">
        <v>2407</v>
      </c>
      <c r="B1371" s="1771" t="s">
        <v>7</v>
      </c>
      <c r="C1371" s="1771">
        <v>88264</v>
      </c>
      <c r="D1371" s="1772" t="s">
        <v>94</v>
      </c>
      <c r="E1371" s="1773" t="s">
        <v>387</v>
      </c>
      <c r="F1371" s="1780">
        <v>0.14399999999999999</v>
      </c>
      <c r="G1371" s="1774">
        <v>25.54</v>
      </c>
      <c r="H1371" s="1775">
        <f>IF(E1371="H",G1371,TRUNC(G1371*(1-$K$7),2))</f>
        <v>25.54</v>
      </c>
      <c r="I1371" s="1776">
        <f t="shared" si="189"/>
        <v>3.67</v>
      </c>
      <c r="J1371" s="1768"/>
    </row>
    <row r="1372" spans="1:10">
      <c r="A1372" s="1917" t="s">
        <v>2408</v>
      </c>
      <c r="B1372" s="1918"/>
      <c r="C1372" s="1918"/>
      <c r="D1372" s="1918"/>
      <c r="E1372" s="1918"/>
      <c r="F1372" s="1918"/>
      <c r="G1372" s="1918"/>
      <c r="H1372" s="1919"/>
      <c r="I1372" s="1778">
        <f>SUM(I1369:I1371)</f>
        <v>9.25</v>
      </c>
      <c r="J1372" s="1768"/>
    </row>
    <row r="1373" spans="1:10">
      <c r="A1373" s="1920"/>
      <c r="B1373" s="1921"/>
      <c r="C1373" s="1921"/>
      <c r="D1373" s="1921"/>
      <c r="E1373" s="1921"/>
      <c r="F1373" s="1921"/>
      <c r="G1373" s="1921"/>
      <c r="H1373" s="1921"/>
      <c r="I1373" s="1922"/>
      <c r="J1373" s="1768"/>
    </row>
    <row r="1374" spans="1:10" ht="25.5" customHeight="1">
      <c r="A1374" s="1757">
        <f>'PLANILHA SEM DESON'!B212</f>
        <v>97667</v>
      </c>
      <c r="B1374" s="1923" t="str">
        <f>VLOOKUP(A1374,'PLANILHA SEM DESON'!$B$17:$D$1699,2,FALSE)</f>
        <v>ELETRODUTO FLEXÍVEL CORRUGADO, PEAD, DN 50 (1 1/2"), PARA REDE ENTERRADA DE DISTRIBUIÇÃO DE ENERGIA ELÉTRICA - FORNECIMENTO E INSTALAÇÃO. AF_12/2021</v>
      </c>
      <c r="C1374" s="1924"/>
      <c r="D1374" s="1924"/>
      <c r="E1374" s="1924"/>
      <c r="F1374" s="1924"/>
      <c r="G1374" s="1924"/>
      <c r="H1374" s="1925"/>
      <c r="I1374" s="1758" t="str">
        <f>VLOOKUP(A1374,'PLANILHA SEM DESON'!$B$17:$D$1699,3,FALSE)</f>
        <v>m</v>
      </c>
      <c r="J1374" s="1759">
        <f>I1379</f>
        <v>9.42</v>
      </c>
    </row>
    <row r="1375" spans="1:10" ht="24">
      <c r="A1375" s="1761" t="s">
        <v>2401</v>
      </c>
      <c r="B1375" s="1762" t="s">
        <v>2402</v>
      </c>
      <c r="C1375" s="1763" t="s">
        <v>2399</v>
      </c>
      <c r="D1375" s="1764" t="s">
        <v>284</v>
      </c>
      <c r="E1375" s="1763" t="s">
        <v>193</v>
      </c>
      <c r="F1375" s="1765" t="s">
        <v>2403</v>
      </c>
      <c r="G1375" s="1763" t="s">
        <v>2404</v>
      </c>
      <c r="H1375" s="1766" t="s">
        <v>2405</v>
      </c>
      <c r="I1375" s="1767" t="s">
        <v>2406</v>
      </c>
      <c r="J1375" s="1768"/>
    </row>
    <row r="1376" spans="1:10" ht="36">
      <c r="A1376" s="1770" t="s">
        <v>2407</v>
      </c>
      <c r="B1376" s="1771" t="s">
        <v>2410</v>
      </c>
      <c r="C1376" s="1771">
        <v>39246</v>
      </c>
      <c r="D1376" s="1772" t="s">
        <v>2649</v>
      </c>
      <c r="E1376" s="1773" t="s">
        <v>158</v>
      </c>
      <c r="F1376" s="1780">
        <v>1.1000000000000001</v>
      </c>
      <c r="G1376" s="1774">
        <v>5.77</v>
      </c>
      <c r="H1376" s="1775">
        <f>IF(E1376="H",G1376,TRUNC(G1376*(1-$K$7),2))</f>
        <v>5.73</v>
      </c>
      <c r="I1376" s="1776">
        <f t="shared" ref="I1376:I1378" si="190">TRUNC(H1376*F1376,2)</f>
        <v>6.3</v>
      </c>
      <c r="J1376" s="1768"/>
    </row>
    <row r="1377" spans="1:10" ht="24">
      <c r="A1377" s="1770" t="s">
        <v>2407</v>
      </c>
      <c r="B1377" s="1771" t="s">
        <v>7</v>
      </c>
      <c r="C1377" s="1771">
        <v>88247</v>
      </c>
      <c r="D1377" s="1772" t="s">
        <v>93</v>
      </c>
      <c r="E1377" s="1773" t="s">
        <v>387</v>
      </c>
      <c r="F1377" s="1780">
        <v>6.7199999999999996E-2</v>
      </c>
      <c r="G1377" s="1774">
        <v>21</v>
      </c>
      <c r="H1377" s="1775">
        <f>IF(E1377="H",G1377,TRUNC(G1377*(1-$K$7),2))</f>
        <v>21</v>
      </c>
      <c r="I1377" s="1776">
        <f t="shared" si="190"/>
        <v>1.41</v>
      </c>
      <c r="J1377" s="1768"/>
    </row>
    <row r="1378" spans="1:10">
      <c r="A1378" s="1770" t="s">
        <v>2407</v>
      </c>
      <c r="B1378" s="1771" t="s">
        <v>7</v>
      </c>
      <c r="C1378" s="1771">
        <v>88264</v>
      </c>
      <c r="D1378" s="1772" t="s">
        <v>94</v>
      </c>
      <c r="E1378" s="1773" t="s">
        <v>387</v>
      </c>
      <c r="F1378" s="1780">
        <v>6.7199999999999996E-2</v>
      </c>
      <c r="G1378" s="1774">
        <v>25.54</v>
      </c>
      <c r="H1378" s="1775">
        <f>IF(E1378="H",G1378,TRUNC(G1378*(1-$K$7),2))</f>
        <v>25.54</v>
      </c>
      <c r="I1378" s="1776">
        <f t="shared" si="190"/>
        <v>1.71</v>
      </c>
      <c r="J1378" s="1768"/>
    </row>
    <row r="1379" spans="1:10">
      <c r="A1379" s="1917" t="s">
        <v>2408</v>
      </c>
      <c r="B1379" s="1918"/>
      <c r="C1379" s="1918"/>
      <c r="D1379" s="1918"/>
      <c r="E1379" s="1918"/>
      <c r="F1379" s="1918"/>
      <c r="G1379" s="1918"/>
      <c r="H1379" s="1919"/>
      <c r="I1379" s="1778">
        <f>SUM(I1376:I1378)</f>
        <v>9.42</v>
      </c>
      <c r="J1379" s="1768"/>
    </row>
    <row r="1380" spans="1:10">
      <c r="A1380" s="1920"/>
      <c r="B1380" s="1921"/>
      <c r="C1380" s="1921"/>
      <c r="D1380" s="1921"/>
      <c r="E1380" s="1921"/>
      <c r="F1380" s="1921"/>
      <c r="G1380" s="1921"/>
      <c r="H1380" s="1921"/>
      <c r="I1380" s="1922"/>
      <c r="J1380" s="1768"/>
    </row>
    <row r="1381" spans="1:10" ht="26.25" customHeight="1">
      <c r="A1381" s="1757" t="str">
        <f>'PLANILHA SEM DESON'!B213</f>
        <v>COMP ELE 28</v>
      </c>
      <c r="B1381" s="1923" t="str">
        <f>VLOOKUP(A1381,'PLANILHA SEM DESON'!$B$17:$D$1699,2,FALSE)</f>
        <v xml:space="preserve">LUMINÁRIA TIPO CALHA, DE EMBUTIR, COM 4 LÂMPADAS TUBULARES LED DE 20 W - FORNECIMENTO E INSTALAÇÃO. </v>
      </c>
      <c r="C1381" s="1924"/>
      <c r="D1381" s="1924"/>
      <c r="E1381" s="1924"/>
      <c r="F1381" s="1924"/>
      <c r="G1381" s="1924"/>
      <c r="H1381" s="1925"/>
      <c r="I1381" s="1758" t="str">
        <f>VLOOKUP(A1381,'PLANILHA SEM DESON'!$B$17:$D$1699,3,FALSE)</f>
        <v xml:space="preserve">un </v>
      </c>
      <c r="J1381" s="1759">
        <f>I1388</f>
        <v>345.04999999999995</v>
      </c>
    </row>
    <row r="1382" spans="1:10" ht="24">
      <c r="A1382" s="1761" t="s">
        <v>2401</v>
      </c>
      <c r="B1382" s="1762" t="s">
        <v>2402</v>
      </c>
      <c r="C1382" s="1763" t="s">
        <v>2399</v>
      </c>
      <c r="D1382" s="1764" t="s">
        <v>284</v>
      </c>
      <c r="E1382" s="1763" t="s">
        <v>193</v>
      </c>
      <c r="F1382" s="1765" t="s">
        <v>2403</v>
      </c>
      <c r="G1382" s="1763" t="s">
        <v>2404</v>
      </c>
      <c r="H1382" s="1766" t="s">
        <v>2405</v>
      </c>
      <c r="I1382" s="1767" t="s">
        <v>2406</v>
      </c>
      <c r="J1382" s="1768"/>
    </row>
    <row r="1383" spans="1:10">
      <c r="A1383" s="1770"/>
      <c r="B1383" s="1771"/>
      <c r="C1383" s="1771">
        <v>88264</v>
      </c>
      <c r="D1383" s="1772" t="s">
        <v>94</v>
      </c>
      <c r="E1383" s="1773" t="s">
        <v>57</v>
      </c>
      <c r="F1383" s="1784">
        <v>1.2</v>
      </c>
      <c r="G1383" s="1779">
        <v>25.54</v>
      </c>
      <c r="H1383" s="1775">
        <f>IF(E1383="H",G1383,TRUNC(G1383*(1-$K$7),2))</f>
        <v>25.54</v>
      </c>
      <c r="I1383" s="1776">
        <f t="shared" ref="I1383:I1387" si="191">TRUNC(H1383*F1383,2)</f>
        <v>30.64</v>
      </c>
      <c r="J1383" s="1768"/>
    </row>
    <row r="1384" spans="1:10" ht="24">
      <c r="A1384" s="1770"/>
      <c r="B1384" s="1771"/>
      <c r="C1384" s="1771">
        <v>88247</v>
      </c>
      <c r="D1384" s="1772" t="s">
        <v>93</v>
      </c>
      <c r="E1384" s="1773" t="s">
        <v>57</v>
      </c>
      <c r="F1384" s="1784">
        <v>1.2</v>
      </c>
      <c r="G1384" s="1779">
        <v>21</v>
      </c>
      <c r="H1384" s="1775">
        <f>IF(E1384="H",G1384,TRUNC(G1384*(1-$K$7),2))</f>
        <v>21</v>
      </c>
      <c r="I1384" s="1776">
        <f t="shared" si="191"/>
        <v>25.2</v>
      </c>
      <c r="J1384" s="1768"/>
    </row>
    <row r="1385" spans="1:10">
      <c r="A1385" s="1770"/>
      <c r="B1385" s="1771"/>
      <c r="C1385" s="1771">
        <v>39387</v>
      </c>
      <c r="D1385" s="1772" t="s">
        <v>507</v>
      </c>
      <c r="E1385" s="1773" t="s">
        <v>55</v>
      </c>
      <c r="F1385" s="1784">
        <v>4</v>
      </c>
      <c r="G1385" s="1779">
        <v>13.61</v>
      </c>
      <c r="H1385" s="1775">
        <f>IF(E1385="H",G1385,TRUNC(G1385*(1-$K$7),2))</f>
        <v>13.52</v>
      </c>
      <c r="I1385" s="1776">
        <f t="shared" si="191"/>
        <v>54.08</v>
      </c>
      <c r="J1385" s="1768"/>
    </row>
    <row r="1386" spans="1:10" ht="24">
      <c r="A1386" s="1770"/>
      <c r="B1386" s="1771"/>
      <c r="C1386" s="1771">
        <v>14543</v>
      </c>
      <c r="D1386" s="1772" t="s">
        <v>508</v>
      </c>
      <c r="E1386" s="1773" t="s">
        <v>55</v>
      </c>
      <c r="F1386" s="1784">
        <v>4</v>
      </c>
      <c r="G1386" s="1779">
        <v>7.51</v>
      </c>
      <c r="H1386" s="1775">
        <f>IF(E1386="H",G1386,TRUNC(G1386*(1-$K$7),2))</f>
        <v>7.46</v>
      </c>
      <c r="I1386" s="1776">
        <f t="shared" si="191"/>
        <v>29.84</v>
      </c>
      <c r="J1386" s="1768"/>
    </row>
    <row r="1387" spans="1:10" ht="24">
      <c r="A1387" s="1770"/>
      <c r="B1387" s="1771"/>
      <c r="C1387" s="1771" t="s">
        <v>65</v>
      </c>
      <c r="D1387" s="1772" t="s">
        <v>1568</v>
      </c>
      <c r="E1387" s="1773" t="s">
        <v>55</v>
      </c>
      <c r="F1387" s="1784">
        <v>1</v>
      </c>
      <c r="G1387" s="1779">
        <v>206.53</v>
      </c>
      <c r="H1387" s="1775">
        <f>IF(E1387="H",G1387,TRUNC(G1387*(1-$K$7),2))</f>
        <v>205.29</v>
      </c>
      <c r="I1387" s="1776">
        <f t="shared" si="191"/>
        <v>205.29</v>
      </c>
      <c r="J1387" s="1768"/>
    </row>
    <row r="1388" spans="1:10">
      <c r="A1388" s="1917" t="s">
        <v>2408</v>
      </c>
      <c r="B1388" s="1918"/>
      <c r="C1388" s="1918"/>
      <c r="D1388" s="1918"/>
      <c r="E1388" s="1918"/>
      <c r="F1388" s="1918"/>
      <c r="G1388" s="1918"/>
      <c r="H1388" s="1919"/>
      <c r="I1388" s="1778">
        <f>SUM(I1383:I1387)</f>
        <v>345.04999999999995</v>
      </c>
      <c r="J1388" s="1768"/>
    </row>
    <row r="1389" spans="1:10">
      <c r="A1389" s="1920"/>
      <c r="B1389" s="1921"/>
      <c r="C1389" s="1921"/>
      <c r="D1389" s="1921"/>
      <c r="E1389" s="1921"/>
      <c r="F1389" s="1921"/>
      <c r="G1389" s="1921"/>
      <c r="H1389" s="1921"/>
      <c r="I1389" s="1922"/>
      <c r="J1389" s="1768"/>
    </row>
    <row r="1390" spans="1:10" ht="24.75" customHeight="1">
      <c r="A1390" s="1757" t="str">
        <f>'PLANILHA SEM DESON'!B214</f>
        <v>COMP ELE 29</v>
      </c>
      <c r="B1390" s="1923" t="str">
        <f>VLOOKUP(A1390,'PLANILHA SEM DESON'!$B$17:$D$1699,2,FALSE)</f>
        <v>LUMINARIA LED REFLETOR RETANGULAR BIVOLT, LUZ BRANCA, 50 W - FORNECIMENTO E INSTALAÇÃO</v>
      </c>
      <c r="C1390" s="1924"/>
      <c r="D1390" s="1924"/>
      <c r="E1390" s="1924"/>
      <c r="F1390" s="1924"/>
      <c r="G1390" s="1924"/>
      <c r="H1390" s="1925"/>
      <c r="I1390" s="1758" t="str">
        <f>VLOOKUP(A1390,'PLANILHA SEM DESON'!$B$17:$D$1699,3,FALSE)</f>
        <v xml:space="preserve">un </v>
      </c>
      <c r="J1390" s="1759">
        <f>I1396</f>
        <v>61.67</v>
      </c>
    </row>
    <row r="1391" spans="1:10" ht="24">
      <c r="A1391" s="1761" t="s">
        <v>2401</v>
      </c>
      <c r="B1391" s="1762" t="s">
        <v>2402</v>
      </c>
      <c r="C1391" s="1763" t="s">
        <v>2399</v>
      </c>
      <c r="D1391" s="1764" t="s">
        <v>284</v>
      </c>
      <c r="E1391" s="1763" t="s">
        <v>193</v>
      </c>
      <c r="F1391" s="1765" t="s">
        <v>2403</v>
      </c>
      <c r="G1391" s="1763" t="s">
        <v>2404</v>
      </c>
      <c r="H1391" s="1766" t="s">
        <v>2405</v>
      </c>
      <c r="I1391" s="1767" t="s">
        <v>2406</v>
      </c>
      <c r="J1391" s="1768"/>
    </row>
    <row r="1392" spans="1:10">
      <c r="A1392" s="1770"/>
      <c r="B1392" s="1771"/>
      <c r="C1392" s="1771">
        <v>88264</v>
      </c>
      <c r="D1392" s="1772" t="s">
        <v>94</v>
      </c>
      <c r="E1392" s="1773" t="s">
        <v>57</v>
      </c>
      <c r="F1392" s="1784">
        <v>0.5</v>
      </c>
      <c r="G1392" s="1779">
        <v>25.54</v>
      </c>
      <c r="H1392" s="1775">
        <f>IF(E1392="H",G1392,TRUNC(G1392*(1-$K$7),2))</f>
        <v>25.54</v>
      </c>
      <c r="I1392" s="1776">
        <f t="shared" ref="I1392:I1395" si="192">TRUNC(H1392*F1392,2)</f>
        <v>12.77</v>
      </c>
      <c r="J1392" s="1768"/>
    </row>
    <row r="1393" spans="1:10" ht="24">
      <c r="A1393" s="1770"/>
      <c r="B1393" s="1771"/>
      <c r="C1393" s="1771">
        <v>88247</v>
      </c>
      <c r="D1393" s="1772" t="s">
        <v>93</v>
      </c>
      <c r="E1393" s="1773" t="s">
        <v>57</v>
      </c>
      <c r="F1393" s="1784">
        <v>0.3</v>
      </c>
      <c r="G1393" s="1779">
        <v>21</v>
      </c>
      <c r="H1393" s="1775">
        <f>IF(E1393="H",G1393,TRUNC(G1393*(1-$K$7),2))</f>
        <v>21</v>
      </c>
      <c r="I1393" s="1776">
        <f t="shared" si="192"/>
        <v>6.3</v>
      </c>
      <c r="J1393" s="1768"/>
    </row>
    <row r="1394" spans="1:10" ht="36">
      <c r="A1394" s="1770"/>
      <c r="B1394" s="1771"/>
      <c r="C1394" s="1771">
        <v>7568</v>
      </c>
      <c r="D1394" s="1772" t="s">
        <v>2303</v>
      </c>
      <c r="E1394" s="1773" t="s">
        <v>55</v>
      </c>
      <c r="F1394" s="1784">
        <v>2</v>
      </c>
      <c r="G1394" s="1779">
        <v>0.61</v>
      </c>
      <c r="H1394" s="1775">
        <f>IF(E1394="H",G1394,TRUNC(G1394*(1-$K$7),2))</f>
        <v>0.6</v>
      </c>
      <c r="I1394" s="1776">
        <f t="shared" si="192"/>
        <v>1.2</v>
      </c>
      <c r="J1394" s="1768"/>
    </row>
    <row r="1395" spans="1:10" ht="24">
      <c r="A1395" s="1770"/>
      <c r="B1395" s="1771"/>
      <c r="C1395" s="1771">
        <v>39391</v>
      </c>
      <c r="D1395" s="1772" t="s">
        <v>1583</v>
      </c>
      <c r="E1395" s="1773" t="s">
        <v>55</v>
      </c>
      <c r="F1395" s="1784">
        <v>1</v>
      </c>
      <c r="G1395" s="1779">
        <v>41.65</v>
      </c>
      <c r="H1395" s="1775">
        <f>IF(E1395="H",G1395,TRUNC(G1395*(1-$K$7),2))</f>
        <v>41.4</v>
      </c>
      <c r="I1395" s="1776">
        <f t="shared" si="192"/>
        <v>41.4</v>
      </c>
      <c r="J1395" s="1768"/>
    </row>
    <row r="1396" spans="1:10">
      <c r="A1396" s="1917" t="s">
        <v>2408</v>
      </c>
      <c r="B1396" s="1918"/>
      <c r="C1396" s="1918"/>
      <c r="D1396" s="1918"/>
      <c r="E1396" s="1918"/>
      <c r="F1396" s="1918"/>
      <c r="G1396" s="1918"/>
      <c r="H1396" s="1919"/>
      <c r="I1396" s="1778">
        <f>SUM(I1392:I1395)</f>
        <v>61.67</v>
      </c>
      <c r="J1396" s="1768"/>
    </row>
    <row r="1397" spans="1:10">
      <c r="A1397" s="1920"/>
      <c r="B1397" s="1921"/>
      <c r="C1397" s="1921"/>
      <c r="D1397" s="1921"/>
      <c r="E1397" s="1921"/>
      <c r="F1397" s="1921"/>
      <c r="G1397" s="1921"/>
      <c r="H1397" s="1921"/>
      <c r="I1397" s="1922"/>
      <c r="J1397" s="1768"/>
    </row>
    <row r="1398" spans="1:10" ht="24" customHeight="1">
      <c r="A1398" s="1757" t="str">
        <f>'PLANILHA SEM DESON'!B215</f>
        <v>COMP ELE 30</v>
      </c>
      <c r="B1398" s="1923" t="str">
        <f>VLOOKUP(A1398,'PLANILHA SEM DESON'!$B$17:$D$1699,2,FALSE)</f>
        <v>LUMINARIA LED REFLETOR RETANGULAR BIVOLT, LUZ BRANCA, 10 W - FORNECIMENTO E INSTALAÇÃO</v>
      </c>
      <c r="C1398" s="1924"/>
      <c r="D1398" s="1924"/>
      <c r="E1398" s="1924"/>
      <c r="F1398" s="1924"/>
      <c r="G1398" s="1924"/>
      <c r="H1398" s="1925"/>
      <c r="I1398" s="1758" t="str">
        <f>VLOOKUP(A1398,'PLANILHA SEM DESON'!$B$17:$D$1699,3,FALSE)</f>
        <v xml:space="preserve">un </v>
      </c>
      <c r="J1398" s="1759">
        <f>I1404</f>
        <v>37.86</v>
      </c>
    </row>
    <row r="1399" spans="1:10" ht="24">
      <c r="A1399" s="1761" t="s">
        <v>2401</v>
      </c>
      <c r="B1399" s="1762" t="s">
        <v>2402</v>
      </c>
      <c r="C1399" s="1763" t="s">
        <v>2399</v>
      </c>
      <c r="D1399" s="1764" t="s">
        <v>284</v>
      </c>
      <c r="E1399" s="1763" t="s">
        <v>193</v>
      </c>
      <c r="F1399" s="1765" t="s">
        <v>2403</v>
      </c>
      <c r="G1399" s="1763" t="s">
        <v>2404</v>
      </c>
      <c r="H1399" s="1766" t="s">
        <v>2405</v>
      </c>
      <c r="I1399" s="1767" t="s">
        <v>2406</v>
      </c>
      <c r="J1399" s="1768"/>
    </row>
    <row r="1400" spans="1:10">
      <c r="A1400" s="1770"/>
      <c r="B1400" s="1771"/>
      <c r="C1400" s="1771">
        <v>88264</v>
      </c>
      <c r="D1400" s="1772" t="s">
        <v>94</v>
      </c>
      <c r="E1400" s="1773" t="s">
        <v>57</v>
      </c>
      <c r="F1400" s="1784">
        <v>0.5</v>
      </c>
      <c r="G1400" s="1779">
        <v>25.54</v>
      </c>
      <c r="H1400" s="1775">
        <f>IF(E1400="H",G1400,TRUNC(G1400*(1-$K$7),2))</f>
        <v>25.54</v>
      </c>
      <c r="I1400" s="1776">
        <f t="shared" ref="I1400:I1403" si="193">TRUNC(H1400*F1400,2)</f>
        <v>12.77</v>
      </c>
      <c r="J1400" s="1768"/>
    </row>
    <row r="1401" spans="1:10" ht="24">
      <c r="A1401" s="1770"/>
      <c r="B1401" s="1771"/>
      <c r="C1401" s="1771">
        <v>88247</v>
      </c>
      <c r="D1401" s="1772" t="s">
        <v>93</v>
      </c>
      <c r="E1401" s="1773" t="s">
        <v>57</v>
      </c>
      <c r="F1401" s="1784">
        <v>0.3</v>
      </c>
      <c r="G1401" s="1779">
        <v>21</v>
      </c>
      <c r="H1401" s="1775">
        <f>IF(E1401="H",G1401,TRUNC(G1401*(1-$K$7),2))</f>
        <v>21</v>
      </c>
      <c r="I1401" s="1776">
        <f t="shared" si="193"/>
        <v>6.3</v>
      </c>
      <c r="J1401" s="1768"/>
    </row>
    <row r="1402" spans="1:10" ht="36">
      <c r="A1402" s="1770"/>
      <c r="B1402" s="1771"/>
      <c r="C1402" s="1771">
        <v>7568</v>
      </c>
      <c r="D1402" s="1772" t="s">
        <v>2303</v>
      </c>
      <c r="E1402" s="1773" t="s">
        <v>55</v>
      </c>
      <c r="F1402" s="1784">
        <v>2</v>
      </c>
      <c r="G1402" s="1779">
        <v>0.61</v>
      </c>
      <c r="H1402" s="1775">
        <f>IF(E1402="H",G1402,TRUNC(G1402*(1-$K$7),2))</f>
        <v>0.6</v>
      </c>
      <c r="I1402" s="1776">
        <f t="shared" si="193"/>
        <v>1.2</v>
      </c>
      <c r="J1402" s="1768"/>
    </row>
    <row r="1403" spans="1:10" ht="24">
      <c r="A1403" s="1770"/>
      <c r="B1403" s="1771"/>
      <c r="C1403" s="1771">
        <v>39389</v>
      </c>
      <c r="D1403" s="1772" t="s">
        <v>1573</v>
      </c>
      <c r="E1403" s="1773" t="s">
        <v>55</v>
      </c>
      <c r="F1403" s="1784">
        <v>1</v>
      </c>
      <c r="G1403" s="1779">
        <v>17.7</v>
      </c>
      <c r="H1403" s="1775">
        <f>IF(E1403="H",G1403,TRUNC(G1403*(1-$K$7),2))</f>
        <v>17.59</v>
      </c>
      <c r="I1403" s="1776">
        <f t="shared" si="193"/>
        <v>17.59</v>
      </c>
      <c r="J1403" s="1768"/>
    </row>
    <row r="1404" spans="1:10">
      <c r="A1404" s="1917" t="s">
        <v>2408</v>
      </c>
      <c r="B1404" s="1918"/>
      <c r="C1404" s="1918"/>
      <c r="D1404" s="1918"/>
      <c r="E1404" s="1918"/>
      <c r="F1404" s="1918"/>
      <c r="G1404" s="1918"/>
      <c r="H1404" s="1919"/>
      <c r="I1404" s="1778">
        <f>SUM(I1400:I1403)</f>
        <v>37.86</v>
      </c>
      <c r="J1404" s="1768"/>
    </row>
    <row r="1405" spans="1:10">
      <c r="A1405" s="1920"/>
      <c r="B1405" s="1921"/>
      <c r="C1405" s="1921"/>
      <c r="D1405" s="1921"/>
      <c r="E1405" s="1921"/>
      <c r="F1405" s="1921"/>
      <c r="G1405" s="1921"/>
      <c r="H1405" s="1921"/>
      <c r="I1405" s="1922"/>
      <c r="J1405" s="1768"/>
    </row>
    <row r="1406" spans="1:10" ht="25.5" customHeight="1">
      <c r="A1406" s="1757" t="str">
        <f>'PLANILHA SEM DESON'!B216</f>
        <v>COMP ELE 31</v>
      </c>
      <c r="B1406" s="1923" t="str">
        <f>VLOOKUP(A1406,'PLANILHA SEM DESON'!$B$17:$D$1699,2,FALSE)</f>
        <v>RELÉ FOTOELÉTRICO P/ COMANDO DE ILUMINAÇÃO EXTERNA 127V/1200W - FORNECIMENTO E INSTALAÇÃO</v>
      </c>
      <c r="C1406" s="1924"/>
      <c r="D1406" s="1924"/>
      <c r="E1406" s="1924"/>
      <c r="F1406" s="1924"/>
      <c r="G1406" s="1924"/>
      <c r="H1406" s="1925"/>
      <c r="I1406" s="1758" t="str">
        <f>VLOOKUP(A1406,'PLANILHA SEM DESON'!$B$17:$D$1699,3,FALSE)</f>
        <v xml:space="preserve">un </v>
      </c>
      <c r="J1406" s="1759">
        <f>I1413</f>
        <v>77.67</v>
      </c>
    </row>
    <row r="1407" spans="1:10" ht="24">
      <c r="A1407" s="1761" t="s">
        <v>2401</v>
      </c>
      <c r="B1407" s="1762" t="s">
        <v>2402</v>
      </c>
      <c r="C1407" s="1763" t="s">
        <v>2399</v>
      </c>
      <c r="D1407" s="1764" t="s">
        <v>284</v>
      </c>
      <c r="E1407" s="1763" t="s">
        <v>193</v>
      </c>
      <c r="F1407" s="1765" t="s">
        <v>2403</v>
      </c>
      <c r="G1407" s="1763" t="s">
        <v>2404</v>
      </c>
      <c r="H1407" s="1766" t="s">
        <v>2405</v>
      </c>
      <c r="I1407" s="1767" t="s">
        <v>2406</v>
      </c>
      <c r="J1407" s="1768"/>
    </row>
    <row r="1408" spans="1:10">
      <c r="A1408" s="1770"/>
      <c r="B1408" s="1771"/>
      <c r="C1408" s="1771">
        <v>88264</v>
      </c>
      <c r="D1408" s="1772" t="s">
        <v>94</v>
      </c>
      <c r="E1408" s="1773" t="s">
        <v>57</v>
      </c>
      <c r="F1408" s="1784">
        <v>0.5</v>
      </c>
      <c r="G1408" s="1779">
        <v>25.54</v>
      </c>
      <c r="H1408" s="1775">
        <f>IF(E1408="H",G1408,TRUNC(G1408*(1-$K$7),2))</f>
        <v>25.54</v>
      </c>
      <c r="I1408" s="1776">
        <f t="shared" ref="I1408:I1412" si="194">TRUNC(H1408*F1408,2)</f>
        <v>12.77</v>
      </c>
      <c r="J1408" s="1768"/>
    </row>
    <row r="1409" spans="1:10" ht="24">
      <c r="A1409" s="1770"/>
      <c r="B1409" s="1771"/>
      <c r="C1409" s="1771">
        <v>88247</v>
      </c>
      <c r="D1409" s="1772" t="s">
        <v>93</v>
      </c>
      <c r="E1409" s="1773" t="s">
        <v>57</v>
      </c>
      <c r="F1409" s="1784">
        <v>0.3</v>
      </c>
      <c r="G1409" s="1779">
        <v>21</v>
      </c>
      <c r="H1409" s="1775">
        <f>IF(E1409="H",G1409,TRUNC(G1409*(1-$K$7),2))</f>
        <v>21</v>
      </c>
      <c r="I1409" s="1776">
        <f t="shared" si="194"/>
        <v>6.3</v>
      </c>
      <c r="J1409" s="1768"/>
    </row>
    <row r="1410" spans="1:10" ht="24">
      <c r="A1410" s="1770"/>
      <c r="B1410" s="1771"/>
      <c r="C1410" s="1771">
        <v>21127</v>
      </c>
      <c r="D1410" s="1772" t="s">
        <v>1579</v>
      </c>
      <c r="E1410" s="1773" t="s">
        <v>55</v>
      </c>
      <c r="F1410" s="1784">
        <v>2.1000000000000001E-2</v>
      </c>
      <c r="G1410" s="1779">
        <v>4.0599999999999996</v>
      </c>
      <c r="H1410" s="1775">
        <f>IF(E1410="H",G1410,TRUNC(G1410*(1-$K$7),2))</f>
        <v>4.03</v>
      </c>
      <c r="I1410" s="1776">
        <f t="shared" si="194"/>
        <v>0.08</v>
      </c>
      <c r="J1410" s="1768"/>
    </row>
    <row r="1411" spans="1:10">
      <c r="A1411" s="1770"/>
      <c r="B1411" s="1771"/>
      <c r="C1411" s="1771">
        <v>39380</v>
      </c>
      <c r="D1411" s="1772" t="s">
        <v>1580</v>
      </c>
      <c r="E1411" s="1773" t="s">
        <v>55</v>
      </c>
      <c r="F1411" s="1784">
        <v>1</v>
      </c>
      <c r="G1411" s="1779">
        <v>20.65</v>
      </c>
      <c r="H1411" s="1775">
        <f>IF(E1411="H",G1411,TRUNC(G1411*(1-$K$7),2))</f>
        <v>20.52</v>
      </c>
      <c r="I1411" s="1776">
        <f t="shared" si="194"/>
        <v>20.52</v>
      </c>
      <c r="J1411" s="1768"/>
    </row>
    <row r="1412" spans="1:10" ht="24">
      <c r="A1412" s="1770"/>
      <c r="B1412" s="1771"/>
      <c r="C1412" s="1771" t="s">
        <v>65</v>
      </c>
      <c r="D1412" s="1772" t="s">
        <v>1574</v>
      </c>
      <c r="E1412" s="1773" t="s">
        <v>55</v>
      </c>
      <c r="F1412" s="1784">
        <v>1</v>
      </c>
      <c r="G1412" s="1779">
        <v>38.229999999999997</v>
      </c>
      <c r="H1412" s="1775">
        <f>IF(E1412="H",G1412,TRUNC(G1412*(1-$K$7),2))</f>
        <v>38</v>
      </c>
      <c r="I1412" s="1776">
        <f t="shared" si="194"/>
        <v>38</v>
      </c>
      <c r="J1412" s="1768"/>
    </row>
    <row r="1413" spans="1:10">
      <c r="A1413" s="1917" t="s">
        <v>2408</v>
      </c>
      <c r="B1413" s="1918"/>
      <c r="C1413" s="1918"/>
      <c r="D1413" s="1918"/>
      <c r="E1413" s="1918"/>
      <c r="F1413" s="1918"/>
      <c r="G1413" s="1918"/>
      <c r="H1413" s="1919"/>
      <c r="I1413" s="1778">
        <f>SUM(I1408:I1412)</f>
        <v>77.67</v>
      </c>
      <c r="J1413" s="1768"/>
    </row>
    <row r="1414" spans="1:10">
      <c r="A1414" s="1920"/>
      <c r="B1414" s="1921"/>
      <c r="C1414" s="1921"/>
      <c r="D1414" s="1921"/>
      <c r="E1414" s="1921"/>
      <c r="F1414" s="1921"/>
      <c r="G1414" s="1921"/>
      <c r="H1414" s="1921"/>
      <c r="I1414" s="1922"/>
      <c r="J1414" s="1768"/>
    </row>
    <row r="1415" spans="1:10" ht="24.75" customHeight="1">
      <c r="A1415" s="1757" t="str">
        <f>'PLANILHA SEM DESON'!B217</f>
        <v>COMP ELE 32</v>
      </c>
      <c r="B1415" s="1923" t="str">
        <f>VLOOKUP(A1415,'PLANILHA SEM DESON'!$B$17:$D$1699,2,FALSE)</f>
        <v>TAMPA CEGA EM PVC PARA CONDULETE 4 X 2"</v>
      </c>
      <c r="C1415" s="1924"/>
      <c r="D1415" s="1924"/>
      <c r="E1415" s="1924"/>
      <c r="F1415" s="1924"/>
      <c r="G1415" s="1924"/>
      <c r="H1415" s="1925"/>
      <c r="I1415" s="1758" t="str">
        <f>VLOOKUP(A1415,'PLANILHA SEM DESON'!$B$17:$D$1699,3,FALSE)</f>
        <v xml:space="preserve">un </v>
      </c>
      <c r="J1415" s="1759">
        <f>I1420</f>
        <v>6.92</v>
      </c>
    </row>
    <row r="1416" spans="1:10" ht="24">
      <c r="A1416" s="1761" t="s">
        <v>2401</v>
      </c>
      <c r="B1416" s="1762" t="s">
        <v>2402</v>
      </c>
      <c r="C1416" s="1763" t="s">
        <v>2399</v>
      </c>
      <c r="D1416" s="1764" t="s">
        <v>284</v>
      </c>
      <c r="E1416" s="1763" t="s">
        <v>193</v>
      </c>
      <c r="F1416" s="1765" t="s">
        <v>2403</v>
      </c>
      <c r="G1416" s="1763" t="s">
        <v>2404</v>
      </c>
      <c r="H1416" s="1766" t="s">
        <v>2405</v>
      </c>
      <c r="I1416" s="1767" t="s">
        <v>2406</v>
      </c>
      <c r="J1416" s="1768"/>
    </row>
    <row r="1417" spans="1:10">
      <c r="A1417" s="1770"/>
      <c r="B1417" s="1771"/>
      <c r="C1417" s="1771">
        <v>88264</v>
      </c>
      <c r="D1417" s="1772" t="s">
        <v>94</v>
      </c>
      <c r="E1417" s="1773" t="s">
        <v>57</v>
      </c>
      <c r="F1417" s="1784">
        <v>0.03</v>
      </c>
      <c r="G1417" s="1779">
        <v>25.54</v>
      </c>
      <c r="H1417" s="1775">
        <f>IF(E1417="H",G1417,TRUNC(G1417*(1-$K$7),2))</f>
        <v>25.54</v>
      </c>
      <c r="I1417" s="1776">
        <f t="shared" ref="I1417:I1419" si="195">TRUNC(H1417*F1417,2)</f>
        <v>0.76</v>
      </c>
      <c r="J1417" s="1768"/>
    </row>
    <row r="1418" spans="1:10" ht="24">
      <c r="A1418" s="1770"/>
      <c r="B1418" s="1771"/>
      <c r="C1418" s="1771">
        <v>88247</v>
      </c>
      <c r="D1418" s="1772" t="s">
        <v>93</v>
      </c>
      <c r="E1418" s="1773" t="s">
        <v>57</v>
      </c>
      <c r="F1418" s="1784">
        <v>0.03</v>
      </c>
      <c r="G1418" s="1779">
        <v>21</v>
      </c>
      <c r="H1418" s="1775">
        <f>IF(E1418="H",G1418,TRUNC(G1418*(1-$K$7),2))</f>
        <v>21</v>
      </c>
      <c r="I1418" s="1776">
        <f t="shared" si="195"/>
        <v>0.63</v>
      </c>
      <c r="J1418" s="1768"/>
    </row>
    <row r="1419" spans="1:10">
      <c r="A1419" s="1770"/>
      <c r="B1419" s="1771"/>
      <c r="C1419" s="1771">
        <v>7543</v>
      </c>
      <c r="D1419" s="1772" t="s">
        <v>1582</v>
      </c>
      <c r="E1419" s="1773" t="s">
        <v>55</v>
      </c>
      <c r="F1419" s="1784">
        <v>1</v>
      </c>
      <c r="G1419" s="1779">
        <v>5.57</v>
      </c>
      <c r="H1419" s="1775">
        <f>IF(E1419="H",G1419,TRUNC(G1419*(1-$K$7),2))</f>
        <v>5.53</v>
      </c>
      <c r="I1419" s="1776">
        <f t="shared" si="195"/>
        <v>5.53</v>
      </c>
      <c r="J1419" s="1768"/>
    </row>
    <row r="1420" spans="1:10">
      <c r="A1420" s="1917" t="s">
        <v>2408</v>
      </c>
      <c r="B1420" s="1918"/>
      <c r="C1420" s="1918"/>
      <c r="D1420" s="1918"/>
      <c r="E1420" s="1918"/>
      <c r="F1420" s="1918"/>
      <c r="G1420" s="1918"/>
      <c r="H1420" s="1919"/>
      <c r="I1420" s="1778">
        <f>SUM(I1417:I1419)</f>
        <v>6.92</v>
      </c>
      <c r="J1420" s="1768"/>
    </row>
    <row r="1421" spans="1:10">
      <c r="A1421" s="1920"/>
      <c r="B1421" s="1921"/>
      <c r="C1421" s="1921"/>
      <c r="D1421" s="1921"/>
      <c r="E1421" s="1921"/>
      <c r="F1421" s="1921"/>
      <c r="G1421" s="1921"/>
      <c r="H1421" s="1921"/>
      <c r="I1421" s="1922"/>
      <c r="J1421" s="1768"/>
    </row>
    <row r="1422" spans="1:10">
      <c r="A1422" s="1757">
        <f>'PLANILHA SEM DESON'!B218</f>
        <v>90447</v>
      </c>
      <c r="B1422" s="1923" t="str">
        <f>VLOOKUP(A1422,'PLANILHA SEM DESON'!$B$17:$D$1699,2,FALSE)</f>
        <v>RASGO EM ALVENARIA PARA ELETRODUTOS COM DIAMETROS MENORES OU IGUAIS A 40 MM. AF_05/2015</v>
      </c>
      <c r="C1422" s="1924"/>
      <c r="D1422" s="1924"/>
      <c r="E1422" s="1924"/>
      <c r="F1422" s="1924"/>
      <c r="G1422" s="1924"/>
      <c r="H1422" s="1925"/>
      <c r="I1422" s="1758" t="str">
        <f>VLOOKUP(A1422,'PLANILHA SEM DESON'!$B$17:$D$1699,3,FALSE)</f>
        <v>m</v>
      </c>
      <c r="J1422" s="1759">
        <f>I1426</f>
        <v>6.22</v>
      </c>
    </row>
    <row r="1423" spans="1:10" ht="24">
      <c r="A1423" s="1761" t="s">
        <v>2401</v>
      </c>
      <c r="B1423" s="1762" t="s">
        <v>2402</v>
      </c>
      <c r="C1423" s="1763" t="s">
        <v>2399</v>
      </c>
      <c r="D1423" s="1764" t="s">
        <v>284</v>
      </c>
      <c r="E1423" s="1763" t="s">
        <v>193</v>
      </c>
      <c r="F1423" s="1765" t="s">
        <v>2403</v>
      </c>
      <c r="G1423" s="1763" t="s">
        <v>2404</v>
      </c>
      <c r="H1423" s="1766" t="s">
        <v>2405</v>
      </c>
      <c r="I1423" s="1767" t="s">
        <v>2406</v>
      </c>
      <c r="J1423" s="1768"/>
    </row>
    <row r="1424" spans="1:10" ht="24">
      <c r="A1424" s="1770" t="s">
        <v>2407</v>
      </c>
      <c r="B1424" s="1771" t="s">
        <v>7</v>
      </c>
      <c r="C1424" s="1771">
        <v>88247</v>
      </c>
      <c r="D1424" s="1772" t="s">
        <v>93</v>
      </c>
      <c r="E1424" s="1773" t="s">
        <v>387</v>
      </c>
      <c r="F1424" s="1780">
        <v>3.4000000000000002E-2</v>
      </c>
      <c r="G1424" s="1774">
        <v>21</v>
      </c>
      <c r="H1424" s="1775">
        <f>IF(E1424="H",G1424,TRUNC(G1424*(1-$K$7),2))</f>
        <v>21</v>
      </c>
      <c r="I1424" s="1776">
        <f t="shared" ref="I1424:I1425" si="196">TRUNC(H1424*F1424,2)</f>
        <v>0.71</v>
      </c>
      <c r="J1424" s="1768"/>
    </row>
    <row r="1425" spans="1:10">
      <c r="A1425" s="1770" t="s">
        <v>2407</v>
      </c>
      <c r="B1425" s="1771" t="s">
        <v>7</v>
      </c>
      <c r="C1425" s="1771">
        <v>88264</v>
      </c>
      <c r="D1425" s="1772" t="s">
        <v>94</v>
      </c>
      <c r="E1425" s="1773" t="s">
        <v>387</v>
      </c>
      <c r="F1425" s="1780">
        <v>0.216</v>
      </c>
      <c r="G1425" s="1774">
        <v>25.54</v>
      </c>
      <c r="H1425" s="1775">
        <f>IF(E1425="H",G1425,TRUNC(G1425*(1-$K$7),2))</f>
        <v>25.54</v>
      </c>
      <c r="I1425" s="1776">
        <f t="shared" si="196"/>
        <v>5.51</v>
      </c>
      <c r="J1425" s="1768"/>
    </row>
    <row r="1426" spans="1:10">
      <c r="A1426" s="1917" t="s">
        <v>2408</v>
      </c>
      <c r="B1426" s="1918"/>
      <c r="C1426" s="1918"/>
      <c r="D1426" s="1918"/>
      <c r="E1426" s="1918"/>
      <c r="F1426" s="1918"/>
      <c r="G1426" s="1918"/>
      <c r="H1426" s="1919"/>
      <c r="I1426" s="1778">
        <f>SUM(I1424:I1425)</f>
        <v>6.22</v>
      </c>
      <c r="J1426" s="1768"/>
    </row>
    <row r="1427" spans="1:10">
      <c r="A1427" s="1920"/>
      <c r="B1427" s="1921"/>
      <c r="C1427" s="1921"/>
      <c r="D1427" s="1921"/>
      <c r="E1427" s="1921"/>
      <c r="F1427" s="1921"/>
      <c r="G1427" s="1921"/>
      <c r="H1427" s="1921"/>
      <c r="I1427" s="1922"/>
      <c r="J1427" s="1768"/>
    </row>
    <row r="1428" spans="1:10" ht="24" customHeight="1">
      <c r="A1428" s="1757" t="str">
        <f>'PLANILHA SEM DESON'!B221</f>
        <v>COMP ELE 01</v>
      </c>
      <c r="B1428" s="1923" t="str">
        <f>VLOOKUP(A1428,'PLANILHA SEM DESON'!$B$17:$D$1699,2,FALSE)</f>
        <v>CONECTOR FEMEA RJ - 45, CATEGORIA 6</v>
      </c>
      <c r="C1428" s="1924"/>
      <c r="D1428" s="1924"/>
      <c r="E1428" s="1924"/>
      <c r="F1428" s="1924"/>
      <c r="G1428" s="1924"/>
      <c r="H1428" s="1925"/>
      <c r="I1428" s="1758" t="str">
        <f>VLOOKUP(A1428,'PLANILHA SEM DESON'!$B$17:$D$1699,3,FALSE)</f>
        <v xml:space="preserve">un </v>
      </c>
      <c r="J1428" s="1759">
        <f>I1433</f>
        <v>35.06</v>
      </c>
    </row>
    <row r="1429" spans="1:10" ht="24">
      <c r="A1429" s="1761" t="s">
        <v>2401</v>
      </c>
      <c r="B1429" s="1762" t="s">
        <v>2402</v>
      </c>
      <c r="C1429" s="1763" t="s">
        <v>2399</v>
      </c>
      <c r="D1429" s="1764" t="s">
        <v>284</v>
      </c>
      <c r="E1429" s="1763" t="s">
        <v>193</v>
      </c>
      <c r="F1429" s="1765" t="s">
        <v>2403</v>
      </c>
      <c r="G1429" s="1763" t="s">
        <v>2404</v>
      </c>
      <c r="H1429" s="1766" t="s">
        <v>2405</v>
      </c>
      <c r="I1429" s="1767" t="s">
        <v>2406</v>
      </c>
      <c r="J1429" s="1768"/>
    </row>
    <row r="1430" spans="1:10">
      <c r="A1430" s="1770"/>
      <c r="B1430" s="1771"/>
      <c r="C1430" s="1771">
        <v>88264</v>
      </c>
      <c r="D1430" s="1772" t="s">
        <v>94</v>
      </c>
      <c r="E1430" s="1773" t="s">
        <v>57</v>
      </c>
      <c r="F1430" s="1784">
        <v>0.15</v>
      </c>
      <c r="G1430" s="1779">
        <v>25.54</v>
      </c>
      <c r="H1430" s="1775">
        <f>IF(E1430="H",G1430,TRUNC(G1430*(1-$K$7),2))</f>
        <v>25.54</v>
      </c>
      <c r="I1430" s="1776">
        <f t="shared" ref="I1430:I1432" si="197">TRUNC(H1430*F1430,2)</f>
        <v>3.83</v>
      </c>
      <c r="J1430" s="1768"/>
    </row>
    <row r="1431" spans="1:10" ht="24">
      <c r="A1431" s="1770"/>
      <c r="B1431" s="1771"/>
      <c r="C1431" s="1771">
        <v>88247</v>
      </c>
      <c r="D1431" s="1772" t="s">
        <v>93</v>
      </c>
      <c r="E1431" s="1773" t="s">
        <v>57</v>
      </c>
      <c r="F1431" s="1784">
        <v>0.15</v>
      </c>
      <c r="G1431" s="1779">
        <v>21</v>
      </c>
      <c r="H1431" s="1775">
        <f>IF(E1431="H",G1431,TRUNC(G1431*(1-$K$7),2))</f>
        <v>21</v>
      </c>
      <c r="I1431" s="1776">
        <f t="shared" si="197"/>
        <v>3.15</v>
      </c>
      <c r="J1431" s="1768"/>
    </row>
    <row r="1432" spans="1:10" ht="24">
      <c r="A1432" s="1770"/>
      <c r="B1432" s="1771"/>
      <c r="C1432" s="1771">
        <v>39601</v>
      </c>
      <c r="D1432" s="1772" t="s">
        <v>2354</v>
      </c>
      <c r="E1432" s="1773" t="s">
        <v>55</v>
      </c>
      <c r="F1432" s="1784">
        <v>1</v>
      </c>
      <c r="G1432" s="1779">
        <v>28.25</v>
      </c>
      <c r="H1432" s="1775">
        <f>IF(E1432="H",G1432,TRUNC(G1432*(1-$K$7),2))</f>
        <v>28.08</v>
      </c>
      <c r="I1432" s="1776">
        <f t="shared" si="197"/>
        <v>28.08</v>
      </c>
      <c r="J1432" s="1768"/>
    </row>
    <row r="1433" spans="1:10">
      <c r="A1433" s="1917" t="s">
        <v>2408</v>
      </c>
      <c r="B1433" s="1918"/>
      <c r="C1433" s="1918"/>
      <c r="D1433" s="1918"/>
      <c r="E1433" s="1918"/>
      <c r="F1433" s="1918"/>
      <c r="G1433" s="1918"/>
      <c r="H1433" s="1919"/>
      <c r="I1433" s="1778">
        <f>SUM(I1430:I1432)</f>
        <v>35.06</v>
      </c>
      <c r="J1433" s="1768"/>
    </row>
    <row r="1434" spans="1:10">
      <c r="A1434" s="1920"/>
      <c r="B1434" s="1921"/>
      <c r="C1434" s="1921"/>
      <c r="D1434" s="1921"/>
      <c r="E1434" s="1921"/>
      <c r="F1434" s="1921"/>
      <c r="G1434" s="1921"/>
      <c r="H1434" s="1921"/>
      <c r="I1434" s="1922"/>
      <c r="J1434" s="1768"/>
    </row>
    <row r="1435" spans="1:10">
      <c r="A1435" s="1757">
        <f>'PLANILHA SEM DESON'!B222</f>
        <v>98302</v>
      </c>
      <c r="B1435" s="1923" t="str">
        <f>VLOOKUP(A1435,'PLANILHA SEM DESON'!$B$17:$D$1699,2,FALSE)</f>
        <v>PATCH PANEL 24 PORTAS, CATEGORIA 6 - FORNECIMENTO E INSTALAÇÃO. AF_11/2019</v>
      </c>
      <c r="C1435" s="1924"/>
      <c r="D1435" s="1924"/>
      <c r="E1435" s="1924"/>
      <c r="F1435" s="1924"/>
      <c r="G1435" s="1924"/>
      <c r="H1435" s="1925"/>
      <c r="I1435" s="1758" t="str">
        <f>VLOOKUP(A1435,'PLANILHA SEM DESON'!$B$17:$D$1699,3,FALSE)</f>
        <v xml:space="preserve">un </v>
      </c>
      <c r="J1435" s="1759">
        <f>I1440</f>
        <v>999.22</v>
      </c>
    </row>
    <row r="1436" spans="1:10" ht="24">
      <c r="A1436" s="1761" t="s">
        <v>2401</v>
      </c>
      <c r="B1436" s="1762" t="s">
        <v>2402</v>
      </c>
      <c r="C1436" s="1763" t="s">
        <v>2399</v>
      </c>
      <c r="D1436" s="1764" t="s">
        <v>284</v>
      </c>
      <c r="E1436" s="1763" t="s">
        <v>193</v>
      </c>
      <c r="F1436" s="1765" t="s">
        <v>2403</v>
      </c>
      <c r="G1436" s="1763" t="s">
        <v>2404</v>
      </c>
      <c r="H1436" s="1766" t="s">
        <v>2405</v>
      </c>
      <c r="I1436" s="1767" t="s">
        <v>2406</v>
      </c>
      <c r="J1436" s="1768"/>
    </row>
    <row r="1437" spans="1:10" ht="24">
      <c r="A1437" s="1770"/>
      <c r="B1437" s="1771" t="s">
        <v>2410</v>
      </c>
      <c r="C1437" s="1771">
        <v>39596</v>
      </c>
      <c r="D1437" s="1772" t="s">
        <v>2650</v>
      </c>
      <c r="E1437" s="1773" t="s">
        <v>2432</v>
      </c>
      <c r="F1437" s="1780">
        <v>1</v>
      </c>
      <c r="G1437" s="1774">
        <v>714.94</v>
      </c>
      <c r="H1437" s="1775">
        <f>IF(E1437="H",G1437,TRUNC(G1437*(1-$K$7),2))</f>
        <v>710.65</v>
      </c>
      <c r="I1437" s="1776">
        <f t="shared" ref="I1437:I1439" si="198">TRUNC(H1437*F1437,2)</f>
        <v>710.65</v>
      </c>
      <c r="J1437" s="1768"/>
    </row>
    <row r="1438" spans="1:10" ht="24">
      <c r="A1438" s="1770"/>
      <c r="B1438" s="1771" t="s">
        <v>7</v>
      </c>
      <c r="C1438" s="1771">
        <v>88247</v>
      </c>
      <c r="D1438" s="1772" t="s">
        <v>93</v>
      </c>
      <c r="E1438" s="1773" t="s">
        <v>387</v>
      </c>
      <c r="F1438" s="1780">
        <v>6.2007000000000003</v>
      </c>
      <c r="G1438" s="1774">
        <v>21</v>
      </c>
      <c r="H1438" s="1775">
        <f>IF(E1438="H",G1438,TRUNC(G1438*(1-$K$7),2))</f>
        <v>21</v>
      </c>
      <c r="I1438" s="1776">
        <f t="shared" si="198"/>
        <v>130.21</v>
      </c>
      <c r="J1438" s="1768"/>
    </row>
    <row r="1439" spans="1:10">
      <c r="A1439" s="1770"/>
      <c r="B1439" s="1771" t="s">
        <v>7</v>
      </c>
      <c r="C1439" s="1771">
        <v>88264</v>
      </c>
      <c r="D1439" s="1772" t="s">
        <v>94</v>
      </c>
      <c r="E1439" s="1773" t="s">
        <v>387</v>
      </c>
      <c r="F1439" s="1780">
        <v>6.2007000000000003</v>
      </c>
      <c r="G1439" s="1774">
        <v>25.54</v>
      </c>
      <c r="H1439" s="1775">
        <f>IF(E1439="H",G1439,TRUNC(G1439*(1-$K$7),2))</f>
        <v>25.54</v>
      </c>
      <c r="I1439" s="1776">
        <f t="shared" si="198"/>
        <v>158.36000000000001</v>
      </c>
      <c r="J1439" s="1768"/>
    </row>
    <row r="1440" spans="1:10">
      <c r="A1440" s="1917" t="s">
        <v>2408</v>
      </c>
      <c r="B1440" s="1918"/>
      <c r="C1440" s="1918"/>
      <c r="D1440" s="1918"/>
      <c r="E1440" s="1918"/>
      <c r="F1440" s="1918"/>
      <c r="G1440" s="1918"/>
      <c r="H1440" s="1919"/>
      <c r="I1440" s="1778">
        <f>SUM(I1437:I1439)</f>
        <v>999.22</v>
      </c>
      <c r="J1440" s="1768"/>
    </row>
    <row r="1441" spans="1:10">
      <c r="A1441" s="1920"/>
      <c r="B1441" s="1921"/>
      <c r="C1441" s="1921"/>
      <c r="D1441" s="1921"/>
      <c r="E1441" s="1921"/>
      <c r="F1441" s="1921"/>
      <c r="G1441" s="1921"/>
      <c r="H1441" s="1921"/>
      <c r="I1441" s="1922"/>
      <c r="J1441" s="1768"/>
    </row>
    <row r="1442" spans="1:10" ht="24.75" customHeight="1">
      <c r="A1442" s="1757" t="str">
        <f>'PLANILHA SEM DESON'!B223</f>
        <v>COMP ELE 04</v>
      </c>
      <c r="B1442" s="1923" t="str">
        <f>VLOOKUP(A1442,'PLANILHA SEM DESON'!$B$17:$D$1699,2,FALSE)</f>
        <v>GUIA DE CABOS SIMPLES PARA RACK ABERTO 19"</v>
      </c>
      <c r="C1442" s="1924"/>
      <c r="D1442" s="1924"/>
      <c r="E1442" s="1924"/>
      <c r="F1442" s="1924"/>
      <c r="G1442" s="1924"/>
      <c r="H1442" s="1925"/>
      <c r="I1442" s="1758" t="str">
        <f>VLOOKUP(A1442,'PLANILHA SEM DESON'!$B$17:$D$1699,3,FALSE)</f>
        <v xml:space="preserve">un </v>
      </c>
      <c r="J1442" s="1759">
        <f>I1446</f>
        <v>57.61</v>
      </c>
    </row>
    <row r="1443" spans="1:10" ht="24">
      <c r="A1443" s="1761" t="s">
        <v>2401</v>
      </c>
      <c r="B1443" s="1762" t="s">
        <v>2402</v>
      </c>
      <c r="C1443" s="1763" t="s">
        <v>2399</v>
      </c>
      <c r="D1443" s="1764" t="s">
        <v>284</v>
      </c>
      <c r="E1443" s="1763" t="s">
        <v>193</v>
      </c>
      <c r="F1443" s="1765" t="s">
        <v>2403</v>
      </c>
      <c r="G1443" s="1763" t="s">
        <v>2404</v>
      </c>
      <c r="H1443" s="1766" t="s">
        <v>2405</v>
      </c>
      <c r="I1443" s="1767" t="s">
        <v>2406</v>
      </c>
      <c r="J1443" s="1768"/>
    </row>
    <row r="1444" spans="1:10">
      <c r="A1444" s="1770"/>
      <c r="B1444" s="1771"/>
      <c r="C1444" s="1771">
        <v>88264</v>
      </c>
      <c r="D1444" s="1772" t="s">
        <v>94</v>
      </c>
      <c r="E1444" s="1773" t="s">
        <v>57</v>
      </c>
      <c r="F1444" s="1784">
        <v>0.2</v>
      </c>
      <c r="G1444" s="1779">
        <v>25.54</v>
      </c>
      <c r="H1444" s="1775">
        <f>IF(E1444="H",G1444,TRUNC(G1444*(1-$K$7),2))</f>
        <v>25.54</v>
      </c>
      <c r="I1444" s="1776">
        <f t="shared" ref="I1444:I1445" si="199">TRUNC(H1444*F1444,2)</f>
        <v>5.0999999999999996</v>
      </c>
      <c r="J1444" s="1768"/>
    </row>
    <row r="1445" spans="1:10">
      <c r="A1445" s="1770"/>
      <c r="B1445" s="1771"/>
      <c r="C1445" s="1771" t="s">
        <v>65</v>
      </c>
      <c r="D1445" s="1772" t="s">
        <v>1481</v>
      </c>
      <c r="E1445" s="1773" t="s">
        <v>55</v>
      </c>
      <c r="F1445" s="1784">
        <v>1</v>
      </c>
      <c r="G1445" s="1779">
        <v>52.83</v>
      </c>
      <c r="H1445" s="1775">
        <f>IF(E1445="H",G1445,TRUNC(G1445*(1-$K$7),2))</f>
        <v>52.51</v>
      </c>
      <c r="I1445" s="1776">
        <f t="shared" si="199"/>
        <v>52.51</v>
      </c>
      <c r="J1445" s="1768"/>
    </row>
    <row r="1446" spans="1:10">
      <c r="A1446" s="1917" t="s">
        <v>2408</v>
      </c>
      <c r="B1446" s="1918"/>
      <c r="C1446" s="1918"/>
      <c r="D1446" s="1918"/>
      <c r="E1446" s="1918"/>
      <c r="F1446" s="1918"/>
      <c r="G1446" s="1918"/>
      <c r="H1446" s="1919"/>
      <c r="I1446" s="1778">
        <f>SUM(I1444:I1445)</f>
        <v>57.61</v>
      </c>
      <c r="J1446" s="1768"/>
    </row>
    <row r="1447" spans="1:10">
      <c r="A1447" s="1920"/>
      <c r="B1447" s="1921"/>
      <c r="C1447" s="1921"/>
      <c r="D1447" s="1921"/>
      <c r="E1447" s="1921"/>
      <c r="F1447" s="1921"/>
      <c r="G1447" s="1921"/>
      <c r="H1447" s="1921"/>
      <c r="I1447" s="1922"/>
      <c r="J1447" s="1768"/>
    </row>
    <row r="1448" spans="1:10" ht="25.5" customHeight="1">
      <c r="A1448" s="1757" t="str">
        <f>'PLANILHA SEM DESON'!B224</f>
        <v>COMP ELE 03</v>
      </c>
      <c r="B1448" s="1923" t="str">
        <f>VLOOKUP(A1448,'PLANILHA SEM DESON'!$B$17:$D$1699,2,FALSE)</f>
        <v>GUIA DE CABOS VERTICAL PARA RACK ABERTO 19"</v>
      </c>
      <c r="C1448" s="1924"/>
      <c r="D1448" s="1924"/>
      <c r="E1448" s="1924"/>
      <c r="F1448" s="1924"/>
      <c r="G1448" s="1924"/>
      <c r="H1448" s="1925"/>
      <c r="I1448" s="1758" t="str">
        <f>VLOOKUP(A1448,'PLANILHA SEM DESON'!$B$17:$D$1699,3,FALSE)</f>
        <v xml:space="preserve">un </v>
      </c>
      <c r="J1448" s="1759">
        <f>I1452</f>
        <v>162.65</v>
      </c>
    </row>
    <row r="1449" spans="1:10" ht="24">
      <c r="A1449" s="1761" t="s">
        <v>2401</v>
      </c>
      <c r="B1449" s="1762" t="s">
        <v>2402</v>
      </c>
      <c r="C1449" s="1763" t="s">
        <v>2399</v>
      </c>
      <c r="D1449" s="1764" t="s">
        <v>284</v>
      </c>
      <c r="E1449" s="1763" t="s">
        <v>193</v>
      </c>
      <c r="F1449" s="1765" t="s">
        <v>2403</v>
      </c>
      <c r="G1449" s="1763" t="s">
        <v>2404</v>
      </c>
      <c r="H1449" s="1766" t="s">
        <v>2405</v>
      </c>
      <c r="I1449" s="1767" t="s">
        <v>2406</v>
      </c>
      <c r="J1449" s="1768"/>
    </row>
    <row r="1450" spans="1:10">
      <c r="A1450" s="1770"/>
      <c r="B1450" s="1771"/>
      <c r="C1450" s="1771">
        <v>88264</v>
      </c>
      <c r="D1450" s="1772" t="s">
        <v>94</v>
      </c>
      <c r="E1450" s="1773" t="s">
        <v>57</v>
      </c>
      <c r="F1450" s="1784">
        <v>0.2</v>
      </c>
      <c r="G1450" s="1779">
        <v>25.54</v>
      </c>
      <c r="H1450" s="1775">
        <f>IF(E1450="H",G1450,TRUNC(G1450*(1-$K$7),2))</f>
        <v>25.54</v>
      </c>
      <c r="I1450" s="1776">
        <f t="shared" ref="I1450:I1451" si="200">TRUNC(H1450*F1450,2)</f>
        <v>5.0999999999999996</v>
      </c>
      <c r="J1450" s="1768"/>
    </row>
    <row r="1451" spans="1:10">
      <c r="A1451" s="1770"/>
      <c r="B1451" s="1771"/>
      <c r="C1451" s="1771" t="s">
        <v>65</v>
      </c>
      <c r="D1451" s="1772" t="s">
        <v>474</v>
      </c>
      <c r="E1451" s="1773" t="s">
        <v>55</v>
      </c>
      <c r="F1451" s="1784">
        <v>1</v>
      </c>
      <c r="G1451" s="1779">
        <v>158.51</v>
      </c>
      <c r="H1451" s="1775">
        <f>IF(E1451="H",G1451,TRUNC(G1451*(1-$K$7),2))</f>
        <v>157.55000000000001</v>
      </c>
      <c r="I1451" s="1776">
        <f t="shared" si="200"/>
        <v>157.55000000000001</v>
      </c>
      <c r="J1451" s="1768"/>
    </row>
    <row r="1452" spans="1:10">
      <c r="A1452" s="1917" t="s">
        <v>2408</v>
      </c>
      <c r="B1452" s="1918"/>
      <c r="C1452" s="1918"/>
      <c r="D1452" s="1918"/>
      <c r="E1452" s="1918"/>
      <c r="F1452" s="1918"/>
      <c r="G1452" s="1918"/>
      <c r="H1452" s="1919"/>
      <c r="I1452" s="1778">
        <f>SUM(I1450:I1451)</f>
        <v>162.65</v>
      </c>
      <c r="J1452" s="1768"/>
    </row>
    <row r="1453" spans="1:10">
      <c r="A1453" s="1920"/>
      <c r="B1453" s="1921"/>
      <c r="C1453" s="1921"/>
      <c r="D1453" s="1921"/>
      <c r="E1453" s="1921"/>
      <c r="F1453" s="1921"/>
      <c r="G1453" s="1921"/>
      <c r="H1453" s="1921"/>
      <c r="I1453" s="1922"/>
      <c r="J1453" s="1768"/>
    </row>
    <row r="1454" spans="1:10" ht="24" customHeight="1">
      <c r="A1454" s="1757" t="str">
        <f>'PLANILHA SEM DESON'!B225</f>
        <v>COMP ELE 02</v>
      </c>
      <c r="B1454" s="1923" t="str">
        <f>VLOOKUP(A1454,'PLANILHA SEM DESON'!$B$17:$D$1699,2,FALSE)</f>
        <v>GUIA ORGANIZADORA DE CABOS HORIZONTAL, 19´ 1 U</v>
      </c>
      <c r="C1454" s="1924"/>
      <c r="D1454" s="1924"/>
      <c r="E1454" s="1924"/>
      <c r="F1454" s="1924"/>
      <c r="G1454" s="1924"/>
      <c r="H1454" s="1925"/>
      <c r="I1454" s="1758" t="str">
        <f>VLOOKUP(A1454,'PLANILHA SEM DESON'!$B$17:$D$1699,3,FALSE)</f>
        <v xml:space="preserve">un </v>
      </c>
      <c r="J1454" s="1759">
        <f>I1459</f>
        <v>48.97</v>
      </c>
    </row>
    <row r="1455" spans="1:10" ht="24">
      <c r="A1455" s="1761" t="s">
        <v>2401</v>
      </c>
      <c r="B1455" s="1762" t="s">
        <v>2402</v>
      </c>
      <c r="C1455" s="1763" t="s">
        <v>2399</v>
      </c>
      <c r="D1455" s="1764" t="s">
        <v>284</v>
      </c>
      <c r="E1455" s="1763" t="s">
        <v>193</v>
      </c>
      <c r="F1455" s="1765" t="s">
        <v>2403</v>
      </c>
      <c r="G1455" s="1763" t="s">
        <v>2404</v>
      </c>
      <c r="H1455" s="1766" t="s">
        <v>2405</v>
      </c>
      <c r="I1455" s="1767" t="s">
        <v>2406</v>
      </c>
      <c r="J1455" s="1768"/>
    </row>
    <row r="1456" spans="1:10">
      <c r="A1456" s="1770"/>
      <c r="B1456" s="1771"/>
      <c r="C1456" s="1771">
        <v>88264</v>
      </c>
      <c r="D1456" s="1772" t="s">
        <v>94</v>
      </c>
      <c r="E1456" s="1773" t="s">
        <v>57</v>
      </c>
      <c r="F1456" s="1784">
        <v>0.2</v>
      </c>
      <c r="G1456" s="1779">
        <v>25.54</v>
      </c>
      <c r="H1456" s="1775">
        <f>IF(E1456="H",G1456,TRUNC(G1456*(1-$K$7),2))</f>
        <v>25.54</v>
      </c>
      <c r="I1456" s="1776">
        <f t="shared" ref="I1456:I1458" si="201">TRUNC(H1456*F1456,2)</f>
        <v>5.0999999999999996</v>
      </c>
      <c r="J1456" s="1768"/>
    </row>
    <row r="1457" spans="1:10" ht="24">
      <c r="A1457" s="1770"/>
      <c r="B1457" s="1771"/>
      <c r="C1457" s="1771">
        <v>88247</v>
      </c>
      <c r="D1457" s="1772" t="s">
        <v>93</v>
      </c>
      <c r="E1457" s="1773" t="s">
        <v>57</v>
      </c>
      <c r="F1457" s="1784">
        <v>0.2</v>
      </c>
      <c r="G1457" s="1779">
        <v>21</v>
      </c>
      <c r="H1457" s="1775">
        <f>IF(E1457="H",G1457,TRUNC(G1457*(1-$K$7),2))</f>
        <v>21</v>
      </c>
      <c r="I1457" s="1776">
        <f t="shared" si="201"/>
        <v>4.2</v>
      </c>
      <c r="J1457" s="1768"/>
    </row>
    <row r="1458" spans="1:10">
      <c r="A1458" s="1770"/>
      <c r="B1458" s="1771"/>
      <c r="C1458" s="1771" t="s">
        <v>65</v>
      </c>
      <c r="D1458" s="1772" t="s">
        <v>2356</v>
      </c>
      <c r="E1458" s="1773" t="s">
        <v>55</v>
      </c>
      <c r="F1458" s="1784">
        <v>1</v>
      </c>
      <c r="G1458" s="1779">
        <v>39.909999999999997</v>
      </c>
      <c r="H1458" s="1775">
        <f>IF(E1458="H",G1458,TRUNC(G1458*(1-$K$7),2))</f>
        <v>39.67</v>
      </c>
      <c r="I1458" s="1776">
        <f t="shared" si="201"/>
        <v>39.67</v>
      </c>
      <c r="J1458" s="1768"/>
    </row>
    <row r="1459" spans="1:10">
      <c r="A1459" s="1917" t="s">
        <v>2408</v>
      </c>
      <c r="B1459" s="1918"/>
      <c r="C1459" s="1918"/>
      <c r="D1459" s="1918"/>
      <c r="E1459" s="1918"/>
      <c r="F1459" s="1918"/>
      <c r="G1459" s="1918"/>
      <c r="H1459" s="1919"/>
      <c r="I1459" s="1778">
        <f>SUM(I1456:I1458)</f>
        <v>48.97</v>
      </c>
      <c r="J1459" s="1768"/>
    </row>
    <row r="1460" spans="1:10">
      <c r="A1460" s="1920"/>
      <c r="B1460" s="1921"/>
      <c r="C1460" s="1921"/>
      <c r="D1460" s="1921"/>
      <c r="E1460" s="1921"/>
      <c r="F1460" s="1921"/>
      <c r="G1460" s="1921"/>
      <c r="H1460" s="1921"/>
      <c r="I1460" s="1922"/>
      <c r="J1460" s="1768"/>
    </row>
    <row r="1461" spans="1:10" ht="24.75" customHeight="1">
      <c r="A1461" s="1757" t="str">
        <f>'PLANILHA SEM DESON'!B226</f>
        <v>COMP ELE 05</v>
      </c>
      <c r="B1461" s="1923" t="str">
        <f>VLOOKUP(A1461,'PLANILHA SEM DESON'!$B$17:$D$1699,2,FALSE)</f>
        <v>SWITCH (10/100)BASE TX + (1000)BASE T (24 + 2) PORTAS</v>
      </c>
      <c r="C1461" s="1924"/>
      <c r="D1461" s="1924"/>
      <c r="E1461" s="1924"/>
      <c r="F1461" s="1924"/>
      <c r="G1461" s="1924"/>
      <c r="H1461" s="1925"/>
      <c r="I1461" s="1758" t="str">
        <f>VLOOKUP(A1461,'PLANILHA SEM DESON'!$B$17:$D$1699,3,FALSE)</f>
        <v xml:space="preserve">un </v>
      </c>
      <c r="J1461" s="1759">
        <f>I1466</f>
        <v>2138.2199999999998</v>
      </c>
    </row>
    <row r="1462" spans="1:10" ht="24">
      <c r="A1462" s="1761" t="s">
        <v>2401</v>
      </c>
      <c r="B1462" s="1762" t="s">
        <v>2402</v>
      </c>
      <c r="C1462" s="1763" t="s">
        <v>2399</v>
      </c>
      <c r="D1462" s="1764" t="s">
        <v>284</v>
      </c>
      <c r="E1462" s="1763" t="s">
        <v>193</v>
      </c>
      <c r="F1462" s="1765" t="s">
        <v>2403</v>
      </c>
      <c r="G1462" s="1763" t="s">
        <v>2404</v>
      </c>
      <c r="H1462" s="1766" t="s">
        <v>2405</v>
      </c>
      <c r="I1462" s="1767" t="s">
        <v>2406</v>
      </c>
      <c r="J1462" s="1768"/>
    </row>
    <row r="1463" spans="1:10">
      <c r="A1463" s="1770"/>
      <c r="B1463" s="1771"/>
      <c r="C1463" s="1771">
        <v>88264</v>
      </c>
      <c r="D1463" s="1772" t="s">
        <v>94</v>
      </c>
      <c r="E1463" s="1773" t="s">
        <v>57</v>
      </c>
      <c r="F1463" s="1784">
        <v>1</v>
      </c>
      <c r="G1463" s="1779">
        <v>25.54</v>
      </c>
      <c r="H1463" s="1775">
        <f>IF(E1463="H",G1463,TRUNC(G1463*(1-$K$7),2))</f>
        <v>25.54</v>
      </c>
      <c r="I1463" s="1776">
        <f t="shared" ref="I1463:I1465" si="202">TRUNC(H1463*F1463,2)</f>
        <v>25.54</v>
      </c>
      <c r="J1463" s="1768"/>
    </row>
    <row r="1464" spans="1:10" ht="24">
      <c r="A1464" s="1770"/>
      <c r="B1464" s="1771"/>
      <c r="C1464" s="1771">
        <v>88247</v>
      </c>
      <c r="D1464" s="1772" t="s">
        <v>93</v>
      </c>
      <c r="E1464" s="1773" t="s">
        <v>57</v>
      </c>
      <c r="F1464" s="1784">
        <v>1</v>
      </c>
      <c r="G1464" s="1779">
        <v>21</v>
      </c>
      <c r="H1464" s="1775">
        <f>IF(E1464="H",G1464,TRUNC(G1464*(1-$K$7),2))</f>
        <v>21</v>
      </c>
      <c r="I1464" s="1776">
        <f t="shared" si="202"/>
        <v>21</v>
      </c>
      <c r="J1464" s="1768"/>
    </row>
    <row r="1465" spans="1:10">
      <c r="A1465" s="1770"/>
      <c r="B1465" s="1771"/>
      <c r="C1465" s="1771" t="s">
        <v>65</v>
      </c>
      <c r="D1465" s="1772" t="s">
        <v>1091</v>
      </c>
      <c r="E1465" s="1773" t="s">
        <v>55</v>
      </c>
      <c r="F1465" s="1784">
        <v>1</v>
      </c>
      <c r="G1465" s="1779">
        <v>2104.31</v>
      </c>
      <c r="H1465" s="1775">
        <f>IF(E1465="H",G1465,TRUNC(G1465*(1-$K$7),2))</f>
        <v>2091.6799999999998</v>
      </c>
      <c r="I1465" s="1776">
        <f t="shared" si="202"/>
        <v>2091.6799999999998</v>
      </c>
      <c r="J1465" s="1768"/>
    </row>
    <row r="1466" spans="1:10">
      <c r="A1466" s="1917" t="s">
        <v>2408</v>
      </c>
      <c r="B1466" s="1918"/>
      <c r="C1466" s="1918"/>
      <c r="D1466" s="1918"/>
      <c r="E1466" s="1918"/>
      <c r="F1466" s="1918"/>
      <c r="G1466" s="1918"/>
      <c r="H1466" s="1919"/>
      <c r="I1466" s="1778">
        <f>SUM(I1463:I1465)</f>
        <v>2138.2199999999998</v>
      </c>
      <c r="J1466" s="1768"/>
    </row>
    <row r="1467" spans="1:10">
      <c r="A1467" s="1920"/>
      <c r="B1467" s="1921"/>
      <c r="C1467" s="1921"/>
      <c r="D1467" s="1921"/>
      <c r="E1467" s="1921"/>
      <c r="F1467" s="1921"/>
      <c r="G1467" s="1921"/>
      <c r="H1467" s="1921"/>
      <c r="I1467" s="1922"/>
      <c r="J1467" s="1768"/>
    </row>
    <row r="1468" spans="1:10" ht="25.5" customHeight="1">
      <c r="A1468" s="1757" t="str">
        <f>'PLANILHA SEM DESON'!B227</f>
        <v>COMP ELE 09</v>
      </c>
      <c r="B1468" s="1923" t="str">
        <f>VLOOKUP(A1468,'PLANILHA SEM DESON'!$B$17:$D$1699,2,FALSE)</f>
        <v>BANDEJA DESLIZANTE PERFURADA COM ANEL ORGANIZADOR DE CABOS E PÉS NIVELADORES</v>
      </c>
      <c r="C1468" s="1924"/>
      <c r="D1468" s="1924"/>
      <c r="E1468" s="1924"/>
      <c r="F1468" s="1924"/>
      <c r="G1468" s="1924"/>
      <c r="H1468" s="1925"/>
      <c r="I1468" s="1758" t="str">
        <f>VLOOKUP(A1468,'PLANILHA SEM DESON'!$B$17:$D$1699,3,FALSE)</f>
        <v xml:space="preserve">un </v>
      </c>
      <c r="J1468" s="1759">
        <f>I1476</f>
        <v>177.32</v>
      </c>
    </row>
    <row r="1469" spans="1:10" ht="24">
      <c r="A1469" s="1761" t="s">
        <v>2401</v>
      </c>
      <c r="B1469" s="1762" t="s">
        <v>2402</v>
      </c>
      <c r="C1469" s="1763" t="s">
        <v>2399</v>
      </c>
      <c r="D1469" s="1764" t="s">
        <v>284</v>
      </c>
      <c r="E1469" s="1763" t="s">
        <v>193</v>
      </c>
      <c r="F1469" s="1765" t="s">
        <v>2403</v>
      </c>
      <c r="G1469" s="1763" t="s">
        <v>2404</v>
      </c>
      <c r="H1469" s="1766" t="s">
        <v>2405</v>
      </c>
      <c r="I1469" s="1767" t="s">
        <v>2406</v>
      </c>
      <c r="J1469" s="1768"/>
    </row>
    <row r="1470" spans="1:10">
      <c r="A1470" s="1770"/>
      <c r="B1470" s="1771"/>
      <c r="C1470" s="1771">
        <v>88264</v>
      </c>
      <c r="D1470" s="1772" t="s">
        <v>94</v>
      </c>
      <c r="E1470" s="1773" t="s">
        <v>57</v>
      </c>
      <c r="F1470" s="1784">
        <v>0.2</v>
      </c>
      <c r="G1470" s="1779">
        <v>25.54</v>
      </c>
      <c r="H1470" s="1775">
        <f t="shared" ref="H1470:H1475" si="203">IF(E1470="H",G1470,TRUNC(G1470*(1-$K$7),2))</f>
        <v>25.54</v>
      </c>
      <c r="I1470" s="1776">
        <f t="shared" ref="I1470:I1475" si="204">TRUNC(H1470*F1470,2)</f>
        <v>5.0999999999999996</v>
      </c>
      <c r="J1470" s="1768"/>
    </row>
    <row r="1471" spans="1:10" ht="24">
      <c r="A1471" s="1770"/>
      <c r="B1471" s="1771"/>
      <c r="C1471" s="1771">
        <v>88247</v>
      </c>
      <c r="D1471" s="1772" t="s">
        <v>93</v>
      </c>
      <c r="E1471" s="1773" t="s">
        <v>57</v>
      </c>
      <c r="F1471" s="1784">
        <v>0.2</v>
      </c>
      <c r="G1471" s="1779">
        <v>21</v>
      </c>
      <c r="H1471" s="1775">
        <f t="shared" si="203"/>
        <v>21</v>
      </c>
      <c r="I1471" s="1776">
        <f t="shared" si="204"/>
        <v>4.2</v>
      </c>
      <c r="J1471" s="1768"/>
    </row>
    <row r="1472" spans="1:10">
      <c r="A1472" s="1770"/>
      <c r="B1472" s="1771"/>
      <c r="C1472" s="1771" t="s">
        <v>65</v>
      </c>
      <c r="D1472" s="1772" t="s">
        <v>2125</v>
      </c>
      <c r="E1472" s="1773" t="s">
        <v>55</v>
      </c>
      <c r="F1472" s="1784">
        <v>1</v>
      </c>
      <c r="G1472" s="1779">
        <v>106.83000000000001</v>
      </c>
      <c r="H1472" s="1775">
        <f t="shared" si="203"/>
        <v>106.18</v>
      </c>
      <c r="I1472" s="1776">
        <f t="shared" si="204"/>
        <v>106.18</v>
      </c>
      <c r="J1472" s="1768"/>
    </row>
    <row r="1473" spans="1:10">
      <c r="A1473" s="1770"/>
      <c r="B1473" s="1771"/>
      <c r="C1473" s="1771">
        <v>4374</v>
      </c>
      <c r="D1473" s="1772" t="s">
        <v>2126</v>
      </c>
      <c r="E1473" s="1773" t="s">
        <v>55</v>
      </c>
      <c r="F1473" s="1784">
        <v>2</v>
      </c>
      <c r="G1473" s="1779">
        <v>0.37</v>
      </c>
      <c r="H1473" s="1775">
        <f t="shared" si="203"/>
        <v>0.36</v>
      </c>
      <c r="I1473" s="1776">
        <f t="shared" si="204"/>
        <v>0.72</v>
      </c>
      <c r="J1473" s="1768"/>
    </row>
    <row r="1474" spans="1:10">
      <c r="A1474" s="1770"/>
      <c r="B1474" s="1771"/>
      <c r="C1474" s="1771" t="s">
        <v>65</v>
      </c>
      <c r="D1474" s="1772" t="s">
        <v>2127</v>
      </c>
      <c r="E1474" s="1773" t="s">
        <v>542</v>
      </c>
      <c r="F1474" s="1784">
        <v>1</v>
      </c>
      <c r="G1474" s="1779">
        <v>56.3</v>
      </c>
      <c r="H1474" s="1775">
        <f t="shared" si="203"/>
        <v>55.96</v>
      </c>
      <c r="I1474" s="1776">
        <f t="shared" si="204"/>
        <v>55.96</v>
      </c>
      <c r="J1474" s="1768"/>
    </row>
    <row r="1475" spans="1:10">
      <c r="A1475" s="1770"/>
      <c r="B1475" s="1771"/>
      <c r="C1475" s="1771" t="s">
        <v>65</v>
      </c>
      <c r="D1475" s="1772" t="s">
        <v>2357</v>
      </c>
      <c r="E1475" s="1773" t="s">
        <v>54</v>
      </c>
      <c r="F1475" s="1784">
        <v>1</v>
      </c>
      <c r="G1475" s="1779">
        <v>5.2</v>
      </c>
      <c r="H1475" s="1775">
        <f t="shared" si="203"/>
        <v>5.16</v>
      </c>
      <c r="I1475" s="1776">
        <f t="shared" si="204"/>
        <v>5.16</v>
      </c>
      <c r="J1475" s="1768"/>
    </row>
    <row r="1476" spans="1:10">
      <c r="A1476" s="1917" t="s">
        <v>2408</v>
      </c>
      <c r="B1476" s="1918"/>
      <c r="C1476" s="1918"/>
      <c r="D1476" s="1918"/>
      <c r="E1476" s="1918"/>
      <c r="F1476" s="1918"/>
      <c r="G1476" s="1918"/>
      <c r="H1476" s="1919"/>
      <c r="I1476" s="1778">
        <f>SUM(I1470:I1475)</f>
        <v>177.32</v>
      </c>
      <c r="J1476" s="1768"/>
    </row>
    <row r="1477" spans="1:10">
      <c r="A1477" s="1920"/>
      <c r="B1477" s="1921"/>
      <c r="C1477" s="1921"/>
      <c r="D1477" s="1921"/>
      <c r="E1477" s="1921"/>
      <c r="F1477" s="1921"/>
      <c r="G1477" s="1921"/>
      <c r="H1477" s="1921"/>
      <c r="I1477" s="1922"/>
      <c r="J1477" s="1768"/>
    </row>
    <row r="1478" spans="1:10" ht="24" customHeight="1">
      <c r="A1478" s="1757" t="str">
        <f>'PLANILHA SEM DESON'!B230</f>
        <v>COMP ELE 13</v>
      </c>
      <c r="B1478" s="1923" t="str">
        <f>VLOOKUP(A1478,'PLANILHA SEM DESON'!$B$17:$D$1699,2,FALSE)</f>
        <v xml:space="preserve">CAIXA DE PASSAGEM ENTERRADA EM ALVENARIA DE 400X400X400MM, COM TAMPA 400X400X50MM </v>
      </c>
      <c r="C1478" s="1924"/>
      <c r="D1478" s="1924"/>
      <c r="E1478" s="1924"/>
      <c r="F1478" s="1924"/>
      <c r="G1478" s="1924"/>
      <c r="H1478" s="1925"/>
      <c r="I1478" s="1758" t="str">
        <f>VLOOKUP(A1478,'PLANILHA SEM DESON'!$B$17:$D$1699,3,FALSE)</f>
        <v xml:space="preserve">un </v>
      </c>
      <c r="J1478" s="1759">
        <f>I1491</f>
        <v>263.52</v>
      </c>
    </row>
    <row r="1479" spans="1:10" ht="24">
      <c r="A1479" s="1761" t="s">
        <v>2401</v>
      </c>
      <c r="B1479" s="1762" t="s">
        <v>2402</v>
      </c>
      <c r="C1479" s="1763" t="s">
        <v>2399</v>
      </c>
      <c r="D1479" s="1764" t="s">
        <v>284</v>
      </c>
      <c r="E1479" s="1763" t="s">
        <v>193</v>
      </c>
      <c r="F1479" s="1765" t="s">
        <v>2403</v>
      </c>
      <c r="G1479" s="1763" t="s">
        <v>2404</v>
      </c>
      <c r="H1479" s="1766" t="s">
        <v>2405</v>
      </c>
      <c r="I1479" s="1767" t="s">
        <v>2406</v>
      </c>
      <c r="J1479" s="1768"/>
    </row>
    <row r="1480" spans="1:10">
      <c r="A1480" s="1770"/>
      <c r="B1480" s="1771"/>
      <c r="C1480" s="1771">
        <v>88309</v>
      </c>
      <c r="D1480" s="1772" t="s">
        <v>103</v>
      </c>
      <c r="E1480" s="1773" t="s">
        <v>57</v>
      </c>
      <c r="F1480" s="1784">
        <v>2.42</v>
      </c>
      <c r="G1480" s="1779">
        <v>24.59</v>
      </c>
      <c r="H1480" s="1775">
        <f t="shared" ref="H1480:H1490" si="205">IF(E1480="H",G1480,TRUNC(G1480*(1-$K$7),2))</f>
        <v>24.59</v>
      </c>
      <c r="I1480" s="1776">
        <f t="shared" ref="I1480:I1490" si="206">TRUNC(H1480*F1480,2)</f>
        <v>59.5</v>
      </c>
      <c r="J1480" s="1768"/>
    </row>
    <row r="1481" spans="1:10">
      <c r="A1481" s="1770"/>
      <c r="B1481" s="1771"/>
      <c r="C1481" s="1771">
        <v>88316</v>
      </c>
      <c r="D1481" s="1772" t="s">
        <v>66</v>
      </c>
      <c r="E1481" s="1773" t="s">
        <v>57</v>
      </c>
      <c r="F1481" s="1784">
        <v>4.0999999999999996</v>
      </c>
      <c r="G1481" s="1779">
        <v>19.45</v>
      </c>
      <c r="H1481" s="1775">
        <f t="shared" si="205"/>
        <v>19.45</v>
      </c>
      <c r="I1481" s="1776">
        <f t="shared" si="206"/>
        <v>79.739999999999995</v>
      </c>
      <c r="J1481" s="1768"/>
    </row>
    <row r="1482" spans="1:10" ht="24">
      <c r="A1482" s="1770"/>
      <c r="B1482" s="1771"/>
      <c r="C1482" s="1789">
        <v>43059</v>
      </c>
      <c r="D1482" s="1772" t="s">
        <v>498</v>
      </c>
      <c r="E1482" s="1773" t="s">
        <v>100</v>
      </c>
      <c r="F1482" s="1782">
        <v>0.56000000000000005</v>
      </c>
      <c r="G1482" s="1779">
        <v>10.08</v>
      </c>
      <c r="H1482" s="1775">
        <f t="shared" si="205"/>
        <v>10.01</v>
      </c>
      <c r="I1482" s="1776">
        <f t="shared" ref="I1482:I1485" si="207">TRUNC(H1482*F1482,2)</f>
        <v>5.6</v>
      </c>
      <c r="J1482" s="1768"/>
    </row>
    <row r="1483" spans="1:10" ht="24">
      <c r="A1483" s="1770"/>
      <c r="B1483" s="1771"/>
      <c r="C1483" s="1789">
        <v>367</v>
      </c>
      <c r="D1483" s="1772" t="s">
        <v>499</v>
      </c>
      <c r="E1483" s="1773" t="s">
        <v>47</v>
      </c>
      <c r="F1483" s="1785">
        <v>5.0400000000000002E-3</v>
      </c>
      <c r="G1483" s="1779">
        <v>126.63</v>
      </c>
      <c r="H1483" s="1775">
        <f t="shared" si="205"/>
        <v>125.87</v>
      </c>
      <c r="I1483" s="1776">
        <f t="shared" si="207"/>
        <v>0.63</v>
      </c>
      <c r="J1483" s="1768"/>
    </row>
    <row r="1484" spans="1:10" ht="24">
      <c r="A1484" s="1770"/>
      <c r="B1484" s="1771"/>
      <c r="C1484" s="1789">
        <v>370</v>
      </c>
      <c r="D1484" s="1772" t="s">
        <v>388</v>
      </c>
      <c r="E1484" s="1773" t="s">
        <v>47</v>
      </c>
      <c r="F1484" s="1782">
        <v>7.0000000000000007E-2</v>
      </c>
      <c r="G1484" s="1779">
        <v>125</v>
      </c>
      <c r="H1484" s="1775">
        <f t="shared" si="205"/>
        <v>124.25</v>
      </c>
      <c r="I1484" s="1776">
        <f t="shared" si="207"/>
        <v>8.69</v>
      </c>
      <c r="J1484" s="1768"/>
    </row>
    <row r="1485" spans="1:10">
      <c r="A1485" s="1770"/>
      <c r="B1485" s="1771"/>
      <c r="C1485" s="1789">
        <v>1106</v>
      </c>
      <c r="D1485" s="1772" t="s">
        <v>500</v>
      </c>
      <c r="E1485" s="1773" t="s">
        <v>100</v>
      </c>
      <c r="F1485" s="1779">
        <v>5.78</v>
      </c>
      <c r="G1485" s="1779">
        <v>0.95</v>
      </c>
      <c r="H1485" s="1775">
        <f t="shared" si="205"/>
        <v>0.94</v>
      </c>
      <c r="I1485" s="1776">
        <f t="shared" si="207"/>
        <v>5.43</v>
      </c>
      <c r="J1485" s="1768"/>
    </row>
    <row r="1486" spans="1:10" ht="24">
      <c r="A1486" s="1770"/>
      <c r="B1486" s="1771"/>
      <c r="C1486" s="1789">
        <v>1358</v>
      </c>
      <c r="D1486" s="1772" t="s">
        <v>501</v>
      </c>
      <c r="E1486" s="1773" t="s">
        <v>46</v>
      </c>
      <c r="F1486" s="1779">
        <v>0.08</v>
      </c>
      <c r="G1486" s="1779">
        <v>78.69</v>
      </c>
      <c r="H1486" s="1775">
        <f t="shared" si="205"/>
        <v>78.209999999999994</v>
      </c>
      <c r="I1486" s="1776">
        <f t="shared" si="206"/>
        <v>6.25</v>
      </c>
      <c r="J1486" s="1768"/>
    </row>
    <row r="1487" spans="1:10">
      <c r="A1487" s="1770"/>
      <c r="B1487" s="1771"/>
      <c r="C1487" s="1789">
        <v>1379</v>
      </c>
      <c r="D1487" s="1772" t="s">
        <v>163</v>
      </c>
      <c r="E1487" s="1773" t="s">
        <v>100</v>
      </c>
      <c r="F1487" s="1779">
        <v>16.47</v>
      </c>
      <c r="G1487" s="1779">
        <v>0.95</v>
      </c>
      <c r="H1487" s="1775">
        <f t="shared" si="205"/>
        <v>0.94</v>
      </c>
      <c r="I1487" s="1776">
        <f t="shared" si="206"/>
        <v>15.48</v>
      </c>
      <c r="J1487" s="1768"/>
    </row>
    <row r="1488" spans="1:10" ht="24">
      <c r="A1488" s="1770"/>
      <c r="B1488" s="1771"/>
      <c r="C1488" s="1789">
        <v>4718</v>
      </c>
      <c r="D1488" s="1772" t="s">
        <v>389</v>
      </c>
      <c r="E1488" s="1773" t="s">
        <v>47</v>
      </c>
      <c r="F1488" s="1785">
        <v>5.8399999999999997E-3</v>
      </c>
      <c r="G1488" s="1779">
        <v>108.18</v>
      </c>
      <c r="H1488" s="1775">
        <f t="shared" si="205"/>
        <v>107.53</v>
      </c>
      <c r="I1488" s="1776">
        <f t="shared" si="206"/>
        <v>0.62</v>
      </c>
      <c r="J1488" s="1768"/>
    </row>
    <row r="1489" spans="1:10" ht="24">
      <c r="A1489" s="1770"/>
      <c r="B1489" s="1771"/>
      <c r="C1489" s="1789">
        <v>4722</v>
      </c>
      <c r="D1489" s="1772" t="s">
        <v>502</v>
      </c>
      <c r="E1489" s="1773" t="s">
        <v>47</v>
      </c>
      <c r="F1489" s="1785">
        <v>5.8399999999999997E-3</v>
      </c>
      <c r="G1489" s="1779">
        <v>101.65</v>
      </c>
      <c r="H1489" s="1775">
        <f t="shared" si="205"/>
        <v>101.04</v>
      </c>
      <c r="I1489" s="1776">
        <f t="shared" si="206"/>
        <v>0.59</v>
      </c>
      <c r="J1489" s="1768"/>
    </row>
    <row r="1490" spans="1:10">
      <c r="A1490" s="1770"/>
      <c r="B1490" s="1771"/>
      <c r="C1490" s="1789">
        <v>7258</v>
      </c>
      <c r="D1490" s="1772" t="s">
        <v>164</v>
      </c>
      <c r="E1490" s="1773" t="s">
        <v>55</v>
      </c>
      <c r="F1490" s="1779">
        <v>89</v>
      </c>
      <c r="G1490" s="1779">
        <v>0.92</v>
      </c>
      <c r="H1490" s="1775">
        <f t="shared" si="205"/>
        <v>0.91</v>
      </c>
      <c r="I1490" s="1776">
        <f t="shared" si="206"/>
        <v>80.989999999999995</v>
      </c>
      <c r="J1490" s="1768"/>
    </row>
    <row r="1491" spans="1:10">
      <c r="A1491" s="1917" t="s">
        <v>2408</v>
      </c>
      <c r="B1491" s="1918"/>
      <c r="C1491" s="1918"/>
      <c r="D1491" s="1918"/>
      <c r="E1491" s="1918"/>
      <c r="F1491" s="1918"/>
      <c r="G1491" s="1918"/>
      <c r="H1491" s="1919"/>
      <c r="I1491" s="1778">
        <f>SUM(I1480:I1490)</f>
        <v>263.52</v>
      </c>
      <c r="J1491" s="1768"/>
    </row>
    <row r="1492" spans="1:10">
      <c r="A1492" s="1920"/>
      <c r="B1492" s="1921"/>
      <c r="C1492" s="1921"/>
      <c r="D1492" s="1921"/>
      <c r="E1492" s="1921"/>
      <c r="F1492" s="1921"/>
      <c r="G1492" s="1921"/>
      <c r="H1492" s="1921"/>
      <c r="I1492" s="1922"/>
      <c r="J1492" s="1768"/>
    </row>
    <row r="1493" spans="1:10" ht="25.5" customHeight="1">
      <c r="A1493" s="1757" t="str">
        <f>'PLANILHA SEM DESON'!B231</f>
        <v>COMP ELE 14</v>
      </c>
      <c r="B1493" s="1923" t="str">
        <f>VLOOKUP(A1493,'PLANILHA SEM DESON'!$B$17:$D$1699,2,FALSE)</f>
        <v>CAIXA DE PASSAGEM METÁLICA PINTADA DE SOBREPOR 250X250X100 MM - FORNECIMENTO E INSTALAÇÃO</v>
      </c>
      <c r="C1493" s="1924"/>
      <c r="D1493" s="1924"/>
      <c r="E1493" s="1924"/>
      <c r="F1493" s="1924"/>
      <c r="G1493" s="1924"/>
      <c r="H1493" s="1925"/>
      <c r="I1493" s="1758" t="str">
        <f>VLOOKUP(A1493,'PLANILHA SEM DESON'!$B$17:$D$1699,3,FALSE)</f>
        <v xml:space="preserve">un </v>
      </c>
      <c r="J1493" s="1759">
        <f>I1498</f>
        <v>57.879999999999995</v>
      </c>
    </row>
    <row r="1494" spans="1:10" ht="24">
      <c r="A1494" s="1761" t="s">
        <v>2401</v>
      </c>
      <c r="B1494" s="1762" t="s">
        <v>2402</v>
      </c>
      <c r="C1494" s="1763" t="s">
        <v>2399</v>
      </c>
      <c r="D1494" s="1764" t="s">
        <v>284</v>
      </c>
      <c r="E1494" s="1763" t="s">
        <v>193</v>
      </c>
      <c r="F1494" s="1765" t="s">
        <v>2403</v>
      </c>
      <c r="G1494" s="1763" t="s">
        <v>2404</v>
      </c>
      <c r="H1494" s="1766" t="s">
        <v>2405</v>
      </c>
      <c r="I1494" s="1767" t="s">
        <v>2406</v>
      </c>
      <c r="J1494" s="1768"/>
    </row>
    <row r="1495" spans="1:10">
      <c r="A1495" s="1770"/>
      <c r="B1495" s="1771"/>
      <c r="C1495" s="1771">
        <v>88264</v>
      </c>
      <c r="D1495" s="1772" t="s">
        <v>94</v>
      </c>
      <c r="E1495" s="1773" t="s">
        <v>57</v>
      </c>
      <c r="F1495" s="1784">
        <v>0.34599999999999997</v>
      </c>
      <c r="G1495" s="1779">
        <v>25.54</v>
      </c>
      <c r="H1495" s="1775">
        <f>IF(E1495="H",G1495,TRUNC(G1495*(1-$K$7),2))</f>
        <v>25.54</v>
      </c>
      <c r="I1495" s="1776">
        <f t="shared" ref="I1495:I1497" si="208">TRUNC(H1495*F1495,2)</f>
        <v>8.83</v>
      </c>
      <c r="J1495" s="1768"/>
    </row>
    <row r="1496" spans="1:10" ht="24">
      <c r="A1496" s="1770"/>
      <c r="B1496" s="1771"/>
      <c r="C1496" s="1771">
        <v>88247</v>
      </c>
      <c r="D1496" s="1772" t="s">
        <v>93</v>
      </c>
      <c r="E1496" s="1773" t="s">
        <v>57</v>
      </c>
      <c r="F1496" s="1784">
        <v>0.34599999999999997</v>
      </c>
      <c r="G1496" s="1779">
        <v>21</v>
      </c>
      <c r="H1496" s="1775">
        <f>IF(E1496="H",G1496,TRUNC(G1496*(1-$K$7),2))</f>
        <v>21</v>
      </c>
      <c r="I1496" s="1776">
        <f t="shared" si="208"/>
        <v>7.26</v>
      </c>
      <c r="J1496" s="1768"/>
    </row>
    <row r="1497" spans="1:10" ht="24">
      <c r="A1497" s="1770"/>
      <c r="B1497" s="1771"/>
      <c r="C1497" s="1771">
        <v>39771</v>
      </c>
      <c r="D1497" s="1772" t="s">
        <v>1495</v>
      </c>
      <c r="E1497" s="1773" t="s">
        <v>55</v>
      </c>
      <c r="F1497" s="1784">
        <v>1</v>
      </c>
      <c r="G1497" s="1779">
        <v>42.05</v>
      </c>
      <c r="H1497" s="1775">
        <f>IF(E1497="H",G1497,TRUNC(G1497*(1-$K$7),2))</f>
        <v>41.79</v>
      </c>
      <c r="I1497" s="1776">
        <f t="shared" si="208"/>
        <v>41.79</v>
      </c>
      <c r="J1497" s="1768"/>
    </row>
    <row r="1498" spans="1:10">
      <c r="A1498" s="1917" t="s">
        <v>2408</v>
      </c>
      <c r="B1498" s="1918"/>
      <c r="C1498" s="1918"/>
      <c r="D1498" s="1918"/>
      <c r="E1498" s="1918"/>
      <c r="F1498" s="1918"/>
      <c r="G1498" s="1918"/>
      <c r="H1498" s="1919"/>
      <c r="I1498" s="1778">
        <f>SUM(I1495:I1497)</f>
        <v>57.879999999999995</v>
      </c>
      <c r="J1498" s="1768"/>
    </row>
    <row r="1499" spans="1:10">
      <c r="A1499" s="1920"/>
      <c r="B1499" s="1921"/>
      <c r="C1499" s="1921"/>
      <c r="D1499" s="1921"/>
      <c r="E1499" s="1921"/>
      <c r="F1499" s="1921"/>
      <c r="G1499" s="1921"/>
      <c r="H1499" s="1921"/>
      <c r="I1499" s="1922"/>
      <c r="J1499" s="1768"/>
    </row>
    <row r="1500" spans="1:10" ht="24.75" customHeight="1">
      <c r="A1500" s="1757">
        <f>'PLANILHA SEM DESON'!B233</f>
        <v>98295</v>
      </c>
      <c r="B1500" s="1923" t="str">
        <f>VLOOKUP(A1500,'PLANILHA SEM DESON'!$B$17:$D$1699,2,FALSE)</f>
        <v>CABO ELETRÔNICO CATEGORIA 5E, INSTALADO EM EDIFICAÇÃO INSTITUCIONAL - FORNECIMENTO E INSTALAÇÃO. AF_11/2019</v>
      </c>
      <c r="C1500" s="1924"/>
      <c r="D1500" s="1924"/>
      <c r="E1500" s="1924"/>
      <c r="F1500" s="1924"/>
      <c r="G1500" s="1924"/>
      <c r="H1500" s="1925"/>
      <c r="I1500" s="1758" t="str">
        <f>VLOOKUP(A1500,'PLANILHA SEM DESON'!$B$17:$D$1699,3,FALSE)</f>
        <v>m</v>
      </c>
      <c r="J1500" s="1759">
        <f>I1505</f>
        <v>5.03</v>
      </c>
    </row>
    <row r="1501" spans="1:10" ht="24">
      <c r="A1501" s="1761" t="s">
        <v>2401</v>
      </c>
      <c r="B1501" s="1762" t="s">
        <v>2402</v>
      </c>
      <c r="C1501" s="1763" t="s">
        <v>2399</v>
      </c>
      <c r="D1501" s="1764" t="s">
        <v>284</v>
      </c>
      <c r="E1501" s="1763" t="s">
        <v>193</v>
      </c>
      <c r="F1501" s="1765" t="s">
        <v>2403</v>
      </c>
      <c r="G1501" s="1763" t="s">
        <v>2404</v>
      </c>
      <c r="H1501" s="1766" t="s">
        <v>2405</v>
      </c>
      <c r="I1501" s="1767" t="s">
        <v>2406</v>
      </c>
      <c r="J1501" s="1768"/>
    </row>
    <row r="1502" spans="1:10" ht="24">
      <c r="A1502" s="1770" t="s">
        <v>2407</v>
      </c>
      <c r="B1502" s="1771" t="s">
        <v>2410</v>
      </c>
      <c r="C1502" s="1771">
        <v>39598</v>
      </c>
      <c r="D1502" s="1772" t="s">
        <v>2651</v>
      </c>
      <c r="E1502" s="1773" t="s">
        <v>158</v>
      </c>
      <c r="F1502" s="1780">
        <v>1.05</v>
      </c>
      <c r="G1502" s="1774">
        <v>4.71</v>
      </c>
      <c r="H1502" s="1775">
        <f>IF(E1502="H",G1502,TRUNC(G1502*(1-$K$7),2))</f>
        <v>4.68</v>
      </c>
      <c r="I1502" s="1776">
        <f t="shared" ref="I1502:I1504" si="209">TRUNC(H1502*F1502,2)</f>
        <v>4.91</v>
      </c>
      <c r="J1502" s="1768"/>
    </row>
    <row r="1503" spans="1:10" ht="24">
      <c r="A1503" s="1770" t="s">
        <v>2407</v>
      </c>
      <c r="B1503" s="1771" t="s">
        <v>7</v>
      </c>
      <c r="C1503" s="1771">
        <v>88247</v>
      </c>
      <c r="D1503" s="1772" t="s">
        <v>93</v>
      </c>
      <c r="E1503" s="1773" t="s">
        <v>387</v>
      </c>
      <c r="F1503" s="1780">
        <v>2.8E-3</v>
      </c>
      <c r="G1503" s="1774">
        <v>21</v>
      </c>
      <c r="H1503" s="1775">
        <f>IF(E1503="H",G1503,TRUNC(G1503*(1-$K$7),2))</f>
        <v>21</v>
      </c>
      <c r="I1503" s="1776">
        <f t="shared" si="209"/>
        <v>0.05</v>
      </c>
      <c r="J1503" s="1768"/>
    </row>
    <row r="1504" spans="1:10">
      <c r="A1504" s="1770" t="s">
        <v>2407</v>
      </c>
      <c r="B1504" s="1771" t="s">
        <v>7</v>
      </c>
      <c r="C1504" s="1771">
        <v>88264</v>
      </c>
      <c r="D1504" s="1772" t="s">
        <v>94</v>
      </c>
      <c r="E1504" s="1773" t="s">
        <v>387</v>
      </c>
      <c r="F1504" s="1780">
        <v>2.8E-3</v>
      </c>
      <c r="G1504" s="1774">
        <v>25.54</v>
      </c>
      <c r="H1504" s="1775">
        <f>IF(E1504="H",G1504,TRUNC(G1504*(1-$K$7),2))</f>
        <v>25.54</v>
      </c>
      <c r="I1504" s="1776">
        <f t="shared" si="209"/>
        <v>7.0000000000000007E-2</v>
      </c>
      <c r="J1504" s="1768"/>
    </row>
    <row r="1505" spans="1:10">
      <c r="A1505" s="1917" t="s">
        <v>2408</v>
      </c>
      <c r="B1505" s="1918"/>
      <c r="C1505" s="1918"/>
      <c r="D1505" s="1918"/>
      <c r="E1505" s="1918"/>
      <c r="F1505" s="1918"/>
      <c r="G1505" s="1918"/>
      <c r="H1505" s="1919"/>
      <c r="I1505" s="1778">
        <f>SUM(I1502:I1504)</f>
        <v>5.03</v>
      </c>
      <c r="J1505" s="1768"/>
    </row>
    <row r="1506" spans="1:10">
      <c r="A1506" s="1920"/>
      <c r="B1506" s="1921"/>
      <c r="C1506" s="1921"/>
      <c r="D1506" s="1921"/>
      <c r="E1506" s="1921"/>
      <c r="F1506" s="1921"/>
      <c r="G1506" s="1921"/>
      <c r="H1506" s="1921"/>
      <c r="I1506" s="1922"/>
      <c r="J1506" s="1768"/>
    </row>
    <row r="1507" spans="1:10" ht="24.75" customHeight="1">
      <c r="A1507" s="1757" t="str">
        <f>'PLANILHA SEM DESON'!B234</f>
        <v>COMP ELE 34</v>
      </c>
      <c r="B1507" s="1923" t="str">
        <f>VLOOKUP(A1507,'PLANILHA SEM DESON'!$B$17:$D$1699,2,FALSE)</f>
        <v>CABO DE REDE FTP 5E 24 AWG</v>
      </c>
      <c r="C1507" s="1924"/>
      <c r="D1507" s="1924"/>
      <c r="E1507" s="1924"/>
      <c r="F1507" s="1924"/>
      <c r="G1507" s="1924"/>
      <c r="H1507" s="1925"/>
      <c r="I1507" s="1758" t="str">
        <f>VLOOKUP(A1507,'PLANILHA SEM DESON'!$B$17:$D$1699,3,FALSE)</f>
        <v>m</v>
      </c>
      <c r="J1507" s="1759">
        <f>I1512</f>
        <v>10.14</v>
      </c>
    </row>
    <row r="1508" spans="1:10" ht="24">
      <c r="A1508" s="1761" t="s">
        <v>2401</v>
      </c>
      <c r="B1508" s="1762" t="s">
        <v>2402</v>
      </c>
      <c r="C1508" s="1763" t="s">
        <v>2399</v>
      </c>
      <c r="D1508" s="1764" t="s">
        <v>284</v>
      </c>
      <c r="E1508" s="1763" t="s">
        <v>193</v>
      </c>
      <c r="F1508" s="1765" t="s">
        <v>2403</v>
      </c>
      <c r="G1508" s="1763" t="s">
        <v>2404</v>
      </c>
      <c r="H1508" s="1766" t="s">
        <v>2405</v>
      </c>
      <c r="I1508" s="1767" t="s">
        <v>2406</v>
      </c>
      <c r="J1508" s="1768"/>
    </row>
    <row r="1509" spans="1:10">
      <c r="A1509" s="1770"/>
      <c r="B1509" s="1771"/>
      <c r="C1509" s="1771">
        <v>88264</v>
      </c>
      <c r="D1509" s="1772" t="s">
        <v>94</v>
      </c>
      <c r="E1509" s="1773" t="s">
        <v>57</v>
      </c>
      <c r="F1509" s="1784">
        <v>0.15</v>
      </c>
      <c r="G1509" s="1779">
        <v>25.54</v>
      </c>
      <c r="H1509" s="1775">
        <f>IF(E1509="H",G1509,TRUNC(G1509*(1-$K$7),2))</f>
        <v>25.54</v>
      </c>
      <c r="I1509" s="1776">
        <f t="shared" ref="I1509:I1511" si="210">TRUNC(H1509*F1509,2)</f>
        <v>3.83</v>
      </c>
      <c r="J1509" s="1768"/>
    </row>
    <row r="1510" spans="1:10" ht="24">
      <c r="A1510" s="1770"/>
      <c r="B1510" s="1771"/>
      <c r="C1510" s="1771">
        <v>88247</v>
      </c>
      <c r="D1510" s="1772" t="s">
        <v>93</v>
      </c>
      <c r="E1510" s="1773" t="s">
        <v>57</v>
      </c>
      <c r="F1510" s="1784">
        <v>0.15</v>
      </c>
      <c r="G1510" s="1779">
        <v>21</v>
      </c>
      <c r="H1510" s="1775">
        <f>IF(E1510="H",G1510,TRUNC(G1510*(1-$K$7),2))</f>
        <v>21</v>
      </c>
      <c r="I1510" s="1776">
        <f t="shared" si="210"/>
        <v>3.15</v>
      </c>
      <c r="J1510" s="1768"/>
    </row>
    <row r="1511" spans="1:10">
      <c r="A1511" s="1770"/>
      <c r="B1511" s="1771"/>
      <c r="C1511" s="1771" t="s">
        <v>65</v>
      </c>
      <c r="D1511" s="1772" t="s">
        <v>1515</v>
      </c>
      <c r="E1511" s="1773" t="s">
        <v>54</v>
      </c>
      <c r="F1511" s="1784">
        <v>1</v>
      </c>
      <c r="G1511" s="1779">
        <v>3.18</v>
      </c>
      <c r="H1511" s="1775">
        <f>IF(E1511="H",G1511,TRUNC(G1511*(1-$K$7),2))</f>
        <v>3.16</v>
      </c>
      <c r="I1511" s="1776">
        <f t="shared" si="210"/>
        <v>3.16</v>
      </c>
      <c r="J1511" s="1768"/>
    </row>
    <row r="1512" spans="1:10">
      <c r="A1512" s="1917" t="s">
        <v>2408</v>
      </c>
      <c r="B1512" s="1918"/>
      <c r="C1512" s="1918"/>
      <c r="D1512" s="1918"/>
      <c r="E1512" s="1918"/>
      <c r="F1512" s="1918"/>
      <c r="G1512" s="1918"/>
      <c r="H1512" s="1919"/>
      <c r="I1512" s="1778">
        <f>SUM(I1509:I1511)</f>
        <v>10.14</v>
      </c>
      <c r="J1512" s="1768"/>
    </row>
    <row r="1513" spans="1:10">
      <c r="A1513" s="1920"/>
      <c r="B1513" s="1921"/>
      <c r="C1513" s="1921"/>
      <c r="D1513" s="1921"/>
      <c r="E1513" s="1921"/>
      <c r="F1513" s="1921"/>
      <c r="G1513" s="1921"/>
      <c r="H1513" s="1921"/>
      <c r="I1513" s="1922"/>
      <c r="J1513" s="1768"/>
    </row>
    <row r="1514" spans="1:10" ht="24.75" customHeight="1">
      <c r="A1514" s="1757" t="str">
        <f>'PLANILHA SEM DESON'!B235</f>
        <v>COMP ELE 10</v>
      </c>
      <c r="B1514" s="1923" t="str">
        <f>VLOOKUP(A1514,'PLANILHA SEM DESON'!$B$17:$D$1699,2,FALSE)</f>
        <v>PLUGUE 110 IDC - 4 PARES</v>
      </c>
      <c r="C1514" s="1924"/>
      <c r="D1514" s="1924"/>
      <c r="E1514" s="1924"/>
      <c r="F1514" s="1924"/>
      <c r="G1514" s="1924"/>
      <c r="H1514" s="1925"/>
      <c r="I1514" s="1758" t="str">
        <f>VLOOKUP(A1514,'PLANILHA SEM DESON'!$B$17:$D$1699,3,FALSE)</f>
        <v xml:space="preserve">un </v>
      </c>
      <c r="J1514" s="1759">
        <f>I1519</f>
        <v>236.55</v>
      </c>
    </row>
    <row r="1515" spans="1:10" ht="24">
      <c r="A1515" s="1761" t="s">
        <v>2401</v>
      </c>
      <c r="B1515" s="1762" t="s">
        <v>2402</v>
      </c>
      <c r="C1515" s="1763" t="s">
        <v>2399</v>
      </c>
      <c r="D1515" s="1764" t="s">
        <v>284</v>
      </c>
      <c r="E1515" s="1763" t="s">
        <v>193</v>
      </c>
      <c r="F1515" s="1765" t="s">
        <v>2403</v>
      </c>
      <c r="G1515" s="1763" t="s">
        <v>2404</v>
      </c>
      <c r="H1515" s="1766" t="s">
        <v>2405</v>
      </c>
      <c r="I1515" s="1767" t="s">
        <v>2406</v>
      </c>
      <c r="J1515" s="1768"/>
    </row>
    <row r="1516" spans="1:10">
      <c r="A1516" s="1770"/>
      <c r="B1516" s="1771"/>
      <c r="C1516" s="1771">
        <v>88264</v>
      </c>
      <c r="D1516" s="1772" t="s">
        <v>94</v>
      </c>
      <c r="E1516" s="1773" t="s">
        <v>57</v>
      </c>
      <c r="F1516" s="1784">
        <v>0.2</v>
      </c>
      <c r="G1516" s="1779">
        <v>25.54</v>
      </c>
      <c r="H1516" s="1775">
        <f>IF(E1516="H",G1516,TRUNC(G1516*(1-$K$7),2))</f>
        <v>25.54</v>
      </c>
      <c r="I1516" s="1776">
        <f t="shared" ref="I1516:I1518" si="211">TRUNC(H1516*F1516,2)</f>
        <v>5.0999999999999996</v>
      </c>
      <c r="J1516" s="1768"/>
    </row>
    <row r="1517" spans="1:10" ht="24">
      <c r="A1517" s="1770"/>
      <c r="B1517" s="1771"/>
      <c r="C1517" s="1771">
        <v>88247</v>
      </c>
      <c r="D1517" s="1772" t="s">
        <v>93</v>
      </c>
      <c r="E1517" s="1773" t="s">
        <v>57</v>
      </c>
      <c r="F1517" s="1784">
        <v>0.2</v>
      </c>
      <c r="G1517" s="1779">
        <v>21</v>
      </c>
      <c r="H1517" s="1775">
        <f>IF(E1517="H",G1517,TRUNC(G1517*(1-$K$7),2))</f>
        <v>21</v>
      </c>
      <c r="I1517" s="1776">
        <f t="shared" si="211"/>
        <v>4.2</v>
      </c>
      <c r="J1517" s="1768"/>
    </row>
    <row r="1518" spans="1:10">
      <c r="A1518" s="1770"/>
      <c r="B1518" s="1771"/>
      <c r="C1518" s="1771" t="s">
        <v>65</v>
      </c>
      <c r="D1518" s="1772" t="s">
        <v>2361</v>
      </c>
      <c r="E1518" s="1773" t="s">
        <v>55</v>
      </c>
      <c r="F1518" s="1784">
        <v>1</v>
      </c>
      <c r="G1518" s="1779">
        <v>228.63</v>
      </c>
      <c r="H1518" s="1775">
        <f>IF(E1518="H",G1518,TRUNC(G1518*(1-$K$7),2))</f>
        <v>227.25</v>
      </c>
      <c r="I1518" s="1776">
        <f t="shared" si="211"/>
        <v>227.25</v>
      </c>
      <c r="J1518" s="1768"/>
    </row>
    <row r="1519" spans="1:10">
      <c r="A1519" s="1917" t="s">
        <v>2408</v>
      </c>
      <c r="B1519" s="1918"/>
      <c r="C1519" s="1918"/>
      <c r="D1519" s="1918"/>
      <c r="E1519" s="1918"/>
      <c r="F1519" s="1918"/>
      <c r="G1519" s="1918"/>
      <c r="H1519" s="1919"/>
      <c r="I1519" s="1778">
        <f>SUM(I1516:I1518)</f>
        <v>236.55</v>
      </c>
      <c r="J1519" s="1768"/>
    </row>
    <row r="1520" spans="1:10">
      <c r="A1520" s="1920"/>
      <c r="B1520" s="1921"/>
      <c r="C1520" s="1921"/>
      <c r="D1520" s="1921"/>
      <c r="E1520" s="1921"/>
      <c r="F1520" s="1921"/>
      <c r="G1520" s="1921"/>
      <c r="H1520" s="1921"/>
      <c r="I1520" s="1922"/>
      <c r="J1520" s="1768"/>
    </row>
    <row r="1521" spans="1:10" ht="24.75" customHeight="1">
      <c r="A1521" s="1757" t="str">
        <f>'PLANILHA SEM DESON'!B236</f>
        <v>COMP ELE 16</v>
      </c>
      <c r="B1521" s="1923" t="str">
        <f>VLOOKUP(A1521,'PLANILHA SEM DESON'!$B$17:$D$1699,2,FALSE)</f>
        <v>CONECTOR MACHO RJ45 (CM8v)</v>
      </c>
      <c r="C1521" s="1924"/>
      <c r="D1521" s="1924"/>
      <c r="E1521" s="1924"/>
      <c r="F1521" s="1924"/>
      <c r="G1521" s="1924"/>
      <c r="H1521" s="1925"/>
      <c r="I1521" s="1758" t="str">
        <f>VLOOKUP(A1521,'PLANILHA SEM DESON'!$B$17:$D$1699,3,FALSE)</f>
        <v xml:space="preserve">un </v>
      </c>
      <c r="J1521" s="1759">
        <f>I1526</f>
        <v>10.700000000000001</v>
      </c>
    </row>
    <row r="1522" spans="1:10" ht="24">
      <c r="A1522" s="1761" t="s">
        <v>2401</v>
      </c>
      <c r="B1522" s="1762" t="s">
        <v>2402</v>
      </c>
      <c r="C1522" s="1763" t="s">
        <v>2399</v>
      </c>
      <c r="D1522" s="1764" t="s">
        <v>284</v>
      </c>
      <c r="E1522" s="1763" t="s">
        <v>193</v>
      </c>
      <c r="F1522" s="1765" t="s">
        <v>2403</v>
      </c>
      <c r="G1522" s="1763" t="s">
        <v>2404</v>
      </c>
      <c r="H1522" s="1766" t="s">
        <v>2405</v>
      </c>
      <c r="I1522" s="1767" t="s">
        <v>2406</v>
      </c>
      <c r="J1522" s="1768"/>
    </row>
    <row r="1523" spans="1:10">
      <c r="A1523" s="1770"/>
      <c r="B1523" s="1771"/>
      <c r="C1523" s="1771">
        <v>88264</v>
      </c>
      <c r="D1523" s="1772" t="s">
        <v>94</v>
      </c>
      <c r="E1523" s="1773" t="s">
        <v>57</v>
      </c>
      <c r="F1523" s="1784">
        <v>0.2</v>
      </c>
      <c r="G1523" s="1779">
        <v>25.54</v>
      </c>
      <c r="H1523" s="1775">
        <f>IF(E1523="H",G1523,TRUNC(G1523*(1-$K$7),2))</f>
        <v>25.54</v>
      </c>
      <c r="I1523" s="1776">
        <f t="shared" ref="I1523:I1525" si="212">TRUNC(H1523*F1523,2)</f>
        <v>5.0999999999999996</v>
      </c>
      <c r="J1523" s="1768"/>
    </row>
    <row r="1524" spans="1:10" ht="24">
      <c r="A1524" s="1770"/>
      <c r="B1524" s="1771"/>
      <c r="C1524" s="1771">
        <v>88247</v>
      </c>
      <c r="D1524" s="1772" t="s">
        <v>93</v>
      </c>
      <c r="E1524" s="1773" t="s">
        <v>57</v>
      </c>
      <c r="F1524" s="1784">
        <v>0.2</v>
      </c>
      <c r="G1524" s="1779">
        <v>21</v>
      </c>
      <c r="H1524" s="1775">
        <f>IF(E1524="H",G1524,TRUNC(G1524*(1-$K$7),2))</f>
        <v>21</v>
      </c>
      <c r="I1524" s="1776">
        <f t="shared" si="212"/>
        <v>4.2</v>
      </c>
      <c r="J1524" s="1768"/>
    </row>
    <row r="1525" spans="1:10">
      <c r="A1525" s="1770"/>
      <c r="B1525" s="1771"/>
      <c r="C1525" s="1771" t="s">
        <v>65</v>
      </c>
      <c r="D1525" s="1772" t="s">
        <v>2362</v>
      </c>
      <c r="E1525" s="1773" t="s">
        <v>55</v>
      </c>
      <c r="F1525" s="1784">
        <v>1</v>
      </c>
      <c r="G1525" s="1779">
        <v>1.41</v>
      </c>
      <c r="H1525" s="1775">
        <f>IF(E1525="H",G1525,TRUNC(G1525*(1-$K$7),2))</f>
        <v>1.4</v>
      </c>
      <c r="I1525" s="1776">
        <f t="shared" si="212"/>
        <v>1.4</v>
      </c>
      <c r="J1525" s="1768"/>
    </row>
    <row r="1526" spans="1:10">
      <c r="A1526" s="1917" t="s">
        <v>2408</v>
      </c>
      <c r="B1526" s="1918"/>
      <c r="C1526" s="1918"/>
      <c r="D1526" s="1918"/>
      <c r="E1526" s="1918"/>
      <c r="F1526" s="1918"/>
      <c r="G1526" s="1918"/>
      <c r="H1526" s="1919"/>
      <c r="I1526" s="1778">
        <f>SUM(I1523:I1525)</f>
        <v>10.700000000000001</v>
      </c>
      <c r="J1526" s="1768"/>
    </row>
    <row r="1527" spans="1:10">
      <c r="A1527" s="1920"/>
      <c r="B1527" s="1921"/>
      <c r="C1527" s="1921"/>
      <c r="D1527" s="1921"/>
      <c r="E1527" s="1921"/>
      <c r="F1527" s="1921"/>
      <c r="G1527" s="1921"/>
      <c r="H1527" s="1921"/>
      <c r="I1527" s="1922"/>
      <c r="J1527" s="1768"/>
    </row>
    <row r="1528" spans="1:10" ht="24.75" customHeight="1">
      <c r="A1528" s="1757" t="str">
        <f>'PLANILHA SEM DESON'!B237</f>
        <v>COMP ELE 33</v>
      </c>
      <c r="B1528" s="1923" t="str">
        <f>VLOOKUP(A1528,'PLANILHA SEM DESON'!$B$17:$D$1699,2,FALSE)</f>
        <v>FORNECIMENTO E INSTALAÇÃO DE CENTRAL TELEFÔNICA PABX</v>
      </c>
      <c r="C1528" s="1924"/>
      <c r="D1528" s="1924"/>
      <c r="E1528" s="1924"/>
      <c r="F1528" s="1924"/>
      <c r="G1528" s="1924"/>
      <c r="H1528" s="1925"/>
      <c r="I1528" s="1758" t="str">
        <f>VLOOKUP(A1528,'PLANILHA SEM DESON'!$B$17:$D$1699,3,FALSE)</f>
        <v xml:space="preserve">un </v>
      </c>
      <c r="J1528" s="1759">
        <f>I1534</f>
        <v>6067.42</v>
      </c>
    </row>
    <row r="1529" spans="1:10" ht="24">
      <c r="A1529" s="1761" t="s">
        <v>2401</v>
      </c>
      <c r="B1529" s="1762" t="s">
        <v>2402</v>
      </c>
      <c r="C1529" s="1763" t="s">
        <v>2399</v>
      </c>
      <c r="D1529" s="1764" t="s">
        <v>284</v>
      </c>
      <c r="E1529" s="1763" t="s">
        <v>193</v>
      </c>
      <c r="F1529" s="1765" t="s">
        <v>2403</v>
      </c>
      <c r="G1529" s="1763" t="s">
        <v>2404</v>
      </c>
      <c r="H1529" s="1766" t="s">
        <v>2405</v>
      </c>
      <c r="I1529" s="1767" t="s">
        <v>2406</v>
      </c>
      <c r="J1529" s="1768"/>
    </row>
    <row r="1530" spans="1:10">
      <c r="A1530" s="1770"/>
      <c r="B1530" s="1771"/>
      <c r="C1530" s="1771">
        <v>88266</v>
      </c>
      <c r="D1530" s="1772" t="s">
        <v>2085</v>
      </c>
      <c r="E1530" s="1773" t="s">
        <v>57</v>
      </c>
      <c r="F1530" s="1784">
        <v>38.267000000000003</v>
      </c>
      <c r="G1530" s="1779">
        <v>31.55</v>
      </c>
      <c r="H1530" s="1775">
        <f>IF(E1530="H",G1530,TRUNC(G1530*(1-$K$7),2))</f>
        <v>31.55</v>
      </c>
      <c r="I1530" s="1776">
        <f t="shared" ref="I1530:I1533" si="213">TRUNC(H1530*F1530,2)</f>
        <v>1207.32</v>
      </c>
      <c r="J1530" s="1768"/>
    </row>
    <row r="1531" spans="1:10">
      <c r="A1531" s="1770"/>
      <c r="B1531" s="1771"/>
      <c r="C1531" s="1771">
        <v>88264</v>
      </c>
      <c r="D1531" s="1772" t="s">
        <v>94</v>
      </c>
      <c r="E1531" s="1773" t="s">
        <v>57</v>
      </c>
      <c r="F1531" s="1784">
        <v>23.385000000000002</v>
      </c>
      <c r="G1531" s="1779">
        <v>25.54</v>
      </c>
      <c r="H1531" s="1775">
        <f>IF(E1531="H",G1531,TRUNC(G1531*(1-$K$7),2))</f>
        <v>25.54</v>
      </c>
      <c r="I1531" s="1776">
        <f t="shared" si="213"/>
        <v>597.25</v>
      </c>
      <c r="J1531" s="1768"/>
    </row>
    <row r="1532" spans="1:10" ht="24">
      <c r="A1532" s="1770"/>
      <c r="B1532" s="1771"/>
      <c r="C1532" s="1771">
        <v>88247</v>
      </c>
      <c r="D1532" s="1772" t="s">
        <v>93</v>
      </c>
      <c r="E1532" s="1773" t="s">
        <v>57</v>
      </c>
      <c r="F1532" s="1784">
        <v>44.643999999999998</v>
      </c>
      <c r="G1532" s="1779">
        <v>21</v>
      </c>
      <c r="H1532" s="1775">
        <f>IF(E1532="H",G1532,TRUNC(G1532*(1-$K$7),2))</f>
        <v>21</v>
      </c>
      <c r="I1532" s="1776">
        <f t="shared" si="213"/>
        <v>937.52</v>
      </c>
      <c r="J1532" s="1768"/>
    </row>
    <row r="1533" spans="1:10">
      <c r="A1533" s="1770"/>
      <c r="B1533" s="1771"/>
      <c r="C1533" s="1771" t="s">
        <v>65</v>
      </c>
      <c r="D1533" s="1772" t="s">
        <v>2141</v>
      </c>
      <c r="E1533" s="1773" t="s">
        <v>55</v>
      </c>
      <c r="F1533" s="1784">
        <v>1</v>
      </c>
      <c r="G1533" s="1779">
        <v>3345.41</v>
      </c>
      <c r="H1533" s="1775">
        <f>IF(E1533="H",G1533,TRUNC(G1533*(1-$K$7),2))</f>
        <v>3325.33</v>
      </c>
      <c r="I1533" s="1776">
        <f t="shared" si="213"/>
        <v>3325.33</v>
      </c>
      <c r="J1533" s="1768"/>
    </row>
    <row r="1534" spans="1:10">
      <c r="A1534" s="1917" t="s">
        <v>2408</v>
      </c>
      <c r="B1534" s="1918"/>
      <c r="C1534" s="1918"/>
      <c r="D1534" s="1918"/>
      <c r="E1534" s="1918"/>
      <c r="F1534" s="1918"/>
      <c r="G1534" s="1918"/>
      <c r="H1534" s="1919"/>
      <c r="I1534" s="1778">
        <f>SUM(I1530:I1533)</f>
        <v>6067.42</v>
      </c>
      <c r="J1534" s="1768"/>
    </row>
    <row r="1535" spans="1:10">
      <c r="A1535" s="1920"/>
      <c r="B1535" s="1921"/>
      <c r="C1535" s="1921"/>
      <c r="D1535" s="1921"/>
      <c r="E1535" s="1921"/>
      <c r="F1535" s="1921"/>
      <c r="G1535" s="1921"/>
      <c r="H1535" s="1921"/>
      <c r="I1535" s="1922"/>
      <c r="J1535" s="1768"/>
    </row>
    <row r="1536" spans="1:10">
      <c r="A1536" s="1757">
        <f>'PLANILHA SEM DESON'!B238</f>
        <v>98307</v>
      </c>
      <c r="B1536" s="1923" t="str">
        <f>VLOOKUP(A1536,'PLANILHA SEM DESON'!$B$17:$D$1699,2,FALSE)</f>
        <v>TOMADA DE REDE RJ45 - FORNECIMENTO  E INSTALAÇÃO. AF_11/2019</v>
      </c>
      <c r="C1536" s="1924"/>
      <c r="D1536" s="1924"/>
      <c r="E1536" s="1924"/>
      <c r="F1536" s="1924"/>
      <c r="G1536" s="1924"/>
      <c r="H1536" s="1925"/>
      <c r="I1536" s="1758" t="str">
        <f>VLOOKUP(A1536,'PLANILHA SEM DESON'!$B$17:$D$1699,3,FALSE)</f>
        <v xml:space="preserve">un </v>
      </c>
      <c r="J1536" s="1759">
        <f>I1541</f>
        <v>42.059999999999995</v>
      </c>
    </row>
    <row r="1537" spans="1:10" ht="24">
      <c r="A1537" s="1761" t="s">
        <v>2401</v>
      </c>
      <c r="B1537" s="1762" t="s">
        <v>2402</v>
      </c>
      <c r="C1537" s="1763" t="s">
        <v>2399</v>
      </c>
      <c r="D1537" s="1764" t="s">
        <v>284</v>
      </c>
      <c r="E1537" s="1763" t="s">
        <v>193</v>
      </c>
      <c r="F1537" s="1765" t="s">
        <v>2403</v>
      </c>
      <c r="G1537" s="1763" t="s">
        <v>2404</v>
      </c>
      <c r="H1537" s="1766" t="s">
        <v>2405</v>
      </c>
      <c r="I1537" s="1767" t="s">
        <v>2406</v>
      </c>
      <c r="J1537" s="1768"/>
    </row>
    <row r="1538" spans="1:10" ht="24">
      <c r="A1538" s="1770" t="s">
        <v>2407</v>
      </c>
      <c r="B1538" s="1771" t="s">
        <v>2410</v>
      </c>
      <c r="C1538" s="1771">
        <v>38083</v>
      </c>
      <c r="D1538" s="1772" t="s">
        <v>2652</v>
      </c>
      <c r="E1538" s="1773" t="s">
        <v>2432</v>
      </c>
      <c r="F1538" s="1780">
        <v>1</v>
      </c>
      <c r="G1538" s="1774">
        <v>32.67</v>
      </c>
      <c r="H1538" s="1775">
        <f>IF(E1538="H",G1538,TRUNC(G1538*(1-$K$7),2))</f>
        <v>32.47</v>
      </c>
      <c r="I1538" s="1776">
        <f t="shared" ref="I1538:I1540" si="214">TRUNC(H1538*F1538,2)</f>
        <v>32.47</v>
      </c>
      <c r="J1538" s="1768"/>
    </row>
    <row r="1539" spans="1:10" ht="24">
      <c r="A1539" s="1770" t="s">
        <v>2407</v>
      </c>
      <c r="B1539" s="1771" t="s">
        <v>7</v>
      </c>
      <c r="C1539" s="1771">
        <v>88247</v>
      </c>
      <c r="D1539" s="1772" t="s">
        <v>93</v>
      </c>
      <c r="E1539" s="1773" t="s">
        <v>387</v>
      </c>
      <c r="F1539" s="1780">
        <v>0.20619999999999999</v>
      </c>
      <c r="G1539" s="1774">
        <v>21</v>
      </c>
      <c r="H1539" s="1775">
        <f>IF(E1539="H",G1539,TRUNC(G1539*(1-$K$7),2))</f>
        <v>21</v>
      </c>
      <c r="I1539" s="1776">
        <f t="shared" si="214"/>
        <v>4.33</v>
      </c>
      <c r="J1539" s="1768"/>
    </row>
    <row r="1540" spans="1:10">
      <c r="A1540" s="1770" t="s">
        <v>2407</v>
      </c>
      <c r="B1540" s="1771" t="s">
        <v>7</v>
      </c>
      <c r="C1540" s="1771">
        <v>88264</v>
      </c>
      <c r="D1540" s="1772" t="s">
        <v>94</v>
      </c>
      <c r="E1540" s="1773" t="s">
        <v>387</v>
      </c>
      <c r="F1540" s="1780">
        <v>0.20619999999999999</v>
      </c>
      <c r="G1540" s="1774">
        <v>25.54</v>
      </c>
      <c r="H1540" s="1775">
        <f>IF(E1540="H",G1540,TRUNC(G1540*(1-$K$7),2))</f>
        <v>25.54</v>
      </c>
      <c r="I1540" s="1776">
        <f t="shared" si="214"/>
        <v>5.26</v>
      </c>
      <c r="J1540" s="1768"/>
    </row>
    <row r="1541" spans="1:10">
      <c r="A1541" s="1917" t="s">
        <v>2408</v>
      </c>
      <c r="B1541" s="1918"/>
      <c r="C1541" s="1918"/>
      <c r="D1541" s="1918"/>
      <c r="E1541" s="1918"/>
      <c r="F1541" s="1918"/>
      <c r="G1541" s="1918"/>
      <c r="H1541" s="1919"/>
      <c r="I1541" s="1778">
        <f>SUM(I1538:I1540)</f>
        <v>42.059999999999995</v>
      </c>
      <c r="J1541" s="1768"/>
    </row>
    <row r="1542" spans="1:10">
      <c r="A1542" s="1920"/>
      <c r="B1542" s="1921"/>
      <c r="C1542" s="1921"/>
      <c r="D1542" s="1921"/>
      <c r="E1542" s="1921"/>
      <c r="F1542" s="1921"/>
      <c r="G1542" s="1921"/>
      <c r="H1542" s="1921"/>
      <c r="I1542" s="1922"/>
      <c r="J1542" s="1768"/>
    </row>
    <row r="1543" spans="1:10" ht="25.5" customHeight="1">
      <c r="A1543" s="1757">
        <f>'PLANILHA SEM DESON'!B239</f>
        <v>95781</v>
      </c>
      <c r="B1543" s="1923" t="str">
        <f>VLOOKUP(A1543,'PLANILHA SEM DESON'!$B$17:$D$1699,2,FALSE)</f>
        <v>CONDULETE DE ALUMÍNIO, TIPO C, PARA ELETRODUTO DE AÇO GALVANIZADO DN 25 MM (1''), APARENTE - FORNECIMENTO E INSTALAÇÃO. AF_11/2016_P</v>
      </c>
      <c r="C1543" s="1924"/>
      <c r="D1543" s="1924"/>
      <c r="E1543" s="1924"/>
      <c r="F1543" s="1924"/>
      <c r="G1543" s="1924"/>
      <c r="H1543" s="1925"/>
      <c r="I1543" s="1758" t="str">
        <f>VLOOKUP(A1543,'PLANILHA SEM DESON'!$B$17:$D$1699,3,FALSE)</f>
        <v xml:space="preserve">un </v>
      </c>
      <c r="J1543" s="1759">
        <f>I1549</f>
        <v>31.58</v>
      </c>
    </row>
    <row r="1544" spans="1:10" ht="24">
      <c r="A1544" s="1761" t="s">
        <v>2401</v>
      </c>
      <c r="B1544" s="1762" t="s">
        <v>2402</v>
      </c>
      <c r="C1544" s="1763" t="s">
        <v>2399</v>
      </c>
      <c r="D1544" s="1764" t="s">
        <v>284</v>
      </c>
      <c r="E1544" s="1763" t="s">
        <v>193</v>
      </c>
      <c r="F1544" s="1765" t="s">
        <v>2403</v>
      </c>
      <c r="G1544" s="1763" t="s">
        <v>2404</v>
      </c>
      <c r="H1544" s="1766" t="s">
        <v>2405</v>
      </c>
      <c r="I1544" s="1767" t="s">
        <v>2406</v>
      </c>
      <c r="J1544" s="1768"/>
    </row>
    <row r="1545" spans="1:10" ht="24">
      <c r="A1545" s="1770" t="s">
        <v>2407</v>
      </c>
      <c r="B1545" s="1771" t="s">
        <v>2410</v>
      </c>
      <c r="C1545" s="1771">
        <v>2560</v>
      </c>
      <c r="D1545" s="1772" t="s">
        <v>2653</v>
      </c>
      <c r="E1545" s="1773" t="s">
        <v>2432</v>
      </c>
      <c r="F1545" s="1780">
        <v>1</v>
      </c>
      <c r="G1545" s="1774">
        <v>16.3</v>
      </c>
      <c r="H1545" s="1775">
        <f>IF(E1545="H",G1545,TRUNC(G1545*(1-$K$7),2))</f>
        <v>16.2</v>
      </c>
      <c r="I1545" s="1776">
        <f t="shared" ref="I1545:I1548" si="215">TRUNC(H1545*F1545,2)</f>
        <v>16.2</v>
      </c>
      <c r="J1545" s="1768"/>
    </row>
    <row r="1546" spans="1:10" ht="36">
      <c r="A1546" s="1770" t="s">
        <v>2407</v>
      </c>
      <c r="B1546" s="1771" t="s">
        <v>2410</v>
      </c>
      <c r="C1546" s="1771">
        <v>11950</v>
      </c>
      <c r="D1546" s="1772" t="s">
        <v>2104</v>
      </c>
      <c r="E1546" s="1773" t="s">
        <v>2432</v>
      </c>
      <c r="F1546" s="1780">
        <v>2</v>
      </c>
      <c r="G1546" s="1774">
        <v>0.2</v>
      </c>
      <c r="H1546" s="1775">
        <f>IF(E1546="H",G1546,TRUNC(G1546*(1-$K$7),2))</f>
        <v>0.19</v>
      </c>
      <c r="I1546" s="1776">
        <f t="shared" si="215"/>
        <v>0.38</v>
      </c>
      <c r="J1546" s="1768"/>
    </row>
    <row r="1547" spans="1:10" ht="24">
      <c r="A1547" s="1770" t="s">
        <v>2407</v>
      </c>
      <c r="B1547" s="1771" t="s">
        <v>7</v>
      </c>
      <c r="C1547" s="1771">
        <v>88247</v>
      </c>
      <c r="D1547" s="1772" t="s">
        <v>93</v>
      </c>
      <c r="E1547" s="1773" t="s">
        <v>387</v>
      </c>
      <c r="F1547" s="1780">
        <v>0.3226</v>
      </c>
      <c r="G1547" s="1774">
        <v>21</v>
      </c>
      <c r="H1547" s="1775">
        <f>IF(E1547="H",G1547,TRUNC(G1547*(1-$K$7),2))</f>
        <v>21</v>
      </c>
      <c r="I1547" s="1776">
        <f t="shared" si="215"/>
        <v>6.77</v>
      </c>
      <c r="J1547" s="1768"/>
    </row>
    <row r="1548" spans="1:10">
      <c r="A1548" s="1770" t="s">
        <v>2407</v>
      </c>
      <c r="B1548" s="1771" t="s">
        <v>7</v>
      </c>
      <c r="C1548" s="1771">
        <v>88264</v>
      </c>
      <c r="D1548" s="1772" t="s">
        <v>94</v>
      </c>
      <c r="E1548" s="1773" t="s">
        <v>387</v>
      </c>
      <c r="F1548" s="1780">
        <v>0.3226</v>
      </c>
      <c r="G1548" s="1774">
        <v>25.54</v>
      </c>
      <c r="H1548" s="1775">
        <f>IF(E1548="H",G1548,TRUNC(G1548*(1-$K$7),2))</f>
        <v>25.54</v>
      </c>
      <c r="I1548" s="1776">
        <f t="shared" si="215"/>
        <v>8.23</v>
      </c>
      <c r="J1548" s="1768"/>
    </row>
    <row r="1549" spans="1:10">
      <c r="A1549" s="1917" t="s">
        <v>2408</v>
      </c>
      <c r="B1549" s="1918"/>
      <c r="C1549" s="1918"/>
      <c r="D1549" s="1918"/>
      <c r="E1549" s="1918"/>
      <c r="F1549" s="1918"/>
      <c r="G1549" s="1918"/>
      <c r="H1549" s="1919"/>
      <c r="I1549" s="1778">
        <f>SUM(I1545:I1548)</f>
        <v>31.58</v>
      </c>
      <c r="J1549" s="1768"/>
    </row>
    <row r="1550" spans="1:10">
      <c r="A1550" s="1920"/>
      <c r="B1550" s="1921"/>
      <c r="C1550" s="1921"/>
      <c r="D1550" s="1921"/>
      <c r="E1550" s="1921"/>
      <c r="F1550" s="1921"/>
      <c r="G1550" s="1921"/>
      <c r="H1550" s="1921"/>
      <c r="I1550" s="1922"/>
      <c r="J1550" s="1768"/>
    </row>
    <row r="1551" spans="1:10" ht="24.75" customHeight="1">
      <c r="A1551" s="1757" t="str">
        <f>'PLANILHA SEM DESON'!B240</f>
        <v>COMP ELE 06</v>
      </c>
      <c r="B1551" s="1923" t="str">
        <f>VLOOKUP(A1551,'PLANILHA SEM DESON'!$B$17:$D$1699,2,FALSE)</f>
        <v>PLACA 2x4" - BRANCA 1 MÓDULO - RJ45</v>
      </c>
      <c r="C1551" s="1924"/>
      <c r="D1551" s="1924"/>
      <c r="E1551" s="1924"/>
      <c r="F1551" s="1924"/>
      <c r="G1551" s="1924"/>
      <c r="H1551" s="1925"/>
      <c r="I1551" s="1758" t="str">
        <f>VLOOKUP(A1551,'PLANILHA SEM DESON'!$B$17:$D$1699,3,FALSE)</f>
        <v xml:space="preserve">un </v>
      </c>
      <c r="J1551" s="1759">
        <f>I1556</f>
        <v>51.2</v>
      </c>
    </row>
    <row r="1552" spans="1:10" ht="24">
      <c r="A1552" s="1761" t="s">
        <v>2401</v>
      </c>
      <c r="B1552" s="1762" t="s">
        <v>2402</v>
      </c>
      <c r="C1552" s="1763" t="s">
        <v>2399</v>
      </c>
      <c r="D1552" s="1764" t="s">
        <v>284</v>
      </c>
      <c r="E1552" s="1763" t="s">
        <v>193</v>
      </c>
      <c r="F1552" s="1765" t="s">
        <v>2403</v>
      </c>
      <c r="G1552" s="1763" t="s">
        <v>2404</v>
      </c>
      <c r="H1552" s="1766" t="s">
        <v>2405</v>
      </c>
      <c r="I1552" s="1767" t="s">
        <v>2406</v>
      </c>
      <c r="J1552" s="1768"/>
    </row>
    <row r="1553" spans="1:10">
      <c r="A1553" s="1770"/>
      <c r="B1553" s="1771"/>
      <c r="C1553" s="1771">
        <v>88264</v>
      </c>
      <c r="D1553" s="1772" t="s">
        <v>94</v>
      </c>
      <c r="E1553" s="1773" t="s">
        <v>57</v>
      </c>
      <c r="F1553" s="1784">
        <v>0.08</v>
      </c>
      <c r="G1553" s="1779">
        <v>25.54</v>
      </c>
      <c r="H1553" s="1775">
        <f>IF(E1553="H",G1553,TRUNC(G1553*(1-$K$7),2))</f>
        <v>25.54</v>
      </c>
      <c r="I1553" s="1776">
        <f t="shared" ref="I1553:I1555" si="216">TRUNC(H1553*F1553,2)</f>
        <v>2.04</v>
      </c>
      <c r="J1553" s="1768"/>
    </row>
    <row r="1554" spans="1:10" ht="24">
      <c r="A1554" s="1770"/>
      <c r="B1554" s="1771"/>
      <c r="C1554" s="1771">
        <v>88247</v>
      </c>
      <c r="D1554" s="1772" t="s">
        <v>93</v>
      </c>
      <c r="E1554" s="1773" t="s">
        <v>57</v>
      </c>
      <c r="F1554" s="1784">
        <v>1</v>
      </c>
      <c r="G1554" s="1779">
        <v>21</v>
      </c>
      <c r="H1554" s="1775">
        <f>IF(E1554="H",G1554,TRUNC(G1554*(1-$K$7),2))</f>
        <v>21</v>
      </c>
      <c r="I1554" s="1776">
        <f t="shared" si="216"/>
        <v>21</v>
      </c>
      <c r="J1554" s="1768"/>
    </row>
    <row r="1555" spans="1:10">
      <c r="A1555" s="1770"/>
      <c r="B1555" s="1771"/>
      <c r="C1555" s="1771" t="s">
        <v>65</v>
      </c>
      <c r="D1555" s="1772" t="s">
        <v>478</v>
      </c>
      <c r="E1555" s="1773" t="s">
        <v>55</v>
      </c>
      <c r="F1555" s="1784">
        <v>1</v>
      </c>
      <c r="G1555" s="1779">
        <v>28.34</v>
      </c>
      <c r="H1555" s="1775">
        <f>IF(E1555="H",G1555,TRUNC(G1555*(1-$K$7),2))</f>
        <v>28.16</v>
      </c>
      <c r="I1555" s="1776">
        <f t="shared" si="216"/>
        <v>28.16</v>
      </c>
      <c r="J1555" s="1768"/>
    </row>
    <row r="1556" spans="1:10">
      <c r="A1556" s="1917" t="s">
        <v>2408</v>
      </c>
      <c r="B1556" s="1918"/>
      <c r="C1556" s="1918"/>
      <c r="D1556" s="1918"/>
      <c r="E1556" s="1918"/>
      <c r="F1556" s="1918"/>
      <c r="G1556" s="1918"/>
      <c r="H1556" s="1919"/>
      <c r="I1556" s="1778">
        <f>SUM(I1553:I1555)</f>
        <v>51.2</v>
      </c>
      <c r="J1556" s="1768"/>
    </row>
    <row r="1557" spans="1:10">
      <c r="A1557" s="1920"/>
      <c r="B1557" s="1921"/>
      <c r="C1557" s="1921"/>
      <c r="D1557" s="1921"/>
      <c r="E1557" s="1921"/>
      <c r="F1557" s="1921"/>
      <c r="G1557" s="1921"/>
      <c r="H1557" s="1921"/>
      <c r="I1557" s="1922"/>
      <c r="J1557" s="1768"/>
    </row>
    <row r="1558" spans="1:10" ht="26.25" customHeight="1">
      <c r="A1558" s="1757" t="str">
        <f>'PLANILHA SEM DESON'!B241</f>
        <v>COMP ELE 07</v>
      </c>
      <c r="B1558" s="1923" t="str">
        <f>VLOOKUP(A1558,'PLANILHA SEM DESON'!$B$17:$D$1699,2,FALSE)</f>
        <v>PLACA 2x4" - BRANCA 2 MÓDULOS - RJ45</v>
      </c>
      <c r="C1558" s="1924"/>
      <c r="D1558" s="1924"/>
      <c r="E1558" s="1924"/>
      <c r="F1558" s="1924"/>
      <c r="G1558" s="1924"/>
      <c r="H1558" s="1925"/>
      <c r="I1558" s="1758" t="str">
        <f>VLOOKUP(A1558,'PLANILHA SEM DESON'!$B$17:$D$1699,3,FALSE)</f>
        <v xml:space="preserve">un </v>
      </c>
      <c r="J1558" s="1759">
        <f>I1563</f>
        <v>54.72</v>
      </c>
    </row>
    <row r="1559" spans="1:10" ht="24">
      <c r="A1559" s="1761" t="s">
        <v>2401</v>
      </c>
      <c r="B1559" s="1762" t="s">
        <v>2402</v>
      </c>
      <c r="C1559" s="1763" t="s">
        <v>2399</v>
      </c>
      <c r="D1559" s="1764" t="s">
        <v>284</v>
      </c>
      <c r="E1559" s="1763" t="s">
        <v>193</v>
      </c>
      <c r="F1559" s="1765" t="s">
        <v>2403</v>
      </c>
      <c r="G1559" s="1763" t="s">
        <v>2404</v>
      </c>
      <c r="H1559" s="1766" t="s">
        <v>2405</v>
      </c>
      <c r="I1559" s="1767" t="s">
        <v>2406</v>
      </c>
      <c r="J1559" s="1768"/>
    </row>
    <row r="1560" spans="1:10">
      <c r="A1560" s="1770"/>
      <c r="B1560" s="1771"/>
      <c r="C1560" s="1771">
        <v>88264</v>
      </c>
      <c r="D1560" s="1772" t="s">
        <v>94</v>
      </c>
      <c r="E1560" s="1773" t="s">
        <v>57</v>
      </c>
      <c r="F1560" s="1784">
        <v>0.08</v>
      </c>
      <c r="G1560" s="1779">
        <v>25.54</v>
      </c>
      <c r="H1560" s="1775">
        <f>IF(E1560="H",G1560,TRUNC(G1560*(1-$K$7),2))</f>
        <v>25.54</v>
      </c>
      <c r="I1560" s="1776">
        <f t="shared" ref="I1560:I1562" si="217">TRUNC(H1560*F1560,2)</f>
        <v>2.04</v>
      </c>
      <c r="J1560" s="1768"/>
    </row>
    <row r="1561" spans="1:10" ht="24">
      <c r="A1561" s="1770"/>
      <c r="B1561" s="1771"/>
      <c r="C1561" s="1771">
        <v>88247</v>
      </c>
      <c r="D1561" s="1772" t="s">
        <v>93</v>
      </c>
      <c r="E1561" s="1773" t="s">
        <v>57</v>
      </c>
      <c r="F1561" s="1784">
        <v>1</v>
      </c>
      <c r="G1561" s="1779">
        <v>21</v>
      </c>
      <c r="H1561" s="1775">
        <f>IF(E1561="H",G1561,TRUNC(G1561*(1-$K$7),2))</f>
        <v>21</v>
      </c>
      <c r="I1561" s="1776">
        <f t="shared" si="217"/>
        <v>21</v>
      </c>
      <c r="J1561" s="1768"/>
    </row>
    <row r="1562" spans="1:10">
      <c r="A1562" s="1770"/>
      <c r="B1562" s="1771"/>
      <c r="C1562" s="1771" t="s">
        <v>65</v>
      </c>
      <c r="D1562" s="1772" t="s">
        <v>481</v>
      </c>
      <c r="E1562" s="1773" t="s">
        <v>55</v>
      </c>
      <c r="F1562" s="1784">
        <v>1</v>
      </c>
      <c r="G1562" s="1779">
        <v>31.88</v>
      </c>
      <c r="H1562" s="1775">
        <f>IF(E1562="H",G1562,TRUNC(G1562*(1-$K$7),2))</f>
        <v>31.68</v>
      </c>
      <c r="I1562" s="1776">
        <f t="shared" si="217"/>
        <v>31.68</v>
      </c>
      <c r="J1562" s="1768"/>
    </row>
    <row r="1563" spans="1:10">
      <c r="A1563" s="1917" t="s">
        <v>2408</v>
      </c>
      <c r="B1563" s="1918"/>
      <c r="C1563" s="1918"/>
      <c r="D1563" s="1918"/>
      <c r="E1563" s="1918"/>
      <c r="F1563" s="1918"/>
      <c r="G1563" s="1918"/>
      <c r="H1563" s="1919"/>
      <c r="I1563" s="1778">
        <f>SUM(I1560:I1562)</f>
        <v>54.72</v>
      </c>
      <c r="J1563" s="1768"/>
    </row>
    <row r="1564" spans="1:10">
      <c r="A1564" s="1920"/>
      <c r="B1564" s="1921"/>
      <c r="C1564" s="1921"/>
      <c r="D1564" s="1921"/>
      <c r="E1564" s="1921"/>
      <c r="F1564" s="1921"/>
      <c r="G1564" s="1921"/>
      <c r="H1564" s="1921"/>
      <c r="I1564" s="1922"/>
      <c r="J1564" s="1768"/>
    </row>
    <row r="1565" spans="1:10" ht="24.75" customHeight="1">
      <c r="A1565" s="1757">
        <f>'PLANILHA SEM DESON'!B244</f>
        <v>91863</v>
      </c>
      <c r="B1565" s="1923" t="str">
        <f>VLOOKUP(A1565,'PLANILHA SEM DESON'!$B$17:$D$1699,2,FALSE)</f>
        <v>ELETRODUTO RÍGIDO ROSCÁVEL, PVC, DN 25 MM (3/4"), PARA CIRCUITOS TERMINAIS, INSTALADO EM FORRO - FORNECIMENTO E INSTALAÇÃO. AF_12/2015</v>
      </c>
      <c r="C1565" s="1924"/>
      <c r="D1565" s="1924"/>
      <c r="E1565" s="1924"/>
      <c r="F1565" s="1924"/>
      <c r="G1565" s="1924"/>
      <c r="H1565" s="1925"/>
      <c r="I1565" s="1758" t="str">
        <f>VLOOKUP(A1565,'PLANILHA SEM DESON'!$B$17:$D$1699,3,FALSE)</f>
        <v>m</v>
      </c>
      <c r="J1565" s="1759">
        <f>I1571</f>
        <v>12.03</v>
      </c>
    </row>
    <row r="1566" spans="1:10" ht="24">
      <c r="A1566" s="1761" t="s">
        <v>2401</v>
      </c>
      <c r="B1566" s="1762" t="s">
        <v>2402</v>
      </c>
      <c r="C1566" s="1763" t="s">
        <v>2399</v>
      </c>
      <c r="D1566" s="1764" t="s">
        <v>284</v>
      </c>
      <c r="E1566" s="1763" t="s">
        <v>193</v>
      </c>
      <c r="F1566" s="1765" t="s">
        <v>2403</v>
      </c>
      <c r="G1566" s="1763" t="s">
        <v>2404</v>
      </c>
      <c r="H1566" s="1766" t="s">
        <v>2405</v>
      </c>
      <c r="I1566" s="1767" t="s">
        <v>2406</v>
      </c>
      <c r="J1566" s="1768"/>
    </row>
    <row r="1567" spans="1:10" ht="24">
      <c r="A1567" s="1770" t="s">
        <v>2407</v>
      </c>
      <c r="B1567" s="1771" t="s">
        <v>2410</v>
      </c>
      <c r="C1567" s="1771">
        <v>2674</v>
      </c>
      <c r="D1567" s="1772" t="s">
        <v>2654</v>
      </c>
      <c r="E1567" s="1773" t="s">
        <v>158</v>
      </c>
      <c r="F1567" s="1780">
        <v>1.0169999999999999</v>
      </c>
      <c r="G1567" s="1774">
        <v>4.84</v>
      </c>
      <c r="H1567" s="1775">
        <f>IF(E1567="H",G1567,TRUNC(G1567*(1-$K$7),2))</f>
        <v>4.8099999999999996</v>
      </c>
      <c r="I1567" s="1776">
        <f t="shared" ref="I1567:I1570" si="218">TRUNC(H1567*F1567,2)</f>
        <v>4.8899999999999997</v>
      </c>
      <c r="J1567" s="1768"/>
    </row>
    <row r="1568" spans="1:10" ht="24">
      <c r="A1568" s="1770" t="s">
        <v>2407</v>
      </c>
      <c r="B1568" s="1771" t="s">
        <v>7</v>
      </c>
      <c r="C1568" s="1771">
        <v>88247</v>
      </c>
      <c r="D1568" s="1772" t="s">
        <v>93</v>
      </c>
      <c r="E1568" s="1773" t="s">
        <v>387</v>
      </c>
      <c r="F1568" s="1780">
        <v>8.2000000000000003E-2</v>
      </c>
      <c r="G1568" s="1774">
        <v>21</v>
      </c>
      <c r="H1568" s="1775">
        <f>IF(E1568="H",G1568,TRUNC(G1568*(1-$K$7),2))</f>
        <v>21</v>
      </c>
      <c r="I1568" s="1776">
        <f t="shared" si="218"/>
        <v>1.72</v>
      </c>
      <c r="J1568" s="1768"/>
    </row>
    <row r="1569" spans="1:10">
      <c r="A1569" s="1770" t="s">
        <v>2407</v>
      </c>
      <c r="B1569" s="1771" t="s">
        <v>7</v>
      </c>
      <c r="C1569" s="1771">
        <v>88264</v>
      </c>
      <c r="D1569" s="1772" t="s">
        <v>94</v>
      </c>
      <c r="E1569" s="1773" t="s">
        <v>387</v>
      </c>
      <c r="F1569" s="1780">
        <v>8.2000000000000003E-2</v>
      </c>
      <c r="G1569" s="1774">
        <v>25.54</v>
      </c>
      <c r="H1569" s="1775">
        <f>IF(E1569="H",G1569,TRUNC(G1569*(1-$K$7),2))</f>
        <v>25.54</v>
      </c>
      <c r="I1569" s="1776">
        <f t="shared" si="218"/>
        <v>2.09</v>
      </c>
      <c r="J1569" s="1768"/>
    </row>
    <row r="1570" spans="1:10" ht="60">
      <c r="A1570" s="1770" t="s">
        <v>2407</v>
      </c>
      <c r="B1570" s="1771" t="s">
        <v>7</v>
      </c>
      <c r="C1570" s="1771">
        <v>91170</v>
      </c>
      <c r="D1570" s="1772" t="s">
        <v>2462</v>
      </c>
      <c r="E1570" s="1773" t="s">
        <v>158</v>
      </c>
      <c r="F1570" s="1780">
        <v>1</v>
      </c>
      <c r="G1570" s="1774">
        <v>3.36</v>
      </c>
      <c r="H1570" s="1775">
        <f>IF(E1570="H",G1570,TRUNC(G1570*(1-$K$7),2))</f>
        <v>3.33</v>
      </c>
      <c r="I1570" s="1776">
        <f t="shared" si="218"/>
        <v>3.33</v>
      </c>
      <c r="J1570" s="1768"/>
    </row>
    <row r="1571" spans="1:10">
      <c r="A1571" s="1917" t="s">
        <v>2408</v>
      </c>
      <c r="B1571" s="1918"/>
      <c r="C1571" s="1918"/>
      <c r="D1571" s="1918"/>
      <c r="E1571" s="1918"/>
      <c r="F1571" s="1918"/>
      <c r="G1571" s="1918"/>
      <c r="H1571" s="1919"/>
      <c r="I1571" s="1778">
        <f>SUM(I1567:I1570)</f>
        <v>12.03</v>
      </c>
      <c r="J1571" s="1768"/>
    </row>
    <row r="1572" spans="1:10">
      <c r="A1572" s="1920"/>
      <c r="B1572" s="1921"/>
      <c r="C1572" s="1921"/>
      <c r="D1572" s="1921"/>
      <c r="E1572" s="1921"/>
      <c r="F1572" s="1921"/>
      <c r="G1572" s="1921"/>
      <c r="H1572" s="1921"/>
      <c r="I1572" s="1922"/>
      <c r="J1572" s="1768"/>
    </row>
    <row r="1573" spans="1:10" ht="24" customHeight="1">
      <c r="A1573" s="1757">
        <f>'PLANILHA SEM DESON'!B245</f>
        <v>91841</v>
      </c>
      <c r="B1573" s="1923" t="str">
        <f>VLOOKUP(A1573,'PLANILHA SEM DESON'!$B$17:$D$1699,2,FALSE)</f>
        <v>ELETRODUTO FLEXÍVEL LISO, PEAD, DN 40 MM (1 1/4"), PARA CIRCUITOS TERMINAIS, INSTALADO EM FORRO - FORNECIMENTO E INSTALAÇÃO. AF_12/2015</v>
      </c>
      <c r="C1573" s="1924"/>
      <c r="D1573" s="1924"/>
      <c r="E1573" s="1924"/>
      <c r="F1573" s="1924"/>
      <c r="G1573" s="1924"/>
      <c r="H1573" s="1925"/>
      <c r="I1573" s="1758" t="str">
        <f>VLOOKUP(A1573,'PLANILHA SEM DESON'!$B$17:$D$1699,3,FALSE)</f>
        <v>m</v>
      </c>
      <c r="J1573" s="1759">
        <f>I1579</f>
        <v>13.23</v>
      </c>
    </row>
    <row r="1574" spans="1:10" ht="24">
      <c r="A1574" s="1761" t="s">
        <v>2401</v>
      </c>
      <c r="B1574" s="1762" t="s">
        <v>2402</v>
      </c>
      <c r="C1574" s="1763" t="s">
        <v>2399</v>
      </c>
      <c r="D1574" s="1764" t="s">
        <v>284</v>
      </c>
      <c r="E1574" s="1763" t="s">
        <v>193</v>
      </c>
      <c r="F1574" s="1765" t="s">
        <v>2403</v>
      </c>
      <c r="G1574" s="1763" t="s">
        <v>2404</v>
      </c>
      <c r="H1574" s="1766" t="s">
        <v>2405</v>
      </c>
      <c r="I1574" s="1767" t="s">
        <v>2406</v>
      </c>
      <c r="J1574" s="1768"/>
    </row>
    <row r="1575" spans="1:10" ht="24">
      <c r="A1575" s="1770" t="s">
        <v>2407</v>
      </c>
      <c r="B1575" s="1771" t="s">
        <v>2410</v>
      </c>
      <c r="C1575" s="1771">
        <v>40402</v>
      </c>
      <c r="D1575" s="1772" t="s">
        <v>2655</v>
      </c>
      <c r="E1575" s="1773" t="s">
        <v>158</v>
      </c>
      <c r="F1575" s="1780">
        <v>1.1000000000000001</v>
      </c>
      <c r="G1575" s="1774">
        <v>4.26</v>
      </c>
      <c r="H1575" s="1775">
        <f>IF(E1575="H",G1575,TRUNC(G1575*(1-$K$7),2))</f>
        <v>4.2300000000000004</v>
      </c>
      <c r="I1575" s="1776">
        <f t="shared" ref="I1575:I1578" si="219">TRUNC(H1575*F1575,2)</f>
        <v>4.6500000000000004</v>
      </c>
      <c r="J1575" s="1768"/>
    </row>
    <row r="1576" spans="1:10" ht="24">
      <c r="A1576" s="1770" t="s">
        <v>2407</v>
      </c>
      <c r="B1576" s="1771" t="s">
        <v>7</v>
      </c>
      <c r="C1576" s="1771">
        <v>88247</v>
      </c>
      <c r="D1576" s="1772" t="s">
        <v>93</v>
      </c>
      <c r="E1576" s="1773" t="s">
        <v>387</v>
      </c>
      <c r="F1576" s="1780">
        <v>0.113</v>
      </c>
      <c r="G1576" s="1774">
        <v>21</v>
      </c>
      <c r="H1576" s="1775">
        <f>IF(E1576="H",G1576,TRUNC(G1576*(1-$K$7),2))</f>
        <v>21</v>
      </c>
      <c r="I1576" s="1776">
        <f t="shared" si="219"/>
        <v>2.37</v>
      </c>
      <c r="J1576" s="1768"/>
    </row>
    <row r="1577" spans="1:10">
      <c r="A1577" s="1770" t="s">
        <v>2407</v>
      </c>
      <c r="B1577" s="1771" t="s">
        <v>7</v>
      </c>
      <c r="C1577" s="1771">
        <v>88264</v>
      </c>
      <c r="D1577" s="1772" t="s">
        <v>94</v>
      </c>
      <c r="E1577" s="1773" t="s">
        <v>387</v>
      </c>
      <c r="F1577" s="1780">
        <v>0.113</v>
      </c>
      <c r="G1577" s="1774">
        <v>25.54</v>
      </c>
      <c r="H1577" s="1775">
        <f>IF(E1577="H",G1577,TRUNC(G1577*(1-$K$7),2))</f>
        <v>25.54</v>
      </c>
      <c r="I1577" s="1776">
        <f t="shared" si="219"/>
        <v>2.88</v>
      </c>
      <c r="J1577" s="1768"/>
    </row>
    <row r="1578" spans="1:10" ht="60">
      <c r="A1578" s="1770" t="s">
        <v>2407</v>
      </c>
      <c r="B1578" s="1771" t="s">
        <v>7</v>
      </c>
      <c r="C1578" s="1771">
        <v>91170</v>
      </c>
      <c r="D1578" s="1772" t="s">
        <v>2462</v>
      </c>
      <c r="E1578" s="1773" t="s">
        <v>158</v>
      </c>
      <c r="F1578" s="1780">
        <v>1</v>
      </c>
      <c r="G1578" s="1774">
        <v>3.36</v>
      </c>
      <c r="H1578" s="1775">
        <f>IF(E1578="H",G1578,TRUNC(G1578*(1-$K$7),2))</f>
        <v>3.33</v>
      </c>
      <c r="I1578" s="1776">
        <f t="shared" si="219"/>
        <v>3.33</v>
      </c>
      <c r="J1578" s="1768"/>
    </row>
    <row r="1579" spans="1:10">
      <c r="A1579" s="1917" t="s">
        <v>2408</v>
      </c>
      <c r="B1579" s="1918"/>
      <c r="C1579" s="1918"/>
      <c r="D1579" s="1918"/>
      <c r="E1579" s="1918"/>
      <c r="F1579" s="1918"/>
      <c r="G1579" s="1918"/>
      <c r="H1579" s="1919"/>
      <c r="I1579" s="1778">
        <f>SUM(I1575:I1578)</f>
        <v>13.23</v>
      </c>
      <c r="J1579" s="1768"/>
    </row>
    <row r="1580" spans="1:10">
      <c r="A1580" s="1920"/>
      <c r="B1580" s="1921"/>
      <c r="C1580" s="1921"/>
      <c r="D1580" s="1921"/>
      <c r="E1580" s="1921"/>
      <c r="F1580" s="1921"/>
      <c r="G1580" s="1921"/>
      <c r="H1580" s="1921"/>
      <c r="I1580" s="1922"/>
      <c r="J1580" s="1768"/>
    </row>
    <row r="1581" spans="1:10" ht="25.5" customHeight="1">
      <c r="A1581" s="1757" t="str">
        <f>'PLANILHA SEM DESON'!B247</f>
        <v>COMP ELE 12</v>
      </c>
      <c r="B1581" s="1923" t="str">
        <f>VLOOKUP(A1581,'PLANILHA SEM DESON'!$B$17:$D$1699,2,FALSE)</f>
        <v>PARAFUSO EM AÇO ZINCADO COM ROSCA SOBERBA, CABEÇA CHATA E FENDA PHILLIPS COM BUCHA DE NYLON S6 - FORNECIMENTO E FIXAÇÃO</v>
      </c>
      <c r="C1581" s="1924"/>
      <c r="D1581" s="1924"/>
      <c r="E1581" s="1924"/>
      <c r="F1581" s="1924"/>
      <c r="G1581" s="1924"/>
      <c r="H1581" s="1925"/>
      <c r="I1581" s="1758" t="str">
        <f>VLOOKUP(A1581,'PLANILHA SEM DESON'!$B$17:$D$1699,3,FALSE)</f>
        <v xml:space="preserve">un </v>
      </c>
      <c r="J1581" s="1759">
        <f>I1585</f>
        <v>4.6000000000000005</v>
      </c>
    </row>
    <row r="1582" spans="1:10" ht="24">
      <c r="A1582" s="1761" t="s">
        <v>2401</v>
      </c>
      <c r="B1582" s="1762" t="s">
        <v>2402</v>
      </c>
      <c r="C1582" s="1763" t="s">
        <v>2399</v>
      </c>
      <c r="D1582" s="1764" t="s">
        <v>284</v>
      </c>
      <c r="E1582" s="1763" t="s">
        <v>193</v>
      </c>
      <c r="F1582" s="1765" t="s">
        <v>2403</v>
      </c>
      <c r="G1582" s="1763" t="s">
        <v>2404</v>
      </c>
      <c r="H1582" s="1766" t="s">
        <v>2405</v>
      </c>
      <c r="I1582" s="1767" t="s">
        <v>2406</v>
      </c>
      <c r="J1582" s="1768"/>
    </row>
    <row r="1583" spans="1:10" ht="24">
      <c r="A1583" s="1770"/>
      <c r="B1583" s="1771"/>
      <c r="C1583" s="1771">
        <v>95541</v>
      </c>
      <c r="D1583" s="1772" t="s">
        <v>2132</v>
      </c>
      <c r="E1583" s="1773" t="s">
        <v>55</v>
      </c>
      <c r="F1583" s="1784">
        <v>1</v>
      </c>
      <c r="G1583" s="1779">
        <v>4.4400000000000004</v>
      </c>
      <c r="H1583" s="1775">
        <f>IF(E1583="H",G1583,TRUNC(G1583*(1-$K$7),2))</f>
        <v>4.41</v>
      </c>
      <c r="I1583" s="1776">
        <f t="shared" ref="I1583:I1584" si="220">TRUNC(H1583*F1583,2)</f>
        <v>4.41</v>
      </c>
      <c r="J1583" s="1768"/>
    </row>
    <row r="1584" spans="1:10" ht="36">
      <c r="A1584" s="1770"/>
      <c r="B1584" s="1771"/>
      <c r="C1584" s="1771">
        <v>11950</v>
      </c>
      <c r="D1584" s="1772" t="s">
        <v>2104</v>
      </c>
      <c r="E1584" s="1773" t="s">
        <v>55</v>
      </c>
      <c r="F1584" s="1784">
        <v>1</v>
      </c>
      <c r="G1584" s="1779">
        <v>0.2</v>
      </c>
      <c r="H1584" s="1775">
        <f>IF(E1584="H",G1584,TRUNC(G1584*(1-$K$7),2))</f>
        <v>0.19</v>
      </c>
      <c r="I1584" s="1776">
        <f t="shared" si="220"/>
        <v>0.19</v>
      </c>
      <c r="J1584" s="1768"/>
    </row>
    <row r="1585" spans="1:10">
      <c r="A1585" s="1917" t="s">
        <v>2408</v>
      </c>
      <c r="B1585" s="1918"/>
      <c r="C1585" s="1918"/>
      <c r="D1585" s="1918"/>
      <c r="E1585" s="1918"/>
      <c r="F1585" s="1918"/>
      <c r="G1585" s="1918"/>
      <c r="H1585" s="1919"/>
      <c r="I1585" s="1778">
        <f>SUM(I1583:I1584)</f>
        <v>4.6000000000000005</v>
      </c>
      <c r="J1585" s="1768"/>
    </row>
    <row r="1586" spans="1:10">
      <c r="A1586" s="1920"/>
      <c r="B1586" s="1921"/>
      <c r="C1586" s="1921"/>
      <c r="D1586" s="1921"/>
      <c r="E1586" s="1921"/>
      <c r="F1586" s="1921"/>
      <c r="G1586" s="1921"/>
      <c r="H1586" s="1921"/>
      <c r="I1586" s="1922"/>
      <c r="J1586" s="1768"/>
    </row>
    <row r="1587" spans="1:10" ht="24.75" customHeight="1">
      <c r="A1587" s="1757" t="str">
        <f>'PLANILHA SEM DESON'!B248</f>
        <v>COMP ELE 08</v>
      </c>
      <c r="B1587" s="1923" t="str">
        <f>VLOOKUP(A1587,'PLANILHA SEM DESON'!$B$17:$D$1699,2,FALSE)</f>
        <v>CAIXA PADRÃO 19" - ABERTO 12 U</v>
      </c>
      <c r="C1587" s="1924"/>
      <c r="D1587" s="1924"/>
      <c r="E1587" s="1924"/>
      <c r="F1587" s="1924"/>
      <c r="G1587" s="1924"/>
      <c r="H1587" s="1925"/>
      <c r="I1587" s="1758" t="str">
        <f>VLOOKUP(A1587,'PLANILHA SEM DESON'!$B$17:$D$1699,3,FALSE)</f>
        <v xml:space="preserve">un </v>
      </c>
      <c r="J1587" s="1759">
        <f>I1592</f>
        <v>1073.49</v>
      </c>
    </row>
    <row r="1588" spans="1:10" ht="24">
      <c r="A1588" s="1761" t="s">
        <v>2401</v>
      </c>
      <c r="B1588" s="1762" t="s">
        <v>2402</v>
      </c>
      <c r="C1588" s="1763" t="s">
        <v>2399</v>
      </c>
      <c r="D1588" s="1764" t="s">
        <v>284</v>
      </c>
      <c r="E1588" s="1763" t="s">
        <v>193</v>
      </c>
      <c r="F1588" s="1765" t="s">
        <v>2403</v>
      </c>
      <c r="G1588" s="1763" t="s">
        <v>2404</v>
      </c>
      <c r="H1588" s="1766" t="s">
        <v>2405</v>
      </c>
      <c r="I1588" s="1767" t="s">
        <v>2406</v>
      </c>
      <c r="J1588" s="1768"/>
    </row>
    <row r="1589" spans="1:10">
      <c r="A1589" s="1770"/>
      <c r="B1589" s="1771"/>
      <c r="C1589" s="1771">
        <v>88264</v>
      </c>
      <c r="D1589" s="1772" t="s">
        <v>94</v>
      </c>
      <c r="E1589" s="1773" t="s">
        <v>57</v>
      </c>
      <c r="F1589" s="1784">
        <v>0.5</v>
      </c>
      <c r="G1589" s="1779">
        <v>25.54</v>
      </c>
      <c r="H1589" s="1775">
        <f>IF(E1589="H",G1589,TRUNC(G1589*(1-$K$7),2))</f>
        <v>25.54</v>
      </c>
      <c r="I1589" s="1776">
        <f t="shared" ref="I1589:I1591" si="221">TRUNC(H1589*F1589,2)</f>
        <v>12.77</v>
      </c>
      <c r="J1589" s="1768"/>
    </row>
    <row r="1590" spans="1:10" ht="24">
      <c r="A1590" s="1770"/>
      <c r="B1590" s="1771"/>
      <c r="C1590" s="1771">
        <v>88247</v>
      </c>
      <c r="D1590" s="1772" t="s">
        <v>93</v>
      </c>
      <c r="E1590" s="1773" t="s">
        <v>57</v>
      </c>
      <c r="F1590" s="1784">
        <v>0.5</v>
      </c>
      <c r="G1590" s="1779">
        <v>21</v>
      </c>
      <c r="H1590" s="1775">
        <f>IF(E1590="H",G1590,TRUNC(G1590*(1-$K$7),2))</f>
        <v>21</v>
      </c>
      <c r="I1590" s="1776">
        <f t="shared" si="221"/>
        <v>10.5</v>
      </c>
      <c r="J1590" s="1768"/>
    </row>
    <row r="1591" spans="1:10">
      <c r="A1591" s="1770"/>
      <c r="B1591" s="1771"/>
      <c r="C1591" s="1771" t="s">
        <v>65</v>
      </c>
      <c r="D1591" s="1772" t="s">
        <v>1483</v>
      </c>
      <c r="E1591" s="1773" t="s">
        <v>55</v>
      </c>
      <c r="F1591" s="1784">
        <v>1</v>
      </c>
      <c r="G1591" s="1779">
        <v>1056.56</v>
      </c>
      <c r="H1591" s="1775">
        <f>IF(E1591="H",G1591,TRUNC(G1591*(1-$K$7),2))</f>
        <v>1050.22</v>
      </c>
      <c r="I1591" s="1776">
        <f t="shared" si="221"/>
        <v>1050.22</v>
      </c>
      <c r="J1591" s="1768"/>
    </row>
    <row r="1592" spans="1:10">
      <c r="A1592" s="1917" t="s">
        <v>2408</v>
      </c>
      <c r="B1592" s="1918"/>
      <c r="C1592" s="1918"/>
      <c r="D1592" s="1918"/>
      <c r="E1592" s="1918"/>
      <c r="F1592" s="1918"/>
      <c r="G1592" s="1918"/>
      <c r="H1592" s="1919"/>
      <c r="I1592" s="1778">
        <f>SUM(I1589:I1591)</f>
        <v>1073.49</v>
      </c>
      <c r="J1592" s="1768"/>
    </row>
    <row r="1593" spans="1:10">
      <c r="A1593" s="1920"/>
      <c r="B1593" s="1921"/>
      <c r="C1593" s="1921"/>
      <c r="D1593" s="1921"/>
      <c r="E1593" s="1921"/>
      <c r="F1593" s="1921"/>
      <c r="G1593" s="1921"/>
      <c r="H1593" s="1921"/>
      <c r="I1593" s="1922"/>
      <c r="J1593" s="1768"/>
    </row>
    <row r="1594" spans="1:10" ht="25.5" customHeight="1">
      <c r="A1594" s="1757" t="str">
        <f>'PLANILHA SEM DESON'!B251</f>
        <v>COMP ELE 17</v>
      </c>
      <c r="B1594" s="1923" t="str">
        <f>VLOOKUP(A1594,'PLANILHA SEM DESON'!$B$17:$D$1699,2,FALSE)</f>
        <v>CAIXA DE EQUIPOTENCIALIZAÇÃO EM AÇO,COM 5 TERMINAIS</v>
      </c>
      <c r="C1594" s="1924"/>
      <c r="D1594" s="1924"/>
      <c r="E1594" s="1924"/>
      <c r="F1594" s="1924"/>
      <c r="G1594" s="1924"/>
      <c r="H1594" s="1925"/>
      <c r="I1594" s="1758" t="str">
        <f>VLOOKUP(A1594,'PLANILHA SEM DESON'!$B$17:$D$1699,3,FALSE)</f>
        <v xml:space="preserve">un </v>
      </c>
      <c r="J1594" s="1759">
        <f>I1599</f>
        <v>471.2</v>
      </c>
    </row>
    <row r="1595" spans="1:10" ht="24">
      <c r="A1595" s="1761" t="s">
        <v>2401</v>
      </c>
      <c r="B1595" s="1762" t="s">
        <v>2402</v>
      </c>
      <c r="C1595" s="1763" t="s">
        <v>2399</v>
      </c>
      <c r="D1595" s="1764" t="s">
        <v>284</v>
      </c>
      <c r="E1595" s="1763" t="s">
        <v>193</v>
      </c>
      <c r="F1595" s="1765" t="s">
        <v>2403</v>
      </c>
      <c r="G1595" s="1763" t="s">
        <v>2404</v>
      </c>
      <c r="H1595" s="1766" t="s">
        <v>2405</v>
      </c>
      <c r="I1595" s="1767" t="s">
        <v>2406</v>
      </c>
      <c r="J1595" s="1768"/>
    </row>
    <row r="1596" spans="1:10">
      <c r="A1596" s="1770"/>
      <c r="B1596" s="1771"/>
      <c r="C1596" s="1771">
        <v>88264</v>
      </c>
      <c r="D1596" s="1772" t="s">
        <v>94</v>
      </c>
      <c r="E1596" s="1773" t="s">
        <v>57</v>
      </c>
      <c r="F1596" s="1784">
        <v>0.3</v>
      </c>
      <c r="G1596" s="1779">
        <v>25.54</v>
      </c>
      <c r="H1596" s="1775">
        <f>IF(E1596="H",G1596,TRUNC(G1596*(1-$K$7),2))</f>
        <v>25.54</v>
      </c>
      <c r="I1596" s="1776">
        <f t="shared" ref="I1596:I1598" si="222">TRUNC(H1596*F1596,2)</f>
        <v>7.66</v>
      </c>
      <c r="J1596" s="1768"/>
    </row>
    <row r="1597" spans="1:10" ht="24">
      <c r="A1597" s="1770"/>
      <c r="B1597" s="1771"/>
      <c r="C1597" s="1771">
        <v>88247</v>
      </c>
      <c r="D1597" s="1772" t="s">
        <v>93</v>
      </c>
      <c r="E1597" s="1773" t="s">
        <v>57</v>
      </c>
      <c r="F1597" s="1784">
        <v>0.3</v>
      </c>
      <c r="G1597" s="1779">
        <v>21</v>
      </c>
      <c r="H1597" s="1775">
        <f>IF(E1597="H",G1597,TRUNC(G1597*(1-$K$7),2))</f>
        <v>21</v>
      </c>
      <c r="I1597" s="1776">
        <f t="shared" si="222"/>
        <v>6.3</v>
      </c>
      <c r="J1597" s="1768"/>
    </row>
    <row r="1598" spans="1:10" ht="36">
      <c r="A1598" s="1770"/>
      <c r="B1598" s="1771"/>
      <c r="C1598" s="1771" t="s">
        <v>65</v>
      </c>
      <c r="D1598" s="1772" t="s">
        <v>1525</v>
      </c>
      <c r="E1598" s="1773" t="s">
        <v>55</v>
      </c>
      <c r="F1598" s="1784">
        <v>1</v>
      </c>
      <c r="G1598" s="1779">
        <v>460</v>
      </c>
      <c r="H1598" s="1775">
        <f>IF(E1598="H",G1598,TRUNC(G1598*(1-$K$7),2))</f>
        <v>457.24</v>
      </c>
      <c r="I1598" s="1776">
        <f t="shared" si="222"/>
        <v>457.24</v>
      </c>
      <c r="J1598" s="1768"/>
    </row>
    <row r="1599" spans="1:10">
      <c r="A1599" s="1917" t="s">
        <v>2408</v>
      </c>
      <c r="B1599" s="1918"/>
      <c r="C1599" s="1918"/>
      <c r="D1599" s="1918"/>
      <c r="E1599" s="1918"/>
      <c r="F1599" s="1918"/>
      <c r="G1599" s="1918"/>
      <c r="H1599" s="1919"/>
      <c r="I1599" s="1778">
        <f>SUM(I1596:I1598)</f>
        <v>471.2</v>
      </c>
      <c r="J1599" s="1768"/>
    </row>
    <row r="1600" spans="1:10">
      <c r="A1600" s="1920"/>
      <c r="B1600" s="1921"/>
      <c r="C1600" s="1921"/>
      <c r="D1600" s="1921"/>
      <c r="E1600" s="1921"/>
      <c r="F1600" s="1921"/>
      <c r="G1600" s="1921"/>
      <c r="H1600" s="1921"/>
      <c r="I1600" s="1922"/>
      <c r="J1600" s="1768"/>
    </row>
    <row r="1601" spans="1:10" ht="32.25" customHeight="1">
      <c r="A1601" s="1757">
        <f>'PLANILHA SEM DESON'!B252</f>
        <v>98111</v>
      </c>
      <c r="B1601" s="1923" t="str">
        <f>VLOOKUP(A1601,'PLANILHA SEM DESON'!$B$17:$D$1699,2,FALSE)</f>
        <v>CAIXA DE INSPEÇÃO PARA ATERRAMENTO, CIRCULAR, EM POLIETILENO, DIÂMETRO INTERNO = 0,3 M. AF_12/2020</v>
      </c>
      <c r="C1601" s="1924"/>
      <c r="D1601" s="1924"/>
      <c r="E1601" s="1924"/>
      <c r="F1601" s="1924"/>
      <c r="G1601" s="1924"/>
      <c r="H1601" s="1925"/>
      <c r="I1601" s="1758" t="str">
        <f>VLOOKUP(A1601,'PLANILHA SEM DESON'!$B$17:$D$1699,3,FALSE)</f>
        <v xml:space="preserve">un </v>
      </c>
      <c r="J1601" s="1759">
        <f>I1607</f>
        <v>57.26</v>
      </c>
    </row>
    <row r="1602" spans="1:10" ht="24">
      <c r="A1602" s="1761" t="s">
        <v>2401</v>
      </c>
      <c r="B1602" s="1762" t="s">
        <v>2402</v>
      </c>
      <c r="C1602" s="1763" t="s">
        <v>2399</v>
      </c>
      <c r="D1602" s="1764" t="s">
        <v>284</v>
      </c>
      <c r="E1602" s="1763" t="s">
        <v>193</v>
      </c>
      <c r="F1602" s="1765" t="s">
        <v>2403</v>
      </c>
      <c r="G1602" s="1763" t="s">
        <v>2404</v>
      </c>
      <c r="H1602" s="1766" t="s">
        <v>2405</v>
      </c>
      <c r="I1602" s="1767" t="s">
        <v>2406</v>
      </c>
      <c r="J1602" s="1768"/>
    </row>
    <row r="1603" spans="1:10" ht="36">
      <c r="A1603" s="1770" t="s">
        <v>2407</v>
      </c>
      <c r="B1603" s="1771" t="s">
        <v>2410</v>
      </c>
      <c r="C1603" s="1771">
        <v>34643</v>
      </c>
      <c r="D1603" s="1772" t="s">
        <v>2656</v>
      </c>
      <c r="E1603" s="1773" t="s">
        <v>2432</v>
      </c>
      <c r="F1603" s="1780">
        <v>1</v>
      </c>
      <c r="G1603" s="1774">
        <v>48.56</v>
      </c>
      <c r="H1603" s="1775">
        <f>IF(E1603="H",G1603,TRUNC(G1603*(1-$K$7),2))</f>
        <v>48.26</v>
      </c>
      <c r="I1603" s="1776">
        <f t="shared" ref="I1603:I1606" si="223">TRUNC(H1603*F1603,2)</f>
        <v>48.26</v>
      </c>
      <c r="J1603" s="1768"/>
    </row>
    <row r="1604" spans="1:10">
      <c r="A1604" s="1770" t="s">
        <v>2407</v>
      </c>
      <c r="B1604" s="1771" t="s">
        <v>7</v>
      </c>
      <c r="C1604" s="1771">
        <v>88309</v>
      </c>
      <c r="D1604" s="1772" t="s">
        <v>103</v>
      </c>
      <c r="E1604" s="1773" t="s">
        <v>387</v>
      </c>
      <c r="F1604" s="1780">
        <v>0.1384</v>
      </c>
      <c r="G1604" s="1774">
        <v>24.59</v>
      </c>
      <c r="H1604" s="1775">
        <f>IF(E1604="H",G1604,TRUNC(G1604*(1-$K$7),2))</f>
        <v>24.59</v>
      </c>
      <c r="I1604" s="1776">
        <f t="shared" si="223"/>
        <v>3.4</v>
      </c>
      <c r="J1604" s="1768"/>
    </row>
    <row r="1605" spans="1:10">
      <c r="A1605" s="1770" t="s">
        <v>2407</v>
      </c>
      <c r="B1605" s="1771" t="s">
        <v>7</v>
      </c>
      <c r="C1605" s="1771">
        <v>88316</v>
      </c>
      <c r="D1605" s="1772" t="s">
        <v>66</v>
      </c>
      <c r="E1605" s="1773" t="s">
        <v>387</v>
      </c>
      <c r="F1605" s="1780">
        <v>0.10879999999999999</v>
      </c>
      <c r="G1605" s="1774">
        <v>19.45</v>
      </c>
      <c r="H1605" s="1775">
        <f>IF(E1605="H",G1605,TRUNC(G1605*(1-$K$7),2))</f>
        <v>19.45</v>
      </c>
      <c r="I1605" s="1776">
        <f t="shared" si="223"/>
        <v>2.11</v>
      </c>
      <c r="J1605" s="1768"/>
    </row>
    <row r="1606" spans="1:10" ht="36">
      <c r="A1606" s="1770" t="s">
        <v>2407</v>
      </c>
      <c r="B1606" s="1771" t="s">
        <v>7</v>
      </c>
      <c r="C1606" s="1771">
        <v>101618</v>
      </c>
      <c r="D1606" s="1772" t="s">
        <v>2657</v>
      </c>
      <c r="E1606" s="1773" t="s">
        <v>1132</v>
      </c>
      <c r="F1606" s="1780">
        <v>1.41E-2</v>
      </c>
      <c r="G1606" s="1774">
        <v>249.32</v>
      </c>
      <c r="H1606" s="1775">
        <f>IF(E1606="H",G1606,TRUNC(G1606*(1-$K$7),2))</f>
        <v>247.82</v>
      </c>
      <c r="I1606" s="1776">
        <f t="shared" si="223"/>
        <v>3.49</v>
      </c>
      <c r="J1606" s="1768"/>
    </row>
    <row r="1607" spans="1:10">
      <c r="A1607" s="1917" t="s">
        <v>2408</v>
      </c>
      <c r="B1607" s="1918"/>
      <c r="C1607" s="1918"/>
      <c r="D1607" s="1918"/>
      <c r="E1607" s="1918"/>
      <c r="F1607" s="1918"/>
      <c r="G1607" s="1918"/>
      <c r="H1607" s="1919"/>
      <c r="I1607" s="1778">
        <f>SUM(I1603:I1606)</f>
        <v>57.26</v>
      </c>
      <c r="J1607" s="1768"/>
    </row>
    <row r="1608" spans="1:10">
      <c r="A1608" s="1920"/>
      <c r="B1608" s="1921"/>
      <c r="C1608" s="1921"/>
      <c r="D1608" s="1921"/>
      <c r="E1608" s="1921"/>
      <c r="F1608" s="1921"/>
      <c r="G1608" s="1921"/>
      <c r="H1608" s="1921"/>
      <c r="I1608" s="1922"/>
      <c r="J1608" s="1768"/>
    </row>
    <row r="1609" spans="1:10">
      <c r="A1609" s="1757">
        <f>'PLANILHA SEM DESON'!B253</f>
        <v>96986</v>
      </c>
      <c r="B1609" s="1923" t="str">
        <f>VLOOKUP(A1609,'PLANILHA SEM DESON'!$B$17:$D$1699,2,FALSE)</f>
        <v>HASTE DE ATERRAMENTO 3/4 PARA SPDA - FORNECIMENTO E INSTALAÇÃO. AF_12/2017</v>
      </c>
      <c r="C1609" s="1924"/>
      <c r="D1609" s="1924"/>
      <c r="E1609" s="1924"/>
      <c r="F1609" s="1924"/>
      <c r="G1609" s="1924"/>
      <c r="H1609" s="1925"/>
      <c r="I1609" s="1758" t="str">
        <f>VLOOKUP(A1609,'PLANILHA SEM DESON'!$B$17:$D$1699,3,FALSE)</f>
        <v xml:space="preserve">un </v>
      </c>
      <c r="J1609" s="1759">
        <f>I1614</f>
        <v>113.38999999999999</v>
      </c>
    </row>
    <row r="1610" spans="1:10" ht="24">
      <c r="A1610" s="1761" t="s">
        <v>2401</v>
      </c>
      <c r="B1610" s="1762" t="s">
        <v>2402</v>
      </c>
      <c r="C1610" s="1763" t="s">
        <v>2399</v>
      </c>
      <c r="D1610" s="1764" t="s">
        <v>284</v>
      </c>
      <c r="E1610" s="1763" t="s">
        <v>193</v>
      </c>
      <c r="F1610" s="1765" t="s">
        <v>2403</v>
      </c>
      <c r="G1610" s="1763" t="s">
        <v>2404</v>
      </c>
      <c r="H1610" s="1766" t="s">
        <v>2405</v>
      </c>
      <c r="I1610" s="1767" t="s">
        <v>2406</v>
      </c>
      <c r="J1610" s="1768"/>
    </row>
    <row r="1611" spans="1:10" ht="36">
      <c r="A1611" s="1770" t="s">
        <v>2407</v>
      </c>
      <c r="B1611" s="1771" t="s">
        <v>2410</v>
      </c>
      <c r="C1611" s="1771">
        <v>3378</v>
      </c>
      <c r="D1611" s="1772" t="s">
        <v>2658</v>
      </c>
      <c r="E1611" s="1773" t="s">
        <v>2432</v>
      </c>
      <c r="F1611" s="1780">
        <v>1</v>
      </c>
      <c r="G1611" s="1774">
        <v>95.57</v>
      </c>
      <c r="H1611" s="1775">
        <f>IF(E1611="H",G1611,TRUNC(G1611*(1-$K$7),2))</f>
        <v>94.99</v>
      </c>
      <c r="I1611" s="1776">
        <f t="shared" ref="I1611:I1613" si="224">TRUNC(H1611*F1611,2)</f>
        <v>94.99</v>
      </c>
      <c r="J1611" s="1768"/>
    </row>
    <row r="1612" spans="1:10" ht="24">
      <c r="A1612" s="1770" t="s">
        <v>2407</v>
      </c>
      <c r="B1612" s="1771" t="s">
        <v>7</v>
      </c>
      <c r="C1612" s="1771">
        <v>88247</v>
      </c>
      <c r="D1612" s="1772" t="s">
        <v>93</v>
      </c>
      <c r="E1612" s="1773" t="s">
        <v>387</v>
      </c>
      <c r="F1612" s="1780">
        <v>0.39550000000000002</v>
      </c>
      <c r="G1612" s="1774">
        <v>21</v>
      </c>
      <c r="H1612" s="1775">
        <f>IF(E1612="H",G1612,TRUNC(G1612*(1-$K$7),2))</f>
        <v>21</v>
      </c>
      <c r="I1612" s="1776">
        <f t="shared" si="224"/>
        <v>8.3000000000000007</v>
      </c>
      <c r="J1612" s="1768"/>
    </row>
    <row r="1613" spans="1:10">
      <c r="A1613" s="1770" t="s">
        <v>2407</v>
      </c>
      <c r="B1613" s="1771" t="s">
        <v>7</v>
      </c>
      <c r="C1613" s="1771">
        <v>88264</v>
      </c>
      <c r="D1613" s="1772" t="s">
        <v>94</v>
      </c>
      <c r="E1613" s="1773" t="s">
        <v>387</v>
      </c>
      <c r="F1613" s="1780">
        <v>0.39550000000000002</v>
      </c>
      <c r="G1613" s="1774">
        <v>25.54</v>
      </c>
      <c r="H1613" s="1775">
        <f>IF(E1613="H",G1613,TRUNC(G1613*(1-$K$7),2))</f>
        <v>25.54</v>
      </c>
      <c r="I1613" s="1776">
        <f t="shared" si="224"/>
        <v>10.1</v>
      </c>
      <c r="J1613" s="1768"/>
    </row>
    <row r="1614" spans="1:10">
      <c r="A1614" s="1917" t="s">
        <v>2408</v>
      </c>
      <c r="B1614" s="1918"/>
      <c r="C1614" s="1918"/>
      <c r="D1614" s="1918"/>
      <c r="E1614" s="1918"/>
      <c r="F1614" s="1918"/>
      <c r="G1614" s="1918"/>
      <c r="H1614" s="1919"/>
      <c r="I1614" s="1778">
        <f>SUM(I1611:I1613)</f>
        <v>113.38999999999999</v>
      </c>
      <c r="J1614" s="1768"/>
    </row>
    <row r="1615" spans="1:10">
      <c r="A1615" s="1920"/>
      <c r="B1615" s="1921"/>
      <c r="C1615" s="1921"/>
      <c r="D1615" s="1921"/>
      <c r="E1615" s="1921"/>
      <c r="F1615" s="1921"/>
      <c r="G1615" s="1921"/>
      <c r="H1615" s="1921"/>
      <c r="I1615" s="1922"/>
      <c r="J1615" s="1768"/>
    </row>
    <row r="1616" spans="1:10" ht="31.5" customHeight="1">
      <c r="A1616" s="1757">
        <f>'PLANILHA SEM DESON'!B254</f>
        <v>96972</v>
      </c>
      <c r="B1616" s="1923" t="str">
        <f>VLOOKUP(A1616,'PLANILHA SEM DESON'!$B$17:$D$1699,2,FALSE)</f>
        <v>CORDOALHA DE COBRE NU 25 MM², NÃO ENTERRADA, COM ISOLADOR - FORNECIMENTO E INSTALAÇÃO. AF_12/2017</v>
      </c>
      <c r="C1616" s="1924"/>
      <c r="D1616" s="1924"/>
      <c r="E1616" s="1924"/>
      <c r="F1616" s="1924"/>
      <c r="G1616" s="1924"/>
      <c r="H1616" s="1925"/>
      <c r="I1616" s="1758" t="str">
        <f>VLOOKUP(A1616,'PLANILHA SEM DESON'!$B$17:$D$1699,3,FALSE)</f>
        <v>m</v>
      </c>
      <c r="J1616" s="1759">
        <f>I1622</f>
        <v>45.639999999999993</v>
      </c>
    </row>
    <row r="1617" spans="1:10" ht="24">
      <c r="A1617" s="1761" t="s">
        <v>2401</v>
      </c>
      <c r="B1617" s="1762" t="s">
        <v>2402</v>
      </c>
      <c r="C1617" s="1763" t="s">
        <v>2399</v>
      </c>
      <c r="D1617" s="1764" t="s">
        <v>284</v>
      </c>
      <c r="E1617" s="1763" t="s">
        <v>193</v>
      </c>
      <c r="F1617" s="1765" t="s">
        <v>2403</v>
      </c>
      <c r="G1617" s="1763" t="s">
        <v>2404</v>
      </c>
      <c r="H1617" s="1766" t="s">
        <v>2405</v>
      </c>
      <c r="I1617" s="1767" t="s">
        <v>2406</v>
      </c>
      <c r="J1617" s="1768"/>
    </row>
    <row r="1618" spans="1:10">
      <c r="A1618" s="1770" t="s">
        <v>2407</v>
      </c>
      <c r="B1618" s="1771" t="s">
        <v>2410</v>
      </c>
      <c r="C1618" s="1771">
        <v>868</v>
      </c>
      <c r="D1618" s="1772" t="s">
        <v>2659</v>
      </c>
      <c r="E1618" s="1773" t="s">
        <v>158</v>
      </c>
      <c r="F1618" s="1780">
        <v>1.05</v>
      </c>
      <c r="G1618" s="1774">
        <v>24.11</v>
      </c>
      <c r="H1618" s="1775">
        <f>IF(E1618="H",G1618,TRUNC(G1618*(1-$K$7),2))</f>
        <v>23.96</v>
      </c>
      <c r="I1618" s="1776">
        <f t="shared" ref="I1618:I1621" si="225">TRUNC(H1618*F1618,2)</f>
        <v>25.15</v>
      </c>
      <c r="J1618" s="1768"/>
    </row>
    <row r="1619" spans="1:10" ht="24">
      <c r="A1619" s="1770" t="s">
        <v>2407</v>
      </c>
      <c r="B1619" s="1771" t="s">
        <v>7</v>
      </c>
      <c r="C1619" s="1771">
        <v>88247</v>
      </c>
      <c r="D1619" s="1772" t="s">
        <v>93</v>
      </c>
      <c r="E1619" s="1773" t="s">
        <v>387</v>
      </c>
      <c r="F1619" s="1780">
        <v>0.1855</v>
      </c>
      <c r="G1619" s="1774">
        <v>21</v>
      </c>
      <c r="H1619" s="1775">
        <f>IF(E1619="H",G1619,TRUNC(G1619*(1-$K$7),2))</f>
        <v>21</v>
      </c>
      <c r="I1619" s="1776">
        <f t="shared" si="225"/>
        <v>3.89</v>
      </c>
      <c r="J1619" s="1768"/>
    </row>
    <row r="1620" spans="1:10">
      <c r="A1620" s="1770" t="s">
        <v>2407</v>
      </c>
      <c r="B1620" s="1771" t="s">
        <v>7</v>
      </c>
      <c r="C1620" s="1771">
        <v>88264</v>
      </c>
      <c r="D1620" s="1772" t="s">
        <v>94</v>
      </c>
      <c r="E1620" s="1773" t="s">
        <v>387</v>
      </c>
      <c r="F1620" s="1780">
        <v>0.1855</v>
      </c>
      <c r="G1620" s="1774">
        <v>25.54</v>
      </c>
      <c r="H1620" s="1775">
        <f>IF(E1620="H",G1620,TRUNC(G1620*(1-$K$7),2))</f>
        <v>25.54</v>
      </c>
      <c r="I1620" s="1776">
        <f t="shared" si="225"/>
        <v>4.7300000000000004</v>
      </c>
      <c r="J1620" s="1768"/>
    </row>
    <row r="1621" spans="1:10" ht="24">
      <c r="A1621" s="1770" t="s">
        <v>2407</v>
      </c>
      <c r="B1621" s="1771" t="s">
        <v>7</v>
      </c>
      <c r="C1621" s="1771">
        <v>98463</v>
      </c>
      <c r="D1621" s="1772" t="s">
        <v>2660</v>
      </c>
      <c r="E1621" s="1773" t="s">
        <v>2432</v>
      </c>
      <c r="F1621" s="1780">
        <v>0.5</v>
      </c>
      <c r="G1621" s="1774">
        <v>23.9</v>
      </c>
      <c r="H1621" s="1775">
        <f>IF(E1621="H",G1621,TRUNC(G1621*(1-$K$7),2))</f>
        <v>23.75</v>
      </c>
      <c r="I1621" s="1776">
        <f t="shared" si="225"/>
        <v>11.87</v>
      </c>
      <c r="J1621" s="1768"/>
    </row>
    <row r="1622" spans="1:10">
      <c r="A1622" s="1917" t="s">
        <v>2408</v>
      </c>
      <c r="B1622" s="1918"/>
      <c r="C1622" s="1918"/>
      <c r="D1622" s="1918"/>
      <c r="E1622" s="1918"/>
      <c r="F1622" s="1918"/>
      <c r="G1622" s="1918"/>
      <c r="H1622" s="1919"/>
      <c r="I1622" s="1778">
        <f>SUM(I1618:I1621)</f>
        <v>45.639999999999993</v>
      </c>
      <c r="J1622" s="1768"/>
    </row>
    <row r="1623" spans="1:10">
      <c r="A1623" s="1920"/>
      <c r="B1623" s="1921"/>
      <c r="C1623" s="1921"/>
      <c r="D1623" s="1921"/>
      <c r="E1623" s="1921"/>
      <c r="F1623" s="1921"/>
      <c r="G1623" s="1921"/>
      <c r="H1623" s="1921"/>
      <c r="I1623" s="1922"/>
      <c r="J1623" s="1768"/>
    </row>
    <row r="1624" spans="1:10" ht="31.5" customHeight="1">
      <c r="A1624" s="1757">
        <f>'PLANILHA SEM DESON'!B255</f>
        <v>96973</v>
      </c>
      <c r="B1624" s="1923" t="str">
        <f>VLOOKUP(A1624,'PLANILHA SEM DESON'!$B$17:$D$1699,2,FALSE)</f>
        <v>CORDOALHA DE COBRE NU 35 MM², NÃO ENTERRADA, COM ISOLADOR - FORNECIMENTO E INSTALAÇÃO. AF_12/2017</v>
      </c>
      <c r="C1624" s="1924"/>
      <c r="D1624" s="1924"/>
      <c r="E1624" s="1924"/>
      <c r="F1624" s="1924"/>
      <c r="G1624" s="1924"/>
      <c r="H1624" s="1925"/>
      <c r="I1624" s="1758" t="str">
        <f>VLOOKUP(A1624,'PLANILHA SEM DESON'!$B$17:$D$1699,3,FALSE)</f>
        <v>m</v>
      </c>
      <c r="J1624" s="1759">
        <f>I1630</f>
        <v>60.69</v>
      </c>
    </row>
    <row r="1625" spans="1:10" ht="24">
      <c r="A1625" s="1761" t="s">
        <v>2401</v>
      </c>
      <c r="B1625" s="1762" t="s">
        <v>2402</v>
      </c>
      <c r="C1625" s="1763" t="s">
        <v>2399</v>
      </c>
      <c r="D1625" s="1764" t="s">
        <v>284</v>
      </c>
      <c r="E1625" s="1763" t="s">
        <v>193</v>
      </c>
      <c r="F1625" s="1765" t="s">
        <v>2403</v>
      </c>
      <c r="G1625" s="1763" t="s">
        <v>2404</v>
      </c>
      <c r="H1625" s="1766" t="s">
        <v>2405</v>
      </c>
      <c r="I1625" s="1767" t="s">
        <v>2406</v>
      </c>
      <c r="J1625" s="1768"/>
    </row>
    <row r="1626" spans="1:10">
      <c r="A1626" s="1770" t="s">
        <v>2407</v>
      </c>
      <c r="B1626" s="1771" t="s">
        <v>2410</v>
      </c>
      <c r="C1626" s="1771">
        <v>863</v>
      </c>
      <c r="D1626" s="1772" t="s">
        <v>2661</v>
      </c>
      <c r="E1626" s="1773" t="s">
        <v>158</v>
      </c>
      <c r="F1626" s="1780">
        <v>1.05</v>
      </c>
      <c r="G1626" s="1774">
        <v>35.51</v>
      </c>
      <c r="H1626" s="1775">
        <f>IF(E1626="H",G1626,TRUNC(G1626*(1-$K$7),2))</f>
        <v>35.29</v>
      </c>
      <c r="I1626" s="1776">
        <f t="shared" ref="I1626:I1629" si="226">TRUNC(H1626*F1626,2)</f>
        <v>37.049999999999997</v>
      </c>
      <c r="J1626" s="1768"/>
    </row>
    <row r="1627" spans="1:10" ht="24">
      <c r="A1627" s="1770" t="s">
        <v>2407</v>
      </c>
      <c r="B1627" s="1771" t="s">
        <v>7</v>
      </c>
      <c r="C1627" s="1771">
        <v>88247</v>
      </c>
      <c r="D1627" s="1772" t="s">
        <v>93</v>
      </c>
      <c r="E1627" s="1773" t="s">
        <v>387</v>
      </c>
      <c r="F1627" s="1780">
        <v>0.25330000000000003</v>
      </c>
      <c r="G1627" s="1774">
        <v>21</v>
      </c>
      <c r="H1627" s="1775">
        <f>IF(E1627="H",G1627,TRUNC(G1627*(1-$K$7),2))</f>
        <v>21</v>
      </c>
      <c r="I1627" s="1776">
        <f t="shared" si="226"/>
        <v>5.31</v>
      </c>
      <c r="J1627" s="1768"/>
    </row>
    <row r="1628" spans="1:10">
      <c r="A1628" s="1770" t="s">
        <v>2407</v>
      </c>
      <c r="B1628" s="1771" t="s">
        <v>7</v>
      </c>
      <c r="C1628" s="1771">
        <v>88264</v>
      </c>
      <c r="D1628" s="1772" t="s">
        <v>94</v>
      </c>
      <c r="E1628" s="1773" t="s">
        <v>387</v>
      </c>
      <c r="F1628" s="1780">
        <v>0.25330000000000003</v>
      </c>
      <c r="G1628" s="1774">
        <v>25.54</v>
      </c>
      <c r="H1628" s="1775">
        <f>IF(E1628="H",G1628,TRUNC(G1628*(1-$K$7),2))</f>
        <v>25.54</v>
      </c>
      <c r="I1628" s="1776">
        <f t="shared" si="226"/>
        <v>6.46</v>
      </c>
      <c r="J1628" s="1768"/>
    </row>
    <row r="1629" spans="1:10" ht="24">
      <c r="A1629" s="1770" t="s">
        <v>2407</v>
      </c>
      <c r="B1629" s="1771" t="s">
        <v>7</v>
      </c>
      <c r="C1629" s="1771">
        <v>98463</v>
      </c>
      <c r="D1629" s="1772" t="s">
        <v>2660</v>
      </c>
      <c r="E1629" s="1773" t="s">
        <v>2432</v>
      </c>
      <c r="F1629" s="1780">
        <v>0.5</v>
      </c>
      <c r="G1629" s="1774">
        <v>23.9</v>
      </c>
      <c r="H1629" s="1775">
        <f>IF(E1629="H",G1629,TRUNC(G1629*(1-$K$7),2))</f>
        <v>23.75</v>
      </c>
      <c r="I1629" s="1776">
        <f t="shared" si="226"/>
        <v>11.87</v>
      </c>
      <c r="J1629" s="1768"/>
    </row>
    <row r="1630" spans="1:10">
      <c r="A1630" s="1917" t="s">
        <v>2408</v>
      </c>
      <c r="B1630" s="1918"/>
      <c r="C1630" s="1918"/>
      <c r="D1630" s="1918"/>
      <c r="E1630" s="1918"/>
      <c r="F1630" s="1918"/>
      <c r="G1630" s="1918"/>
      <c r="H1630" s="1919"/>
      <c r="I1630" s="1778">
        <f>SUM(I1626:I1629)</f>
        <v>60.69</v>
      </c>
      <c r="J1630" s="1768"/>
    </row>
    <row r="1631" spans="1:10">
      <c r="A1631" s="1920"/>
      <c r="B1631" s="1921"/>
      <c r="C1631" s="1921"/>
      <c r="D1631" s="1921"/>
      <c r="E1631" s="1921"/>
      <c r="F1631" s="1921"/>
      <c r="G1631" s="1921"/>
      <c r="H1631" s="1921"/>
      <c r="I1631" s="1922"/>
      <c r="J1631" s="1768"/>
    </row>
    <row r="1632" spans="1:10" ht="31.5" customHeight="1">
      <c r="A1632" s="1757">
        <f>'PLANILHA SEM DESON'!B256</f>
        <v>96974</v>
      </c>
      <c r="B1632" s="1923" t="str">
        <f>VLOOKUP(A1632,'PLANILHA SEM DESON'!$B$17:$D$1699,2,FALSE)</f>
        <v>CORDOALHA DE COBRE NU 50 MM², NÃO ENTERRADA, COM ISOLADOR - FORNECIMENTO E INSTALAÇÃO. AF_12/2017</v>
      </c>
      <c r="C1632" s="1924"/>
      <c r="D1632" s="1924"/>
      <c r="E1632" s="1924"/>
      <c r="F1632" s="1924"/>
      <c r="G1632" s="1924"/>
      <c r="H1632" s="1925"/>
      <c r="I1632" s="1758" t="str">
        <f>VLOOKUP(A1632,'PLANILHA SEM DESON'!$B$17:$D$1699,3,FALSE)</f>
        <v>m</v>
      </c>
      <c r="J1632" s="1759">
        <f>I1638</f>
        <v>79.78</v>
      </c>
    </row>
    <row r="1633" spans="1:10" ht="24">
      <c r="A1633" s="1761" t="s">
        <v>2401</v>
      </c>
      <c r="B1633" s="1762" t="s">
        <v>2402</v>
      </c>
      <c r="C1633" s="1763" t="s">
        <v>2399</v>
      </c>
      <c r="D1633" s="1764" t="s">
        <v>284</v>
      </c>
      <c r="E1633" s="1763" t="s">
        <v>193</v>
      </c>
      <c r="F1633" s="1765" t="s">
        <v>2403</v>
      </c>
      <c r="G1633" s="1763" t="s">
        <v>2404</v>
      </c>
      <c r="H1633" s="1766" t="s">
        <v>2405</v>
      </c>
      <c r="I1633" s="1767" t="s">
        <v>2406</v>
      </c>
      <c r="J1633" s="1768"/>
    </row>
    <row r="1634" spans="1:10">
      <c r="A1634" s="1770" t="s">
        <v>2407</v>
      </c>
      <c r="B1634" s="1771" t="s">
        <v>2410</v>
      </c>
      <c r="C1634" s="1771">
        <v>867</v>
      </c>
      <c r="D1634" s="1772" t="s">
        <v>2662</v>
      </c>
      <c r="E1634" s="1773" t="s">
        <v>158</v>
      </c>
      <c r="F1634" s="1780">
        <v>1.05</v>
      </c>
      <c r="G1634" s="1774">
        <v>50.59</v>
      </c>
      <c r="H1634" s="1775">
        <f>IF(E1634="H",G1634,TRUNC(G1634*(1-$K$7),2))</f>
        <v>50.28</v>
      </c>
      <c r="I1634" s="1776">
        <f t="shared" ref="I1634:I1637" si="227">TRUNC(H1634*F1634,2)</f>
        <v>52.79</v>
      </c>
      <c r="J1634" s="1768"/>
    </row>
    <row r="1635" spans="1:10" ht="24">
      <c r="A1635" s="1770" t="s">
        <v>2407</v>
      </c>
      <c r="B1635" s="1771" t="s">
        <v>7</v>
      </c>
      <c r="C1635" s="1771">
        <v>88247</v>
      </c>
      <c r="D1635" s="1772" t="s">
        <v>93</v>
      </c>
      <c r="E1635" s="1773" t="s">
        <v>387</v>
      </c>
      <c r="F1635" s="1780">
        <v>0.3251</v>
      </c>
      <c r="G1635" s="1774">
        <v>21</v>
      </c>
      <c r="H1635" s="1775">
        <f>IF(E1635="H",G1635,TRUNC(G1635*(1-$K$7),2))</f>
        <v>21</v>
      </c>
      <c r="I1635" s="1776">
        <f t="shared" si="227"/>
        <v>6.82</v>
      </c>
      <c r="J1635" s="1768"/>
    </row>
    <row r="1636" spans="1:10">
      <c r="A1636" s="1770" t="s">
        <v>2407</v>
      </c>
      <c r="B1636" s="1771" t="s">
        <v>7</v>
      </c>
      <c r="C1636" s="1771">
        <v>88264</v>
      </c>
      <c r="D1636" s="1772" t="s">
        <v>94</v>
      </c>
      <c r="E1636" s="1773" t="s">
        <v>387</v>
      </c>
      <c r="F1636" s="1780">
        <v>0.3251</v>
      </c>
      <c r="G1636" s="1774">
        <v>25.54</v>
      </c>
      <c r="H1636" s="1775">
        <f>IF(E1636="H",G1636,TRUNC(G1636*(1-$K$7),2))</f>
        <v>25.54</v>
      </c>
      <c r="I1636" s="1776">
        <f t="shared" si="227"/>
        <v>8.3000000000000007</v>
      </c>
      <c r="J1636" s="1768"/>
    </row>
    <row r="1637" spans="1:10" ht="24">
      <c r="A1637" s="1770" t="s">
        <v>2407</v>
      </c>
      <c r="B1637" s="1771" t="s">
        <v>7</v>
      </c>
      <c r="C1637" s="1771">
        <v>98463</v>
      </c>
      <c r="D1637" s="1772" t="s">
        <v>2660</v>
      </c>
      <c r="E1637" s="1773" t="s">
        <v>2432</v>
      </c>
      <c r="F1637" s="1780">
        <v>0.5</v>
      </c>
      <c r="G1637" s="1774">
        <v>23.9</v>
      </c>
      <c r="H1637" s="1775">
        <f>IF(E1637="H",G1637,TRUNC(G1637*(1-$K$7),2))</f>
        <v>23.75</v>
      </c>
      <c r="I1637" s="1776">
        <f t="shared" si="227"/>
        <v>11.87</v>
      </c>
      <c r="J1637" s="1768"/>
    </row>
    <row r="1638" spans="1:10">
      <c r="A1638" s="1917" t="s">
        <v>2408</v>
      </c>
      <c r="B1638" s="1918"/>
      <c r="C1638" s="1918"/>
      <c r="D1638" s="1918"/>
      <c r="E1638" s="1918"/>
      <c r="F1638" s="1918"/>
      <c r="G1638" s="1918"/>
      <c r="H1638" s="1919"/>
      <c r="I1638" s="1778">
        <f>SUM(I1634:I1637)</f>
        <v>79.78</v>
      </c>
      <c r="J1638" s="1768"/>
    </row>
    <row r="1639" spans="1:10">
      <c r="A1639" s="1920"/>
      <c r="B1639" s="1921"/>
      <c r="C1639" s="1921"/>
      <c r="D1639" s="1921"/>
      <c r="E1639" s="1921"/>
      <c r="F1639" s="1921"/>
      <c r="G1639" s="1921"/>
      <c r="H1639" s="1921"/>
      <c r="I1639" s="1922"/>
      <c r="J1639" s="1768"/>
    </row>
    <row r="1640" spans="1:10" ht="24" customHeight="1">
      <c r="A1640" s="1757" t="str">
        <f>'PLANILHA SEM DESON'!B257</f>
        <v xml:space="preserve">COMP ELE 19 </v>
      </c>
      <c r="B1640" s="1923" t="str">
        <f>VLOOKUP(A1640,'PLANILHA SEM DESON'!$B$17:$D$1699,2,FALSE)</f>
        <v>TERMINAL AÉREO (CAPTOR) - 600MM - FIXAÇÃO HORIZONTAL</v>
      </c>
      <c r="C1640" s="1924"/>
      <c r="D1640" s="1924"/>
      <c r="E1640" s="1924"/>
      <c r="F1640" s="1924"/>
      <c r="G1640" s="1924"/>
      <c r="H1640" s="1925"/>
      <c r="I1640" s="1758" t="str">
        <f>VLOOKUP(A1640,'PLANILHA SEM DESON'!$B$17:$D$1699,3,FALSE)</f>
        <v xml:space="preserve">un </v>
      </c>
      <c r="J1640" s="1759">
        <f>I1645</f>
        <v>33.019999999999996</v>
      </c>
    </row>
    <row r="1641" spans="1:10" ht="24">
      <c r="A1641" s="1761" t="s">
        <v>2401</v>
      </c>
      <c r="B1641" s="1762" t="s">
        <v>2402</v>
      </c>
      <c r="C1641" s="1763" t="s">
        <v>2399</v>
      </c>
      <c r="D1641" s="1764" t="s">
        <v>284</v>
      </c>
      <c r="E1641" s="1763" t="s">
        <v>193</v>
      </c>
      <c r="F1641" s="1765" t="s">
        <v>2403</v>
      </c>
      <c r="G1641" s="1763" t="s">
        <v>2404</v>
      </c>
      <c r="H1641" s="1766" t="s">
        <v>2405</v>
      </c>
      <c r="I1641" s="1767" t="s">
        <v>2406</v>
      </c>
      <c r="J1641" s="1768"/>
    </row>
    <row r="1642" spans="1:10">
      <c r="A1642" s="1770"/>
      <c r="B1642" s="1771"/>
      <c r="C1642" s="1771">
        <v>88264</v>
      </c>
      <c r="D1642" s="1772" t="s">
        <v>94</v>
      </c>
      <c r="E1642" s="1773" t="s">
        <v>57</v>
      </c>
      <c r="F1642" s="1784">
        <v>0.25</v>
      </c>
      <c r="G1642" s="1779">
        <v>25.54</v>
      </c>
      <c r="H1642" s="1775">
        <f>IF(E1642="H",G1642,TRUNC(G1642*(1-$K$7),2))</f>
        <v>25.54</v>
      </c>
      <c r="I1642" s="1776">
        <f t="shared" ref="I1642:I1644" si="228">TRUNC(H1642*F1642,2)</f>
        <v>6.38</v>
      </c>
      <c r="J1642" s="1768"/>
    </row>
    <row r="1643" spans="1:10" ht="24">
      <c r="A1643" s="1770"/>
      <c r="B1643" s="1771"/>
      <c r="C1643" s="1771">
        <v>88247</v>
      </c>
      <c r="D1643" s="1772" t="s">
        <v>93</v>
      </c>
      <c r="E1643" s="1773" t="s">
        <v>57</v>
      </c>
      <c r="F1643" s="1784">
        <v>0.25</v>
      </c>
      <c r="G1643" s="1779">
        <v>21</v>
      </c>
      <c r="H1643" s="1775">
        <f>IF(E1643="H",G1643,TRUNC(G1643*(1-$K$7),2))</f>
        <v>21</v>
      </c>
      <c r="I1643" s="1776">
        <f t="shared" si="228"/>
        <v>5.25</v>
      </c>
      <c r="J1643" s="1768"/>
    </row>
    <row r="1644" spans="1:10" ht="24">
      <c r="A1644" s="1770"/>
      <c r="B1644" s="1771"/>
      <c r="C1644" s="1771" t="s">
        <v>65</v>
      </c>
      <c r="D1644" s="1772" t="s">
        <v>1529</v>
      </c>
      <c r="E1644" s="1773" t="s">
        <v>55</v>
      </c>
      <c r="F1644" s="1784">
        <v>1</v>
      </c>
      <c r="G1644" s="1779">
        <v>21.52</v>
      </c>
      <c r="H1644" s="1775">
        <f>IF(E1644="H",G1644,TRUNC(G1644*(1-$K$7),2))</f>
        <v>21.39</v>
      </c>
      <c r="I1644" s="1776">
        <f t="shared" si="228"/>
        <v>21.39</v>
      </c>
      <c r="J1644" s="1768"/>
    </row>
    <row r="1645" spans="1:10">
      <c r="A1645" s="1917" t="s">
        <v>2408</v>
      </c>
      <c r="B1645" s="1918"/>
      <c r="C1645" s="1918"/>
      <c r="D1645" s="1918"/>
      <c r="E1645" s="1918"/>
      <c r="F1645" s="1918"/>
      <c r="G1645" s="1918"/>
      <c r="H1645" s="1919"/>
      <c r="I1645" s="1778">
        <f>SUM(I1642:I1644)</f>
        <v>33.019999999999996</v>
      </c>
      <c r="J1645" s="1768"/>
    </row>
    <row r="1646" spans="1:10">
      <c r="A1646" s="1920"/>
      <c r="B1646" s="1921"/>
      <c r="C1646" s="1921"/>
      <c r="D1646" s="1921"/>
      <c r="E1646" s="1921"/>
      <c r="F1646" s="1921"/>
      <c r="G1646" s="1921"/>
      <c r="H1646" s="1921"/>
      <c r="I1646" s="1922"/>
      <c r="J1646" s="1768"/>
    </row>
    <row r="1647" spans="1:10" ht="24.75" customHeight="1">
      <c r="A1647" s="1757">
        <f>'PLANILHA SEM DESON'!B260</f>
        <v>89408</v>
      </c>
      <c r="B1647" s="1923" t="str">
        <f>VLOOKUP(A1647,'PLANILHA SEM DESON'!$B$17:$D$1699,2,FALSE)</f>
        <v>JOELHO 90 GRAUS, PVC, SOLDÁVEL, DN 25MM, INSTALADO EM RAMAL DE DISTRIBUIÇÃO DE ÁGUA - FORNECIMENTO E INSTALAÇÃO. AF_06/2022</v>
      </c>
      <c r="C1647" s="1924"/>
      <c r="D1647" s="1924"/>
      <c r="E1647" s="1924"/>
      <c r="F1647" s="1924"/>
      <c r="G1647" s="1924"/>
      <c r="H1647" s="1925"/>
      <c r="I1647" s="1758" t="str">
        <f>VLOOKUP(A1647,'PLANILHA SEM DESON'!$B$17:$D$1699,3,FALSE)</f>
        <v xml:space="preserve">un </v>
      </c>
      <c r="J1647" s="1759">
        <f>I1655</f>
        <v>8.379999999999999</v>
      </c>
    </row>
    <row r="1648" spans="1:10" ht="24">
      <c r="A1648" s="1761" t="s">
        <v>2401</v>
      </c>
      <c r="B1648" s="1762" t="s">
        <v>2402</v>
      </c>
      <c r="C1648" s="1763" t="s">
        <v>2399</v>
      </c>
      <c r="D1648" s="1764" t="s">
        <v>284</v>
      </c>
      <c r="E1648" s="1763" t="s">
        <v>193</v>
      </c>
      <c r="F1648" s="1765" t="s">
        <v>2403</v>
      </c>
      <c r="G1648" s="1763" t="s">
        <v>2404</v>
      </c>
      <c r="H1648" s="1766" t="s">
        <v>2405</v>
      </c>
      <c r="I1648" s="1767" t="s">
        <v>2406</v>
      </c>
      <c r="J1648" s="1768"/>
    </row>
    <row r="1649" spans="1:10">
      <c r="A1649" s="1770" t="s">
        <v>2407</v>
      </c>
      <c r="B1649" s="1771" t="s">
        <v>2410</v>
      </c>
      <c r="C1649" s="1771">
        <v>122</v>
      </c>
      <c r="D1649" s="1772" t="s">
        <v>2663</v>
      </c>
      <c r="E1649" s="1773" t="s">
        <v>2432</v>
      </c>
      <c r="F1649" s="1780">
        <v>7.1000000000000004E-3</v>
      </c>
      <c r="G1649" s="1774">
        <v>76.86</v>
      </c>
      <c r="H1649" s="1775">
        <f t="shared" ref="H1649:H1654" si="229">IF(E1649="H",G1649,TRUNC(G1649*(1-$K$7),2))</f>
        <v>76.39</v>
      </c>
      <c r="I1649" s="1776">
        <f t="shared" ref="I1649:I1654" si="230">TRUNC(H1649*F1649,2)</f>
        <v>0.54</v>
      </c>
      <c r="J1649" s="1768"/>
    </row>
    <row r="1650" spans="1:10" ht="24">
      <c r="A1650" s="1770" t="s">
        <v>2407</v>
      </c>
      <c r="B1650" s="1771" t="s">
        <v>2410</v>
      </c>
      <c r="C1650" s="1771">
        <v>3529</v>
      </c>
      <c r="D1650" s="1772" t="s">
        <v>2664</v>
      </c>
      <c r="E1650" s="1773" t="s">
        <v>2432</v>
      </c>
      <c r="F1650" s="1780">
        <v>1</v>
      </c>
      <c r="G1650" s="1774">
        <v>1.02</v>
      </c>
      <c r="H1650" s="1775">
        <f t="shared" si="229"/>
        <v>1.01</v>
      </c>
      <c r="I1650" s="1776">
        <f t="shared" si="230"/>
        <v>1.01</v>
      </c>
      <c r="J1650" s="1768"/>
    </row>
    <row r="1651" spans="1:10" ht="24">
      <c r="A1651" s="1770" t="s">
        <v>2407</v>
      </c>
      <c r="B1651" s="1771" t="s">
        <v>2410</v>
      </c>
      <c r="C1651" s="1771">
        <v>20083</v>
      </c>
      <c r="D1651" s="1772" t="s">
        <v>2537</v>
      </c>
      <c r="E1651" s="1773" t="s">
        <v>2432</v>
      </c>
      <c r="F1651" s="1780">
        <v>8.0000000000000002E-3</v>
      </c>
      <c r="G1651" s="1774">
        <v>87.08</v>
      </c>
      <c r="H1651" s="1775">
        <f t="shared" si="229"/>
        <v>86.55</v>
      </c>
      <c r="I1651" s="1776">
        <f t="shared" si="230"/>
        <v>0.69</v>
      </c>
      <c r="J1651" s="1768"/>
    </row>
    <row r="1652" spans="1:10">
      <c r="A1652" s="1770" t="s">
        <v>2407</v>
      </c>
      <c r="B1652" s="1771" t="s">
        <v>2410</v>
      </c>
      <c r="C1652" s="1771">
        <v>38383</v>
      </c>
      <c r="D1652" s="1772" t="s">
        <v>2538</v>
      </c>
      <c r="E1652" s="1773" t="s">
        <v>2432</v>
      </c>
      <c r="F1652" s="1780">
        <v>3.0200000000000001E-2</v>
      </c>
      <c r="G1652" s="1774">
        <v>2.56</v>
      </c>
      <c r="H1652" s="1775">
        <f t="shared" si="229"/>
        <v>2.54</v>
      </c>
      <c r="I1652" s="1776">
        <f t="shared" si="230"/>
        <v>7.0000000000000007E-2</v>
      </c>
      <c r="J1652" s="1768"/>
    </row>
    <row r="1653" spans="1:10" ht="24">
      <c r="A1653" s="1770" t="s">
        <v>2407</v>
      </c>
      <c r="B1653" s="1771" t="s">
        <v>7</v>
      </c>
      <c r="C1653" s="1771">
        <v>88248</v>
      </c>
      <c r="D1653" s="1772" t="s">
        <v>101</v>
      </c>
      <c r="E1653" s="1773" t="s">
        <v>387</v>
      </c>
      <c r="F1653" s="1780">
        <v>0.13589999999999999</v>
      </c>
      <c r="G1653" s="1774">
        <v>20.16</v>
      </c>
      <c r="H1653" s="1775">
        <f t="shared" si="229"/>
        <v>20.16</v>
      </c>
      <c r="I1653" s="1776">
        <f t="shared" si="230"/>
        <v>2.73</v>
      </c>
      <c r="J1653" s="1768"/>
    </row>
    <row r="1654" spans="1:10" ht="24">
      <c r="A1654" s="1770" t="s">
        <v>2407</v>
      </c>
      <c r="B1654" s="1771" t="s">
        <v>7</v>
      </c>
      <c r="C1654" s="1771">
        <v>88267</v>
      </c>
      <c r="D1654" s="1772" t="s">
        <v>102</v>
      </c>
      <c r="E1654" s="1773" t="s">
        <v>387</v>
      </c>
      <c r="F1654" s="1780">
        <v>0.13589999999999999</v>
      </c>
      <c r="G1654" s="1774">
        <v>24.64</v>
      </c>
      <c r="H1654" s="1775">
        <f t="shared" si="229"/>
        <v>24.64</v>
      </c>
      <c r="I1654" s="1776">
        <f t="shared" si="230"/>
        <v>3.34</v>
      </c>
      <c r="J1654" s="1768"/>
    </row>
    <row r="1655" spans="1:10">
      <c r="A1655" s="1917" t="s">
        <v>2408</v>
      </c>
      <c r="B1655" s="1918"/>
      <c r="C1655" s="1918"/>
      <c r="D1655" s="1918"/>
      <c r="E1655" s="1918"/>
      <c r="F1655" s="1918"/>
      <c r="G1655" s="1918"/>
      <c r="H1655" s="1919"/>
      <c r="I1655" s="1778">
        <f>SUM(I1649:I1654)</f>
        <v>8.379999999999999</v>
      </c>
      <c r="J1655" s="1768"/>
    </row>
    <row r="1656" spans="1:10">
      <c r="A1656" s="1920"/>
      <c r="B1656" s="1921"/>
      <c r="C1656" s="1921"/>
      <c r="D1656" s="1921"/>
      <c r="E1656" s="1921"/>
      <c r="F1656" s="1921"/>
      <c r="G1656" s="1921"/>
      <c r="H1656" s="1921"/>
      <c r="I1656" s="1922"/>
      <c r="J1656" s="1768"/>
    </row>
    <row r="1657" spans="1:10" ht="25.5" customHeight="1">
      <c r="A1657" s="1757" t="str">
        <f>'PLANILHA SEM DESON'!B261</f>
        <v>COMP HIDR 01</v>
      </c>
      <c r="B1657" s="1923" t="str">
        <f>VLOOKUP(A1657,'PLANILHA SEM DESON'!$B$17:$D$1699,2,FALSE)</f>
        <v xml:space="preserve">JOELHO 90 GRAUS, PVC, SOLDÁVEL - ÁGUA FRIA, DN 50MM,FORNECIMENTO E INSTALAÇÃO. </v>
      </c>
      <c r="C1657" s="1924"/>
      <c r="D1657" s="1924"/>
      <c r="E1657" s="1924"/>
      <c r="F1657" s="1924"/>
      <c r="G1657" s="1924"/>
      <c r="H1657" s="1925"/>
      <c r="I1657" s="1758" t="str">
        <f>VLOOKUP(A1657,'PLANILHA SEM DESON'!$B$17:$D$1699,3,FALSE)</f>
        <v xml:space="preserve">un </v>
      </c>
      <c r="J1657" s="1759">
        <f>I1665</f>
        <v>15.110000000000001</v>
      </c>
    </row>
    <row r="1658" spans="1:10" ht="24">
      <c r="A1658" s="1761" t="s">
        <v>2401</v>
      </c>
      <c r="B1658" s="1762" t="s">
        <v>2402</v>
      </c>
      <c r="C1658" s="1763" t="s">
        <v>2399</v>
      </c>
      <c r="D1658" s="1764" t="s">
        <v>284</v>
      </c>
      <c r="E1658" s="1763" t="s">
        <v>193</v>
      </c>
      <c r="F1658" s="1765" t="s">
        <v>2403</v>
      </c>
      <c r="G1658" s="1763" t="s">
        <v>2404</v>
      </c>
      <c r="H1658" s="1766" t="s">
        <v>2405</v>
      </c>
      <c r="I1658" s="1767" t="s">
        <v>2406</v>
      </c>
      <c r="J1658" s="1768"/>
    </row>
    <row r="1659" spans="1:10" ht="24">
      <c r="A1659" s="1770"/>
      <c r="B1659" s="1771"/>
      <c r="C1659" s="1771" t="s">
        <v>430</v>
      </c>
      <c r="D1659" s="1772" t="s">
        <v>101</v>
      </c>
      <c r="E1659" s="1773" t="s">
        <v>57</v>
      </c>
      <c r="F1659" s="1790">
        <v>0.108</v>
      </c>
      <c r="G1659" s="1781">
        <v>20.16</v>
      </c>
      <c r="H1659" s="1775">
        <f t="shared" ref="H1659:H1664" si="231">IF(E1659="H",G1659,TRUNC(G1659*(1-$K$7),2))</f>
        <v>20.16</v>
      </c>
      <c r="I1659" s="1776">
        <f t="shared" ref="I1659:I1664" si="232">TRUNC(H1659*F1659,2)</f>
        <v>2.17</v>
      </c>
      <c r="J1659" s="1768"/>
    </row>
    <row r="1660" spans="1:10" ht="24">
      <c r="A1660" s="1770"/>
      <c r="B1660" s="1771"/>
      <c r="C1660" s="1771" t="s">
        <v>431</v>
      </c>
      <c r="D1660" s="1772" t="s">
        <v>102</v>
      </c>
      <c r="E1660" s="1773" t="s">
        <v>57</v>
      </c>
      <c r="F1660" s="1790">
        <v>0.108</v>
      </c>
      <c r="G1660" s="1781">
        <v>24.64</v>
      </c>
      <c r="H1660" s="1775">
        <f t="shared" si="231"/>
        <v>24.64</v>
      </c>
      <c r="I1660" s="1776">
        <f t="shared" si="232"/>
        <v>2.66</v>
      </c>
      <c r="J1660" s="1768"/>
    </row>
    <row r="1661" spans="1:10">
      <c r="A1661" s="1770"/>
      <c r="B1661" s="1771"/>
      <c r="C1661" s="1771" t="s">
        <v>432</v>
      </c>
      <c r="D1661" s="1772" t="s">
        <v>125</v>
      </c>
      <c r="E1661" s="1773" t="s">
        <v>55</v>
      </c>
      <c r="F1661" s="1791">
        <v>1.7999999999999999E-2</v>
      </c>
      <c r="G1661" s="1779">
        <v>76.86</v>
      </c>
      <c r="H1661" s="1775">
        <f t="shared" si="231"/>
        <v>76.39</v>
      </c>
      <c r="I1661" s="1776">
        <f t="shared" si="232"/>
        <v>1.37</v>
      </c>
      <c r="J1661" s="1768"/>
    </row>
    <row r="1662" spans="1:10" ht="24">
      <c r="A1662" s="1770"/>
      <c r="B1662" s="1771"/>
      <c r="C1662" s="1771" t="s">
        <v>433</v>
      </c>
      <c r="D1662" s="1772" t="s">
        <v>434</v>
      </c>
      <c r="E1662" s="1773" t="s">
        <v>55</v>
      </c>
      <c r="F1662" s="1791">
        <v>1</v>
      </c>
      <c r="G1662" s="1779">
        <v>7</v>
      </c>
      <c r="H1662" s="1775">
        <f t="shared" si="231"/>
        <v>6.95</v>
      </c>
      <c r="I1662" s="1776">
        <f t="shared" si="232"/>
        <v>6.95</v>
      </c>
      <c r="J1662" s="1768"/>
    </row>
    <row r="1663" spans="1:10" ht="24">
      <c r="A1663" s="1770"/>
      <c r="B1663" s="1771"/>
      <c r="C1663" s="1771" t="s">
        <v>435</v>
      </c>
      <c r="D1663" s="1772" t="s">
        <v>126</v>
      </c>
      <c r="E1663" s="1773" t="s">
        <v>55</v>
      </c>
      <c r="F1663" s="1790">
        <v>2.1999999999999999E-2</v>
      </c>
      <c r="G1663" s="1779">
        <v>87.08</v>
      </c>
      <c r="H1663" s="1775">
        <f t="shared" si="231"/>
        <v>86.55</v>
      </c>
      <c r="I1663" s="1776">
        <f t="shared" si="232"/>
        <v>1.9</v>
      </c>
      <c r="J1663" s="1768"/>
    </row>
    <row r="1664" spans="1:10">
      <c r="A1664" s="1770"/>
      <c r="B1664" s="1771"/>
      <c r="C1664" s="1771" t="s">
        <v>436</v>
      </c>
      <c r="D1664" s="1772" t="s">
        <v>162</v>
      </c>
      <c r="E1664" s="1773" t="s">
        <v>55</v>
      </c>
      <c r="F1664" s="1790">
        <v>2.4E-2</v>
      </c>
      <c r="G1664" s="1779">
        <v>2.56</v>
      </c>
      <c r="H1664" s="1775">
        <f t="shared" si="231"/>
        <v>2.54</v>
      </c>
      <c r="I1664" s="1776">
        <f t="shared" si="232"/>
        <v>0.06</v>
      </c>
      <c r="J1664" s="1768"/>
    </row>
    <row r="1665" spans="1:10">
      <c r="A1665" s="1917" t="s">
        <v>2408</v>
      </c>
      <c r="B1665" s="1918"/>
      <c r="C1665" s="1918"/>
      <c r="D1665" s="1918"/>
      <c r="E1665" s="1918"/>
      <c r="F1665" s="1918"/>
      <c r="G1665" s="1918"/>
      <c r="H1665" s="1919"/>
      <c r="I1665" s="1778">
        <f>SUM(I1659:I1664)</f>
        <v>15.110000000000001</v>
      </c>
      <c r="J1665" s="1768"/>
    </row>
    <row r="1666" spans="1:10">
      <c r="A1666" s="1920"/>
      <c r="B1666" s="1921"/>
      <c r="C1666" s="1921"/>
      <c r="D1666" s="1921"/>
      <c r="E1666" s="1921"/>
      <c r="F1666" s="1921"/>
      <c r="G1666" s="1921"/>
      <c r="H1666" s="1921"/>
      <c r="I1666" s="1922"/>
      <c r="J1666" s="1768"/>
    </row>
    <row r="1667" spans="1:10" ht="26.25" customHeight="1">
      <c r="A1667" s="1757" t="str">
        <f>'PLANILHA SEM DESON'!B262</f>
        <v>COMP HIDR 02</v>
      </c>
      <c r="B1667" s="1923" t="str">
        <f>VLOOKUP(A1667,'PLANILHA SEM DESON'!$B$17:$D$1699,2,FALSE)</f>
        <v>JOELHO DE REDUCAO, PVC SOLDAVEL, 90 GRAUS, 32 MM X 25 MM, PARA AGUA FRIA PREDIAL</v>
      </c>
      <c r="C1667" s="1924"/>
      <c r="D1667" s="1924"/>
      <c r="E1667" s="1924"/>
      <c r="F1667" s="1924"/>
      <c r="G1667" s="1924"/>
      <c r="H1667" s="1925"/>
      <c r="I1667" s="1758" t="str">
        <f>VLOOKUP(A1667,'PLANILHA SEM DESON'!$B$17:$D$1699,3,FALSE)</f>
        <v xml:space="preserve">un </v>
      </c>
      <c r="J1667" s="1759">
        <f>I1675</f>
        <v>15.34</v>
      </c>
    </row>
    <row r="1668" spans="1:10" ht="24">
      <c r="A1668" s="1761" t="s">
        <v>2401</v>
      </c>
      <c r="B1668" s="1762" t="s">
        <v>2402</v>
      </c>
      <c r="C1668" s="1763" t="s">
        <v>2399</v>
      </c>
      <c r="D1668" s="1764" t="s">
        <v>284</v>
      </c>
      <c r="E1668" s="1763" t="s">
        <v>193</v>
      </c>
      <c r="F1668" s="1765" t="s">
        <v>2403</v>
      </c>
      <c r="G1668" s="1763" t="s">
        <v>2404</v>
      </c>
      <c r="H1668" s="1766" t="s">
        <v>2405</v>
      </c>
      <c r="I1668" s="1767" t="s">
        <v>2406</v>
      </c>
      <c r="J1668" s="1768"/>
    </row>
    <row r="1669" spans="1:10" ht="24">
      <c r="A1669" s="1770"/>
      <c r="B1669" s="1771"/>
      <c r="C1669" s="1771" t="s">
        <v>430</v>
      </c>
      <c r="D1669" s="1772" t="s">
        <v>101</v>
      </c>
      <c r="E1669" s="1773" t="s">
        <v>57</v>
      </c>
      <c r="F1669" s="1790">
        <v>0.108</v>
      </c>
      <c r="G1669" s="1781">
        <v>20.16</v>
      </c>
      <c r="H1669" s="1775">
        <f t="shared" ref="H1669:H1674" si="233">IF(E1669="H",G1669,TRUNC(G1669*(1-$K$7),2))</f>
        <v>20.16</v>
      </c>
      <c r="I1669" s="1776">
        <f t="shared" ref="I1669:I1674" si="234">TRUNC(H1669*F1669,2)</f>
        <v>2.17</v>
      </c>
      <c r="J1669" s="1768"/>
    </row>
    <row r="1670" spans="1:10" ht="24">
      <c r="A1670" s="1770"/>
      <c r="B1670" s="1771"/>
      <c r="C1670" s="1771" t="s">
        <v>431</v>
      </c>
      <c r="D1670" s="1772" t="s">
        <v>102</v>
      </c>
      <c r="E1670" s="1773" t="s">
        <v>57</v>
      </c>
      <c r="F1670" s="1790">
        <v>0.108</v>
      </c>
      <c r="G1670" s="1781">
        <v>24.64</v>
      </c>
      <c r="H1670" s="1775">
        <f t="shared" si="233"/>
        <v>24.64</v>
      </c>
      <c r="I1670" s="1776">
        <f t="shared" si="234"/>
        <v>2.66</v>
      </c>
      <c r="J1670" s="1768"/>
    </row>
    <row r="1671" spans="1:10">
      <c r="A1671" s="1770"/>
      <c r="B1671" s="1771"/>
      <c r="C1671" s="1771" t="s">
        <v>432</v>
      </c>
      <c r="D1671" s="1772" t="s">
        <v>125</v>
      </c>
      <c r="E1671" s="1773" t="s">
        <v>55</v>
      </c>
      <c r="F1671" s="1791">
        <v>1.7999999999999999E-2</v>
      </c>
      <c r="G1671" s="1779">
        <v>76.86</v>
      </c>
      <c r="H1671" s="1775">
        <f t="shared" si="233"/>
        <v>76.39</v>
      </c>
      <c r="I1671" s="1776">
        <f t="shared" si="234"/>
        <v>1.37</v>
      </c>
      <c r="J1671" s="1768"/>
    </row>
    <row r="1672" spans="1:10" ht="24">
      <c r="A1672" s="1770"/>
      <c r="B1672" s="1771"/>
      <c r="C1672" s="1771">
        <v>3538</v>
      </c>
      <c r="D1672" s="1772" t="s">
        <v>1752</v>
      </c>
      <c r="E1672" s="1773" t="s">
        <v>55</v>
      </c>
      <c r="F1672" s="1791">
        <v>1</v>
      </c>
      <c r="G1672" s="1779">
        <v>7.26</v>
      </c>
      <c r="H1672" s="1775">
        <f t="shared" si="233"/>
        <v>7.21</v>
      </c>
      <c r="I1672" s="1776">
        <f t="shared" si="234"/>
        <v>7.21</v>
      </c>
      <c r="J1672" s="1768"/>
    </row>
    <row r="1673" spans="1:10" ht="24">
      <c r="A1673" s="1770"/>
      <c r="B1673" s="1771"/>
      <c r="C1673" s="1771" t="s">
        <v>435</v>
      </c>
      <c r="D1673" s="1772" t="s">
        <v>126</v>
      </c>
      <c r="E1673" s="1773" t="s">
        <v>55</v>
      </c>
      <c r="F1673" s="1790">
        <v>2.1999999999999999E-2</v>
      </c>
      <c r="G1673" s="1779">
        <v>87.08</v>
      </c>
      <c r="H1673" s="1775">
        <f t="shared" si="233"/>
        <v>86.55</v>
      </c>
      <c r="I1673" s="1776">
        <f t="shared" si="234"/>
        <v>1.9</v>
      </c>
      <c r="J1673" s="1768"/>
    </row>
    <row r="1674" spans="1:10" ht="24">
      <c r="A1674" s="1770"/>
      <c r="B1674" s="1771"/>
      <c r="C1674" s="1771">
        <v>3767</v>
      </c>
      <c r="D1674" s="1772" t="s">
        <v>167</v>
      </c>
      <c r="E1674" s="1773" t="s">
        <v>55</v>
      </c>
      <c r="F1674" s="1790">
        <v>2.4E-2</v>
      </c>
      <c r="G1674" s="1779">
        <v>1.35</v>
      </c>
      <c r="H1674" s="1775">
        <f t="shared" si="233"/>
        <v>1.34</v>
      </c>
      <c r="I1674" s="1776">
        <f t="shared" si="234"/>
        <v>0.03</v>
      </c>
      <c r="J1674" s="1768"/>
    </row>
    <row r="1675" spans="1:10">
      <c r="A1675" s="1917" t="s">
        <v>2408</v>
      </c>
      <c r="B1675" s="1918"/>
      <c r="C1675" s="1918"/>
      <c r="D1675" s="1918"/>
      <c r="E1675" s="1918"/>
      <c r="F1675" s="1918"/>
      <c r="G1675" s="1918"/>
      <c r="H1675" s="1919"/>
      <c r="I1675" s="1778">
        <f>SUM(I1669:I1674)</f>
        <v>15.34</v>
      </c>
      <c r="J1675" s="1768"/>
    </row>
    <row r="1676" spans="1:10">
      <c r="A1676" s="1920"/>
      <c r="B1676" s="1921"/>
      <c r="C1676" s="1921"/>
      <c r="D1676" s="1921"/>
      <c r="E1676" s="1921"/>
      <c r="F1676" s="1921"/>
      <c r="G1676" s="1921"/>
      <c r="H1676" s="1921"/>
      <c r="I1676" s="1922"/>
      <c r="J1676" s="1768"/>
    </row>
    <row r="1677" spans="1:10" ht="24" customHeight="1">
      <c r="A1677" s="1757" t="str">
        <f>'PLANILHA SEM DESON'!B263</f>
        <v>COMP HIDR 03</v>
      </c>
      <c r="B1677" s="1923" t="str">
        <f>VLOOKUP(A1677,'PLANILHA SEM DESON'!$B$17:$D$1699,2,FALSE)</f>
        <v>JOELHO DE REDUÇÃO 90 GRAUS SOLDÁVEL COM BUCHA DE LATÃO 3/4" - 1/2"</v>
      </c>
      <c r="C1677" s="1924"/>
      <c r="D1677" s="1924"/>
      <c r="E1677" s="1924"/>
      <c r="F1677" s="1924"/>
      <c r="G1677" s="1924"/>
      <c r="H1677" s="1925"/>
      <c r="I1677" s="1758" t="str">
        <f>VLOOKUP(A1677,'PLANILHA SEM DESON'!$B$17:$D$1699,3,FALSE)</f>
        <v xml:space="preserve">un </v>
      </c>
      <c r="J1677" s="1759">
        <f>I1685</f>
        <v>127.05000000000001</v>
      </c>
    </row>
    <row r="1678" spans="1:10" ht="24">
      <c r="A1678" s="1761" t="s">
        <v>2401</v>
      </c>
      <c r="B1678" s="1762" t="s">
        <v>2402</v>
      </c>
      <c r="C1678" s="1763" t="s">
        <v>2399</v>
      </c>
      <c r="D1678" s="1764" t="s">
        <v>284</v>
      </c>
      <c r="E1678" s="1763" t="s">
        <v>193</v>
      </c>
      <c r="F1678" s="1765" t="s">
        <v>2403</v>
      </c>
      <c r="G1678" s="1763" t="s">
        <v>2404</v>
      </c>
      <c r="H1678" s="1766" t="s">
        <v>2405</v>
      </c>
      <c r="I1678" s="1767" t="s">
        <v>2406</v>
      </c>
      <c r="J1678" s="1768"/>
    </row>
    <row r="1679" spans="1:10" ht="24">
      <c r="A1679" s="1770"/>
      <c r="B1679" s="1771"/>
      <c r="C1679" s="1771" t="s">
        <v>430</v>
      </c>
      <c r="D1679" s="1772" t="s">
        <v>101</v>
      </c>
      <c r="E1679" s="1773" t="s">
        <v>57</v>
      </c>
      <c r="F1679" s="1790">
        <v>0.108</v>
      </c>
      <c r="G1679" s="1781">
        <v>20.16</v>
      </c>
      <c r="H1679" s="1775">
        <f t="shared" ref="H1679:H1684" si="235">IF(E1679="H",G1679,TRUNC(G1679*(1-$K$7),2))</f>
        <v>20.16</v>
      </c>
      <c r="I1679" s="1776">
        <f t="shared" ref="I1679:I1684" si="236">TRUNC(H1679*F1679,2)</f>
        <v>2.17</v>
      </c>
      <c r="J1679" s="1768"/>
    </row>
    <row r="1680" spans="1:10" ht="24">
      <c r="A1680" s="1770"/>
      <c r="B1680" s="1771"/>
      <c r="C1680" s="1771" t="s">
        <v>431</v>
      </c>
      <c r="D1680" s="1772" t="s">
        <v>102</v>
      </c>
      <c r="E1680" s="1773" t="s">
        <v>57</v>
      </c>
      <c r="F1680" s="1790">
        <v>0.108</v>
      </c>
      <c r="G1680" s="1781">
        <v>24.64</v>
      </c>
      <c r="H1680" s="1775">
        <f t="shared" si="235"/>
        <v>24.64</v>
      </c>
      <c r="I1680" s="1776">
        <f t="shared" si="236"/>
        <v>2.66</v>
      </c>
      <c r="J1680" s="1768"/>
    </row>
    <row r="1681" spans="1:10">
      <c r="A1681" s="1770"/>
      <c r="B1681" s="1771"/>
      <c r="C1681" s="1771" t="s">
        <v>432</v>
      </c>
      <c r="D1681" s="1772" t="s">
        <v>125</v>
      </c>
      <c r="E1681" s="1773" t="s">
        <v>55</v>
      </c>
      <c r="F1681" s="1791">
        <v>1.7999999999999999E-2</v>
      </c>
      <c r="G1681" s="1779">
        <v>76.86</v>
      </c>
      <c r="H1681" s="1775">
        <f t="shared" si="235"/>
        <v>76.39</v>
      </c>
      <c r="I1681" s="1776">
        <f t="shared" si="236"/>
        <v>1.37</v>
      </c>
      <c r="J1681" s="1768"/>
    </row>
    <row r="1682" spans="1:10" ht="24">
      <c r="A1682" s="1770"/>
      <c r="B1682" s="1771"/>
      <c r="C1682" s="1771">
        <v>3511</v>
      </c>
      <c r="D1682" s="1772" t="s">
        <v>438</v>
      </c>
      <c r="E1682" s="1773" t="s">
        <v>55</v>
      </c>
      <c r="F1682" s="1791">
        <v>1</v>
      </c>
      <c r="G1682" s="1779">
        <v>119.64</v>
      </c>
      <c r="H1682" s="1775">
        <f t="shared" si="235"/>
        <v>118.92</v>
      </c>
      <c r="I1682" s="1776">
        <f t="shared" si="236"/>
        <v>118.92</v>
      </c>
      <c r="J1682" s="1768"/>
    </row>
    <row r="1683" spans="1:10" ht="24">
      <c r="A1683" s="1770"/>
      <c r="B1683" s="1771"/>
      <c r="C1683" s="1771" t="s">
        <v>435</v>
      </c>
      <c r="D1683" s="1772" t="s">
        <v>126</v>
      </c>
      <c r="E1683" s="1773" t="s">
        <v>55</v>
      </c>
      <c r="F1683" s="1790">
        <v>2.1999999999999999E-2</v>
      </c>
      <c r="G1683" s="1779">
        <v>87.08</v>
      </c>
      <c r="H1683" s="1775">
        <f t="shared" si="235"/>
        <v>86.55</v>
      </c>
      <c r="I1683" s="1776">
        <f t="shared" si="236"/>
        <v>1.9</v>
      </c>
      <c r="J1683" s="1768"/>
    </row>
    <row r="1684" spans="1:10" ht="24">
      <c r="A1684" s="1770"/>
      <c r="B1684" s="1771"/>
      <c r="C1684" s="1771">
        <v>3767</v>
      </c>
      <c r="D1684" s="1772" t="s">
        <v>167</v>
      </c>
      <c r="E1684" s="1773" t="s">
        <v>55</v>
      </c>
      <c r="F1684" s="1790">
        <v>2.4E-2</v>
      </c>
      <c r="G1684" s="1779">
        <v>1.35</v>
      </c>
      <c r="H1684" s="1775">
        <f t="shared" si="235"/>
        <v>1.34</v>
      </c>
      <c r="I1684" s="1776">
        <f t="shared" si="236"/>
        <v>0.03</v>
      </c>
      <c r="J1684" s="1768"/>
    </row>
    <row r="1685" spans="1:10">
      <c r="A1685" s="1917" t="s">
        <v>2408</v>
      </c>
      <c r="B1685" s="1918"/>
      <c r="C1685" s="1918"/>
      <c r="D1685" s="1918"/>
      <c r="E1685" s="1918"/>
      <c r="F1685" s="1918"/>
      <c r="G1685" s="1918"/>
      <c r="H1685" s="1919"/>
      <c r="I1685" s="1778">
        <f>SUM(I1679:I1684)</f>
        <v>127.05000000000001</v>
      </c>
      <c r="J1685" s="1768"/>
    </row>
    <row r="1686" spans="1:10">
      <c r="A1686" s="1920"/>
      <c r="B1686" s="1921"/>
      <c r="C1686" s="1921"/>
      <c r="D1686" s="1921"/>
      <c r="E1686" s="1921"/>
      <c r="F1686" s="1921"/>
      <c r="G1686" s="1921"/>
      <c r="H1686" s="1921"/>
      <c r="I1686" s="1922"/>
      <c r="J1686" s="1768"/>
    </row>
    <row r="1687" spans="1:10" ht="24.75" customHeight="1">
      <c r="A1687" s="1757" t="str">
        <f>'PLANILHA SEM DESON'!B264</f>
        <v>COMP HIDR 04</v>
      </c>
      <c r="B1687" s="1923" t="str">
        <f>VLOOKUP(A1687,'PLANILHA SEM DESON'!$B$17:$D$1699,2,FALSE)</f>
        <v>COLAR TOMADA PVC,C/ TRAVAS, SAÍDA C/ ROSCAS, DE 75MMX3/4"  PARA LIGAÇÃO PREDIAL DE  ÁGUA.</v>
      </c>
      <c r="C1687" s="1924"/>
      <c r="D1687" s="1924"/>
      <c r="E1687" s="1924"/>
      <c r="F1687" s="1924"/>
      <c r="G1687" s="1924"/>
      <c r="H1687" s="1925"/>
      <c r="I1687" s="1758" t="str">
        <f>VLOOKUP(A1687,'PLANILHA SEM DESON'!$B$17:$D$1699,3,FALSE)</f>
        <v xml:space="preserve">un </v>
      </c>
      <c r="J1687" s="1759">
        <f>I1694</f>
        <v>51.11999999999999</v>
      </c>
    </row>
    <row r="1688" spans="1:10" ht="24">
      <c r="A1688" s="1761" t="s">
        <v>2401</v>
      </c>
      <c r="B1688" s="1762" t="s">
        <v>2402</v>
      </c>
      <c r="C1688" s="1763" t="s">
        <v>2399</v>
      </c>
      <c r="D1688" s="1764" t="s">
        <v>284</v>
      </c>
      <c r="E1688" s="1763" t="s">
        <v>193</v>
      </c>
      <c r="F1688" s="1765" t="s">
        <v>2403</v>
      </c>
      <c r="G1688" s="1763" t="s">
        <v>2404</v>
      </c>
      <c r="H1688" s="1766" t="s">
        <v>2405</v>
      </c>
      <c r="I1688" s="1767" t="s">
        <v>2406</v>
      </c>
      <c r="J1688" s="1768"/>
    </row>
    <row r="1689" spans="1:10" ht="24">
      <c r="A1689" s="1770"/>
      <c r="B1689" s="1771"/>
      <c r="C1689" s="1771" t="s">
        <v>430</v>
      </c>
      <c r="D1689" s="1772" t="s">
        <v>101</v>
      </c>
      <c r="E1689" s="1773" t="s">
        <v>57</v>
      </c>
      <c r="F1689" s="1790">
        <v>0.6</v>
      </c>
      <c r="G1689" s="1781">
        <v>20.16</v>
      </c>
      <c r="H1689" s="1775">
        <f>IF(E1689="H",G1689,TRUNC(G1689*(1-$K$7),2))</f>
        <v>20.16</v>
      </c>
      <c r="I1689" s="1776">
        <f t="shared" ref="I1689:I1693" si="237">TRUNC(H1689*F1689,2)</f>
        <v>12.09</v>
      </c>
      <c r="J1689" s="1768"/>
    </row>
    <row r="1690" spans="1:10" ht="24">
      <c r="A1690" s="1770"/>
      <c r="B1690" s="1771"/>
      <c r="C1690" s="1771" t="s">
        <v>431</v>
      </c>
      <c r="D1690" s="1772" t="s">
        <v>102</v>
      </c>
      <c r="E1690" s="1773" t="s">
        <v>57</v>
      </c>
      <c r="F1690" s="1790">
        <v>0.6</v>
      </c>
      <c r="G1690" s="1781">
        <v>24.64</v>
      </c>
      <c r="H1690" s="1775">
        <f>IF(E1690="H",G1690,TRUNC(G1690*(1-$K$7),2))</f>
        <v>24.64</v>
      </c>
      <c r="I1690" s="1776">
        <f t="shared" si="237"/>
        <v>14.78</v>
      </c>
      <c r="J1690" s="1768"/>
    </row>
    <row r="1691" spans="1:10" ht="36">
      <c r="A1691" s="1770"/>
      <c r="B1691" s="1771"/>
      <c r="C1691" s="1771">
        <v>1413</v>
      </c>
      <c r="D1691" s="1772" t="s">
        <v>1750</v>
      </c>
      <c r="E1691" s="1773" t="s">
        <v>55</v>
      </c>
      <c r="F1691" s="1791">
        <v>1</v>
      </c>
      <c r="G1691" s="1779">
        <v>16.72</v>
      </c>
      <c r="H1691" s="1775">
        <f>IF(E1691="H",G1691,TRUNC(G1691*(1-$K$7),2))</f>
        <v>16.61</v>
      </c>
      <c r="I1691" s="1776">
        <f t="shared" si="237"/>
        <v>16.61</v>
      </c>
      <c r="J1691" s="1768"/>
    </row>
    <row r="1692" spans="1:10">
      <c r="A1692" s="1770"/>
      <c r="B1692" s="1771"/>
      <c r="C1692" s="1771">
        <v>3148</v>
      </c>
      <c r="D1692" s="1772" t="s">
        <v>446</v>
      </c>
      <c r="E1692" s="1773" t="s">
        <v>55</v>
      </c>
      <c r="F1692" s="1791">
        <v>8.9999999999999993E-3</v>
      </c>
      <c r="G1692" s="1779">
        <v>17.989999999999998</v>
      </c>
      <c r="H1692" s="1775">
        <f>IF(E1692="H",G1692,TRUNC(G1692*(1-$K$7),2))</f>
        <v>17.88</v>
      </c>
      <c r="I1692" s="1776">
        <f t="shared" si="237"/>
        <v>0.16</v>
      </c>
      <c r="J1692" s="1768"/>
    </row>
    <row r="1693" spans="1:10" ht="24">
      <c r="A1693" s="1770"/>
      <c r="B1693" s="1771"/>
      <c r="C1693" s="1771">
        <v>3907</v>
      </c>
      <c r="D1693" s="1772" t="s">
        <v>1751</v>
      </c>
      <c r="E1693" s="1773" t="s">
        <v>55</v>
      </c>
      <c r="F1693" s="1790">
        <v>1</v>
      </c>
      <c r="G1693" s="1779">
        <v>7.53</v>
      </c>
      <c r="H1693" s="1775">
        <f>IF(E1693="H",G1693,TRUNC(G1693*(1-$K$7),2))</f>
        <v>7.48</v>
      </c>
      <c r="I1693" s="1776">
        <f t="shared" si="237"/>
        <v>7.48</v>
      </c>
      <c r="J1693" s="1768"/>
    </row>
    <row r="1694" spans="1:10">
      <c r="A1694" s="1917" t="s">
        <v>2408</v>
      </c>
      <c r="B1694" s="1918"/>
      <c r="C1694" s="1918"/>
      <c r="D1694" s="1918"/>
      <c r="E1694" s="1918"/>
      <c r="F1694" s="1918"/>
      <c r="G1694" s="1918"/>
      <c r="H1694" s="1919"/>
      <c r="I1694" s="1778">
        <f>SUM(I1689:I1693)</f>
        <v>51.11999999999999</v>
      </c>
      <c r="J1694" s="1768"/>
    </row>
    <row r="1695" spans="1:10">
      <c r="A1695" s="1920"/>
      <c r="B1695" s="1921"/>
      <c r="C1695" s="1921"/>
      <c r="D1695" s="1921"/>
      <c r="E1695" s="1921"/>
      <c r="F1695" s="1921"/>
      <c r="G1695" s="1921"/>
      <c r="H1695" s="1921"/>
      <c r="I1695" s="1922"/>
      <c r="J1695" s="1768"/>
    </row>
    <row r="1696" spans="1:10" ht="24" customHeight="1">
      <c r="A1696" s="1757">
        <f>'PLANILHA SEM DESON'!B265</f>
        <v>89378</v>
      </c>
      <c r="B1696" s="1923" t="str">
        <f>VLOOKUP(A1696,'PLANILHA SEM DESON'!$B$17:$D$1699,2,FALSE)</f>
        <v>LUVA, PVC, SOLDÁVEL, DN 25MM, INSTALADO EM RAMAL OU SUB-RAMAL DE ÁGUA - FORNECIMENTO E INSTALAÇÃO. AF_06/2022</v>
      </c>
      <c r="C1696" s="1924"/>
      <c r="D1696" s="1924"/>
      <c r="E1696" s="1924"/>
      <c r="F1696" s="1924"/>
      <c r="G1696" s="1924"/>
      <c r="H1696" s="1925"/>
      <c r="I1696" s="1758" t="str">
        <f>VLOOKUP(A1696,'PLANILHA SEM DESON'!$B$17:$D$1699,3,FALSE)</f>
        <v xml:space="preserve">un </v>
      </c>
      <c r="J1696" s="1759">
        <f>I1704</f>
        <v>6.98</v>
      </c>
    </row>
    <row r="1697" spans="1:10" ht="24">
      <c r="A1697" s="1761" t="s">
        <v>2401</v>
      </c>
      <c r="B1697" s="1762" t="s">
        <v>2402</v>
      </c>
      <c r="C1697" s="1763" t="s">
        <v>2399</v>
      </c>
      <c r="D1697" s="1764" t="s">
        <v>284</v>
      </c>
      <c r="E1697" s="1763" t="s">
        <v>193</v>
      </c>
      <c r="F1697" s="1765" t="s">
        <v>2403</v>
      </c>
      <c r="G1697" s="1763" t="s">
        <v>2404</v>
      </c>
      <c r="H1697" s="1766" t="s">
        <v>2405</v>
      </c>
      <c r="I1697" s="1767" t="s">
        <v>2406</v>
      </c>
      <c r="J1697" s="1768"/>
    </row>
    <row r="1698" spans="1:10">
      <c r="A1698" s="1770" t="s">
        <v>2407</v>
      </c>
      <c r="B1698" s="1771" t="s">
        <v>2410</v>
      </c>
      <c r="C1698" s="1771">
        <v>122</v>
      </c>
      <c r="D1698" s="1772" t="s">
        <v>2663</v>
      </c>
      <c r="E1698" s="1773" t="s">
        <v>2432</v>
      </c>
      <c r="F1698" s="1780">
        <v>7.1000000000000004E-3</v>
      </c>
      <c r="G1698" s="1774">
        <v>76.86</v>
      </c>
      <c r="H1698" s="1775">
        <f t="shared" ref="H1698:H1703" si="238">IF(E1698="H",G1698,TRUNC(G1698*(1-$K$7),2))</f>
        <v>76.39</v>
      </c>
      <c r="I1698" s="1776">
        <f t="shared" ref="I1698:I1703" si="239">TRUNC(H1698*F1698,2)</f>
        <v>0.54</v>
      </c>
      <c r="J1698" s="1768"/>
    </row>
    <row r="1699" spans="1:10">
      <c r="A1699" s="1770" t="s">
        <v>2407</v>
      </c>
      <c r="B1699" s="1771" t="s">
        <v>2410</v>
      </c>
      <c r="C1699" s="1771">
        <v>3904</v>
      </c>
      <c r="D1699" s="1772" t="s">
        <v>2665</v>
      </c>
      <c r="E1699" s="1773" t="s">
        <v>2432</v>
      </c>
      <c r="F1699" s="1780">
        <v>1</v>
      </c>
      <c r="G1699" s="1774">
        <v>1.1499999999999999</v>
      </c>
      <c r="H1699" s="1775">
        <f t="shared" si="238"/>
        <v>1.1399999999999999</v>
      </c>
      <c r="I1699" s="1776">
        <f t="shared" si="239"/>
        <v>1.1399999999999999</v>
      </c>
      <c r="J1699" s="1768"/>
    </row>
    <row r="1700" spans="1:10" ht="24">
      <c r="A1700" s="1770" t="s">
        <v>2407</v>
      </c>
      <c r="B1700" s="1771" t="s">
        <v>2410</v>
      </c>
      <c r="C1700" s="1771">
        <v>20083</v>
      </c>
      <c r="D1700" s="1772" t="s">
        <v>2537</v>
      </c>
      <c r="E1700" s="1773" t="s">
        <v>2432</v>
      </c>
      <c r="F1700" s="1780">
        <v>8.0000000000000002E-3</v>
      </c>
      <c r="G1700" s="1774">
        <v>87.08</v>
      </c>
      <c r="H1700" s="1775">
        <f t="shared" si="238"/>
        <v>86.55</v>
      </c>
      <c r="I1700" s="1776">
        <f t="shared" si="239"/>
        <v>0.69</v>
      </c>
      <c r="J1700" s="1768"/>
    </row>
    <row r="1701" spans="1:10">
      <c r="A1701" s="1770" t="s">
        <v>2407</v>
      </c>
      <c r="B1701" s="1771" t="s">
        <v>2410</v>
      </c>
      <c r="C1701" s="1771">
        <v>38383</v>
      </c>
      <c r="D1701" s="1772" t="s">
        <v>2538</v>
      </c>
      <c r="E1701" s="1773" t="s">
        <v>2432</v>
      </c>
      <c r="F1701" s="1780">
        <v>3.3799999999999997E-2</v>
      </c>
      <c r="G1701" s="1774">
        <v>2.56</v>
      </c>
      <c r="H1701" s="1775">
        <f t="shared" si="238"/>
        <v>2.54</v>
      </c>
      <c r="I1701" s="1776">
        <f t="shared" si="239"/>
        <v>0.08</v>
      </c>
      <c r="J1701" s="1768"/>
    </row>
    <row r="1702" spans="1:10" ht="24">
      <c r="A1702" s="1770" t="s">
        <v>2407</v>
      </c>
      <c r="B1702" s="1771" t="s">
        <v>7</v>
      </c>
      <c r="C1702" s="1771">
        <v>88248</v>
      </c>
      <c r="D1702" s="1772" t="s">
        <v>101</v>
      </c>
      <c r="E1702" s="1773" t="s">
        <v>387</v>
      </c>
      <c r="F1702" s="1780">
        <v>0.1013</v>
      </c>
      <c r="G1702" s="1774">
        <v>20.16</v>
      </c>
      <c r="H1702" s="1775">
        <f t="shared" si="238"/>
        <v>20.16</v>
      </c>
      <c r="I1702" s="1776">
        <f t="shared" si="239"/>
        <v>2.04</v>
      </c>
      <c r="J1702" s="1768"/>
    </row>
    <row r="1703" spans="1:10" ht="24">
      <c r="A1703" s="1770" t="s">
        <v>2407</v>
      </c>
      <c r="B1703" s="1771" t="s">
        <v>7</v>
      </c>
      <c r="C1703" s="1771">
        <v>88267</v>
      </c>
      <c r="D1703" s="1772" t="s">
        <v>102</v>
      </c>
      <c r="E1703" s="1773" t="s">
        <v>387</v>
      </c>
      <c r="F1703" s="1780">
        <v>0.1013</v>
      </c>
      <c r="G1703" s="1774">
        <v>24.64</v>
      </c>
      <c r="H1703" s="1775">
        <f t="shared" si="238"/>
        <v>24.64</v>
      </c>
      <c r="I1703" s="1776">
        <f t="shared" si="239"/>
        <v>2.4900000000000002</v>
      </c>
      <c r="J1703" s="1768"/>
    </row>
    <row r="1704" spans="1:10">
      <c r="A1704" s="1917" t="s">
        <v>2408</v>
      </c>
      <c r="B1704" s="1918"/>
      <c r="C1704" s="1918"/>
      <c r="D1704" s="1918"/>
      <c r="E1704" s="1918"/>
      <c r="F1704" s="1918"/>
      <c r="G1704" s="1918"/>
      <c r="H1704" s="1919"/>
      <c r="I1704" s="1778">
        <f>SUM(I1698:I1703)</f>
        <v>6.98</v>
      </c>
      <c r="J1704" s="1768"/>
    </row>
    <row r="1705" spans="1:10">
      <c r="A1705" s="1920"/>
      <c r="B1705" s="1921"/>
      <c r="C1705" s="1921"/>
      <c r="D1705" s="1921"/>
      <c r="E1705" s="1921"/>
      <c r="F1705" s="1921"/>
      <c r="G1705" s="1921"/>
      <c r="H1705" s="1921"/>
      <c r="I1705" s="1922"/>
      <c r="J1705" s="1768"/>
    </row>
    <row r="1706" spans="1:10" ht="29.25" customHeight="1">
      <c r="A1706" s="1757">
        <f>'PLANILHA SEM DESON'!B266</f>
        <v>89575</v>
      </c>
      <c r="B1706" s="1923" t="str">
        <f>VLOOKUP(A1706,'PLANILHA SEM DESON'!$B$17:$D$1699,2,FALSE)</f>
        <v>LUVA, PVC, SOLDÁVEL, DN 50MM, INSTALADO EM PRUMADA DE ÁGUA - FORNECIMENTO E INSTALAÇÃO. AF_06/2022</v>
      </c>
      <c r="C1706" s="1924"/>
      <c r="D1706" s="1924"/>
      <c r="E1706" s="1924"/>
      <c r="F1706" s="1924"/>
      <c r="G1706" s="1924"/>
      <c r="H1706" s="1925"/>
      <c r="I1706" s="1758" t="str">
        <f>VLOOKUP(A1706,'PLANILHA SEM DESON'!$B$17:$D$1699,3,FALSE)</f>
        <v xml:space="preserve">un </v>
      </c>
      <c r="J1706" s="1759">
        <f>I1714</f>
        <v>13.049999999999999</v>
      </c>
    </row>
    <row r="1707" spans="1:10" ht="24">
      <c r="A1707" s="1761" t="s">
        <v>2401</v>
      </c>
      <c r="B1707" s="1762" t="s">
        <v>2402</v>
      </c>
      <c r="C1707" s="1763" t="s">
        <v>2399</v>
      </c>
      <c r="D1707" s="1764" t="s">
        <v>284</v>
      </c>
      <c r="E1707" s="1763" t="s">
        <v>193</v>
      </c>
      <c r="F1707" s="1765" t="s">
        <v>2403</v>
      </c>
      <c r="G1707" s="1763" t="s">
        <v>2404</v>
      </c>
      <c r="H1707" s="1766" t="s">
        <v>2405</v>
      </c>
      <c r="I1707" s="1767" t="s">
        <v>2406</v>
      </c>
      <c r="J1707" s="1768"/>
    </row>
    <row r="1708" spans="1:10">
      <c r="A1708" s="1770" t="s">
        <v>2407</v>
      </c>
      <c r="B1708" s="1771" t="s">
        <v>2410</v>
      </c>
      <c r="C1708" s="1771">
        <v>122</v>
      </c>
      <c r="D1708" s="1772" t="s">
        <v>2663</v>
      </c>
      <c r="E1708" s="1773" t="s">
        <v>2432</v>
      </c>
      <c r="F1708" s="1780">
        <v>1.6500000000000001E-2</v>
      </c>
      <c r="G1708" s="1774">
        <v>76.86</v>
      </c>
      <c r="H1708" s="1775">
        <f t="shared" ref="H1708:H1713" si="240">IF(E1708="H",G1708,TRUNC(G1708*(1-$K$7),2))</f>
        <v>76.39</v>
      </c>
      <c r="I1708" s="1776">
        <f t="shared" ref="I1708:I1713" si="241">TRUNC(H1708*F1708,2)</f>
        <v>1.26</v>
      </c>
      <c r="J1708" s="1768"/>
    </row>
    <row r="1709" spans="1:10">
      <c r="A1709" s="1770" t="s">
        <v>2407</v>
      </c>
      <c r="B1709" s="1771" t="s">
        <v>2410</v>
      </c>
      <c r="C1709" s="1771">
        <v>3863</v>
      </c>
      <c r="D1709" s="1772" t="s">
        <v>2666</v>
      </c>
      <c r="E1709" s="1773" t="s">
        <v>2432</v>
      </c>
      <c r="F1709" s="1780">
        <v>1</v>
      </c>
      <c r="G1709" s="1774">
        <v>6.11</v>
      </c>
      <c r="H1709" s="1775">
        <f t="shared" si="240"/>
        <v>6.07</v>
      </c>
      <c r="I1709" s="1776">
        <f t="shared" si="241"/>
        <v>6.07</v>
      </c>
      <c r="J1709" s="1768"/>
    </row>
    <row r="1710" spans="1:10" ht="24">
      <c r="A1710" s="1770" t="s">
        <v>2407</v>
      </c>
      <c r="B1710" s="1771" t="s">
        <v>2410</v>
      </c>
      <c r="C1710" s="1771">
        <v>20083</v>
      </c>
      <c r="D1710" s="1772" t="s">
        <v>2537</v>
      </c>
      <c r="E1710" s="1773" t="s">
        <v>2432</v>
      </c>
      <c r="F1710" s="1780">
        <v>2.1999999999999999E-2</v>
      </c>
      <c r="G1710" s="1774">
        <v>87.08</v>
      </c>
      <c r="H1710" s="1775">
        <f t="shared" si="240"/>
        <v>86.55</v>
      </c>
      <c r="I1710" s="1776">
        <f t="shared" si="241"/>
        <v>1.9</v>
      </c>
      <c r="J1710" s="1768"/>
    </row>
    <row r="1711" spans="1:10">
      <c r="A1711" s="1770" t="s">
        <v>2407</v>
      </c>
      <c r="B1711" s="1771" t="s">
        <v>2410</v>
      </c>
      <c r="C1711" s="1771">
        <v>38383</v>
      </c>
      <c r="D1711" s="1772" t="s">
        <v>2538</v>
      </c>
      <c r="E1711" s="1773" t="s">
        <v>2432</v>
      </c>
      <c r="F1711" s="1780">
        <v>1.9E-2</v>
      </c>
      <c r="G1711" s="1774">
        <v>2.56</v>
      </c>
      <c r="H1711" s="1775">
        <f t="shared" si="240"/>
        <v>2.54</v>
      </c>
      <c r="I1711" s="1776">
        <f t="shared" si="241"/>
        <v>0.04</v>
      </c>
      <c r="J1711" s="1768"/>
    </row>
    <row r="1712" spans="1:10" ht="24">
      <c r="A1712" s="1770" t="s">
        <v>2407</v>
      </c>
      <c r="B1712" s="1771" t="s">
        <v>7</v>
      </c>
      <c r="C1712" s="1771">
        <v>88248</v>
      </c>
      <c r="D1712" s="1772" t="s">
        <v>101</v>
      </c>
      <c r="E1712" s="1773" t="s">
        <v>387</v>
      </c>
      <c r="F1712" s="1780">
        <v>8.4699999999999998E-2</v>
      </c>
      <c r="G1712" s="1774">
        <v>20.16</v>
      </c>
      <c r="H1712" s="1775">
        <f t="shared" si="240"/>
        <v>20.16</v>
      </c>
      <c r="I1712" s="1776">
        <f t="shared" si="241"/>
        <v>1.7</v>
      </c>
      <c r="J1712" s="1768"/>
    </row>
    <row r="1713" spans="1:10" ht="24">
      <c r="A1713" s="1770" t="s">
        <v>2407</v>
      </c>
      <c r="B1713" s="1771" t="s">
        <v>7</v>
      </c>
      <c r="C1713" s="1771">
        <v>88267</v>
      </c>
      <c r="D1713" s="1772" t="s">
        <v>102</v>
      </c>
      <c r="E1713" s="1773" t="s">
        <v>387</v>
      </c>
      <c r="F1713" s="1780">
        <v>8.4699999999999998E-2</v>
      </c>
      <c r="G1713" s="1774">
        <v>24.64</v>
      </c>
      <c r="H1713" s="1775">
        <f t="shared" si="240"/>
        <v>24.64</v>
      </c>
      <c r="I1713" s="1776">
        <f t="shared" si="241"/>
        <v>2.08</v>
      </c>
      <c r="J1713" s="1768"/>
    </row>
    <row r="1714" spans="1:10">
      <c r="A1714" s="1917" t="s">
        <v>2408</v>
      </c>
      <c r="B1714" s="1918"/>
      <c r="C1714" s="1918"/>
      <c r="D1714" s="1918"/>
      <c r="E1714" s="1918"/>
      <c r="F1714" s="1918"/>
      <c r="G1714" s="1918"/>
      <c r="H1714" s="1919"/>
      <c r="I1714" s="1778">
        <f>SUM(I1708:I1713)</f>
        <v>13.049999999999999</v>
      </c>
      <c r="J1714" s="1768"/>
    </row>
    <row r="1715" spans="1:10">
      <c r="A1715" s="1920"/>
      <c r="B1715" s="1921"/>
      <c r="C1715" s="1921"/>
      <c r="D1715" s="1921"/>
      <c r="E1715" s="1921"/>
      <c r="F1715" s="1921"/>
      <c r="G1715" s="1921"/>
      <c r="H1715" s="1921"/>
      <c r="I1715" s="1922"/>
      <c r="J1715" s="1768"/>
    </row>
    <row r="1716" spans="1:10" ht="24" customHeight="1">
      <c r="A1716" s="1757">
        <f>'PLANILHA SEM DESON'!B267</f>
        <v>89575</v>
      </c>
      <c r="B1716" s="1923" t="str">
        <f>VLOOKUP(A1716,'PLANILHA SEM DESON'!$B$17:$D$1699,2,FALSE)</f>
        <v>LUVA, PVC, SOLDÁVEL, DN 50MM, INSTALADO EM PRUMADA DE ÁGUA - FORNECIMENTO E INSTALAÇÃO. AF_06/2022</v>
      </c>
      <c r="C1716" s="1924"/>
      <c r="D1716" s="1924"/>
      <c r="E1716" s="1924"/>
      <c r="F1716" s="1924"/>
      <c r="G1716" s="1924"/>
      <c r="H1716" s="1925"/>
      <c r="I1716" s="1758" t="str">
        <f>VLOOKUP(A1716,'PLANILHA SEM DESON'!$B$17:$D$1699,3,FALSE)</f>
        <v xml:space="preserve">un </v>
      </c>
      <c r="J1716" s="1759">
        <f>I1722</f>
        <v>21.58</v>
      </c>
    </row>
    <row r="1717" spans="1:10" ht="24">
      <c r="A1717" s="1761" t="s">
        <v>2401</v>
      </c>
      <c r="B1717" s="1762" t="s">
        <v>2402</v>
      </c>
      <c r="C1717" s="1763" t="s">
        <v>2399</v>
      </c>
      <c r="D1717" s="1764" t="s">
        <v>284</v>
      </c>
      <c r="E1717" s="1763" t="s">
        <v>193</v>
      </c>
      <c r="F1717" s="1765" t="s">
        <v>2403</v>
      </c>
      <c r="G1717" s="1763" t="s">
        <v>2404</v>
      </c>
      <c r="H1717" s="1766" t="s">
        <v>2405</v>
      </c>
      <c r="I1717" s="1767" t="s">
        <v>2406</v>
      </c>
      <c r="J1717" s="1768"/>
    </row>
    <row r="1718" spans="1:10" ht="24">
      <c r="A1718" s="1770" t="s">
        <v>2407</v>
      </c>
      <c r="B1718" s="1771" t="s">
        <v>2410</v>
      </c>
      <c r="C1718" s="1771">
        <v>9868</v>
      </c>
      <c r="D1718" s="1772" t="s">
        <v>2667</v>
      </c>
      <c r="E1718" s="1773" t="s">
        <v>158</v>
      </c>
      <c r="F1718" s="1780">
        <v>1.0492999999999999</v>
      </c>
      <c r="G1718" s="1774">
        <v>5.82</v>
      </c>
      <c r="H1718" s="1775">
        <f>IF(E1718="H",G1718,TRUNC(G1718*(1-$K$7),2))</f>
        <v>5.78</v>
      </c>
      <c r="I1718" s="1776">
        <f t="shared" ref="I1718:I1721" si="242">TRUNC(H1718*F1718,2)</f>
        <v>6.06</v>
      </c>
      <c r="J1718" s="1768"/>
    </row>
    <row r="1719" spans="1:10">
      <c r="A1719" s="1770" t="s">
        <v>2407</v>
      </c>
      <c r="B1719" s="1771" t="s">
        <v>2410</v>
      </c>
      <c r="C1719" s="1771">
        <v>38383</v>
      </c>
      <c r="D1719" s="1772" t="s">
        <v>2538</v>
      </c>
      <c r="E1719" s="1773" t="s">
        <v>2432</v>
      </c>
      <c r="F1719" s="1780">
        <v>8.8599999999999998E-2</v>
      </c>
      <c r="G1719" s="1774">
        <v>2.56</v>
      </c>
      <c r="H1719" s="1775">
        <f>IF(E1719="H",G1719,TRUNC(G1719*(1-$K$7),2))</f>
        <v>2.54</v>
      </c>
      <c r="I1719" s="1776">
        <f t="shared" si="242"/>
        <v>0.22</v>
      </c>
      <c r="J1719" s="1768"/>
    </row>
    <row r="1720" spans="1:10" ht="24">
      <c r="A1720" s="1770" t="s">
        <v>2407</v>
      </c>
      <c r="B1720" s="1771" t="s">
        <v>7</v>
      </c>
      <c r="C1720" s="1771">
        <v>88248</v>
      </c>
      <c r="D1720" s="1772" t="s">
        <v>101</v>
      </c>
      <c r="E1720" s="1773" t="s">
        <v>387</v>
      </c>
      <c r="F1720" s="1780">
        <v>0.3</v>
      </c>
      <c r="G1720" s="1774">
        <v>20.16</v>
      </c>
      <c r="H1720" s="1775">
        <f>IF(E1720="H",G1720,TRUNC(G1720*(1-$K$7),2))</f>
        <v>20.16</v>
      </c>
      <c r="I1720" s="1776">
        <f t="shared" si="242"/>
        <v>6.04</v>
      </c>
      <c r="J1720" s="1768"/>
    </row>
    <row r="1721" spans="1:10" ht="24">
      <c r="A1721" s="1770" t="s">
        <v>2407</v>
      </c>
      <c r="B1721" s="1771" t="s">
        <v>7</v>
      </c>
      <c r="C1721" s="1771">
        <v>88267</v>
      </c>
      <c r="D1721" s="1772" t="s">
        <v>102</v>
      </c>
      <c r="E1721" s="1773" t="s">
        <v>387</v>
      </c>
      <c r="F1721" s="1780">
        <v>0.376</v>
      </c>
      <c r="G1721" s="1774">
        <v>24.64</v>
      </c>
      <c r="H1721" s="1775">
        <f>IF(E1721="H",G1721,TRUNC(G1721*(1-$K$7),2))</f>
        <v>24.64</v>
      </c>
      <c r="I1721" s="1776">
        <f t="shared" si="242"/>
        <v>9.26</v>
      </c>
      <c r="J1721" s="1768"/>
    </row>
    <row r="1722" spans="1:10">
      <c r="A1722" s="1917" t="s">
        <v>2408</v>
      </c>
      <c r="B1722" s="1918"/>
      <c r="C1722" s="1918"/>
      <c r="D1722" s="1918"/>
      <c r="E1722" s="1918"/>
      <c r="F1722" s="1918"/>
      <c r="G1722" s="1918"/>
      <c r="H1722" s="1919"/>
      <c r="I1722" s="1778">
        <f>SUM(I1718:I1721)</f>
        <v>21.58</v>
      </c>
      <c r="J1722" s="1768"/>
    </row>
    <row r="1723" spans="1:10">
      <c r="A1723" s="1920"/>
      <c r="B1723" s="1921"/>
      <c r="C1723" s="1921"/>
      <c r="D1723" s="1921"/>
      <c r="E1723" s="1921"/>
      <c r="F1723" s="1921"/>
      <c r="G1723" s="1921"/>
      <c r="H1723" s="1921"/>
      <c r="I1723" s="1922"/>
      <c r="J1723" s="1768"/>
    </row>
    <row r="1724" spans="1:10" ht="25.5" customHeight="1">
      <c r="A1724" s="1757" t="str">
        <f>'PLANILHA SEM DESON'!B268</f>
        <v>COMP HIDR 05</v>
      </c>
      <c r="B1724" s="1923" t="str">
        <f>VLOOKUP(A1724,'PLANILHA SEM DESON'!$B$17:$D$1699,2,FALSE)</f>
        <v xml:space="preserve">TUBO, PVC, SOLDÁVEL, DN 50MM, FORNECIMENTO E INSTALAÇÃO. </v>
      </c>
      <c r="C1724" s="1924"/>
      <c r="D1724" s="1924"/>
      <c r="E1724" s="1924"/>
      <c r="F1724" s="1924"/>
      <c r="G1724" s="1924"/>
      <c r="H1724" s="1925"/>
      <c r="I1724" s="1758" t="str">
        <f>VLOOKUP(A1724,'PLANILHA SEM DESON'!$B$17:$D$1699,3,FALSE)</f>
        <v>m</v>
      </c>
      <c r="J1724" s="1759">
        <f>I1730</f>
        <v>22.099999999999998</v>
      </c>
    </row>
    <row r="1725" spans="1:10" ht="24">
      <c r="A1725" s="1761" t="s">
        <v>2401</v>
      </c>
      <c r="B1725" s="1762" t="s">
        <v>2402</v>
      </c>
      <c r="C1725" s="1763" t="s">
        <v>2399</v>
      </c>
      <c r="D1725" s="1764" t="s">
        <v>284</v>
      </c>
      <c r="E1725" s="1763" t="s">
        <v>193</v>
      </c>
      <c r="F1725" s="1765" t="s">
        <v>2403</v>
      </c>
      <c r="G1725" s="1763" t="s">
        <v>2404</v>
      </c>
      <c r="H1725" s="1766" t="s">
        <v>2405</v>
      </c>
      <c r="I1725" s="1767" t="s">
        <v>2406</v>
      </c>
      <c r="J1725" s="1768"/>
    </row>
    <row r="1726" spans="1:10" ht="24">
      <c r="A1726" s="1770"/>
      <c r="B1726" s="1771"/>
      <c r="C1726" s="1771" t="s">
        <v>430</v>
      </c>
      <c r="D1726" s="1772" t="s">
        <v>101</v>
      </c>
      <c r="E1726" s="1773" t="s">
        <v>57</v>
      </c>
      <c r="F1726" s="1790">
        <v>2.9000000000000001E-2</v>
      </c>
      <c r="G1726" s="1781">
        <v>20.16</v>
      </c>
      <c r="H1726" s="1775">
        <f>IF(E1726="H",G1726,TRUNC(G1726*(1-$K$7),2))</f>
        <v>20.16</v>
      </c>
      <c r="I1726" s="1776">
        <f t="shared" ref="I1726:I1729" si="243">TRUNC(H1726*F1726,2)</f>
        <v>0.57999999999999996</v>
      </c>
      <c r="J1726" s="1768"/>
    </row>
    <row r="1727" spans="1:10" ht="24">
      <c r="A1727" s="1770"/>
      <c r="B1727" s="1771"/>
      <c r="C1727" s="1771" t="s">
        <v>431</v>
      </c>
      <c r="D1727" s="1772" t="s">
        <v>102</v>
      </c>
      <c r="E1727" s="1773" t="s">
        <v>57</v>
      </c>
      <c r="F1727" s="1790">
        <v>2.9000000000000001E-2</v>
      </c>
      <c r="G1727" s="1781">
        <v>24.64</v>
      </c>
      <c r="H1727" s="1775">
        <f>IF(E1727="H",G1727,TRUNC(G1727*(1-$K$7),2))</f>
        <v>24.64</v>
      </c>
      <c r="I1727" s="1776">
        <f t="shared" si="243"/>
        <v>0.71</v>
      </c>
      <c r="J1727" s="1768"/>
    </row>
    <row r="1728" spans="1:10" ht="24">
      <c r="A1728" s="1770"/>
      <c r="B1728" s="1771"/>
      <c r="C1728" s="1771">
        <v>9875</v>
      </c>
      <c r="D1728" s="1772" t="s">
        <v>1747</v>
      </c>
      <c r="E1728" s="1773" t="s">
        <v>55</v>
      </c>
      <c r="F1728" s="1790">
        <v>1.0609999999999999</v>
      </c>
      <c r="G1728" s="1779">
        <v>19.72</v>
      </c>
      <c r="H1728" s="1775">
        <f>IF(E1728="H",G1728,TRUNC(G1728*(1-$K$7),2))</f>
        <v>19.600000000000001</v>
      </c>
      <c r="I1728" s="1776">
        <f t="shared" si="243"/>
        <v>20.79</v>
      </c>
      <c r="J1728" s="1768"/>
    </row>
    <row r="1729" spans="1:10">
      <c r="A1729" s="1770"/>
      <c r="B1729" s="1771"/>
      <c r="C1729" s="1771">
        <v>38383</v>
      </c>
      <c r="D1729" s="1772" t="s">
        <v>162</v>
      </c>
      <c r="E1729" s="1773" t="s">
        <v>55</v>
      </c>
      <c r="F1729" s="1790">
        <v>0.01</v>
      </c>
      <c r="G1729" s="1781">
        <v>2.56</v>
      </c>
      <c r="H1729" s="1775">
        <f>IF(E1729="H",G1729,TRUNC(G1729*(1-$K$7),2))</f>
        <v>2.54</v>
      </c>
      <c r="I1729" s="1776">
        <f t="shared" si="243"/>
        <v>0.02</v>
      </c>
      <c r="J1729" s="1768"/>
    </row>
    <row r="1730" spans="1:10">
      <c r="A1730" s="1917" t="s">
        <v>2408</v>
      </c>
      <c r="B1730" s="1918"/>
      <c r="C1730" s="1918"/>
      <c r="D1730" s="1918"/>
      <c r="E1730" s="1918"/>
      <c r="F1730" s="1918"/>
      <c r="G1730" s="1918"/>
      <c r="H1730" s="1919"/>
      <c r="I1730" s="1778">
        <f>SUM(I1726:I1729)</f>
        <v>22.099999999999998</v>
      </c>
      <c r="J1730" s="1768"/>
    </row>
    <row r="1731" spans="1:10">
      <c r="A1731" s="1920"/>
      <c r="B1731" s="1921"/>
      <c r="C1731" s="1921"/>
      <c r="D1731" s="1921"/>
      <c r="E1731" s="1921"/>
      <c r="F1731" s="1921"/>
      <c r="G1731" s="1921"/>
      <c r="H1731" s="1921"/>
      <c r="I1731" s="1922"/>
      <c r="J1731" s="1768"/>
    </row>
    <row r="1732" spans="1:10" ht="23.25" customHeight="1">
      <c r="A1732" s="1757">
        <f>'PLANILHA SEM DESON'!B269</f>
        <v>99635</v>
      </c>
      <c r="B1732" s="1923" t="str">
        <f>VLOOKUP(A1732,'PLANILHA SEM DESON'!$B$17:$D$1699,2,FALSE)</f>
        <v>VÁLVULA DE DESCARGA METÁLICA, BASE 1 1/2", ACABAMENTO METALICO CROMADO - FORNECIMENTO E INSTALAÇÃO. AF_08/2021</v>
      </c>
      <c r="C1732" s="1924"/>
      <c r="D1732" s="1924"/>
      <c r="E1732" s="1924"/>
      <c r="F1732" s="1924"/>
      <c r="G1732" s="1924"/>
      <c r="H1732" s="1925"/>
      <c r="I1732" s="1758" t="str">
        <f>VLOOKUP(A1732,'PLANILHA SEM DESON'!$B$17:$D$1699,3,FALSE)</f>
        <v xml:space="preserve">un </v>
      </c>
      <c r="J1732" s="1759">
        <f>I1738</f>
        <v>197.71</v>
      </c>
    </row>
    <row r="1733" spans="1:10" ht="24">
      <c r="A1733" s="1761" t="s">
        <v>2401</v>
      </c>
      <c r="B1733" s="1762" t="s">
        <v>2402</v>
      </c>
      <c r="C1733" s="1763" t="s">
        <v>2399</v>
      </c>
      <c r="D1733" s="1764" t="s">
        <v>284</v>
      </c>
      <c r="E1733" s="1763" t="s">
        <v>193</v>
      </c>
      <c r="F1733" s="1765" t="s">
        <v>2403</v>
      </c>
      <c r="G1733" s="1763" t="s">
        <v>2404</v>
      </c>
      <c r="H1733" s="1766" t="s">
        <v>2405</v>
      </c>
      <c r="I1733" s="1767" t="s">
        <v>2406</v>
      </c>
      <c r="J1733" s="1768"/>
    </row>
    <row r="1734" spans="1:10">
      <c r="A1734" s="1770" t="s">
        <v>2407</v>
      </c>
      <c r="B1734" s="1771" t="s">
        <v>2410</v>
      </c>
      <c r="C1734" s="1771">
        <v>3148</v>
      </c>
      <c r="D1734" s="1772" t="s">
        <v>2539</v>
      </c>
      <c r="E1734" s="1773" t="s">
        <v>2432</v>
      </c>
      <c r="F1734" s="1780">
        <v>1.9199999999999998E-2</v>
      </c>
      <c r="G1734" s="1774">
        <v>17.989999999999998</v>
      </c>
      <c r="H1734" s="1775">
        <f>IF(E1734="H",G1734,TRUNC(G1734*(1-$K$7),2))</f>
        <v>17.88</v>
      </c>
      <c r="I1734" s="1776">
        <f t="shared" ref="I1734:I1737" si="244">TRUNC(H1734*F1734,2)</f>
        <v>0.34</v>
      </c>
      <c r="J1734" s="1768"/>
    </row>
    <row r="1735" spans="1:10" ht="24">
      <c r="A1735" s="1770" t="s">
        <v>2407</v>
      </c>
      <c r="B1735" s="1771" t="s">
        <v>2410</v>
      </c>
      <c r="C1735" s="1771">
        <v>10228</v>
      </c>
      <c r="D1735" s="1772" t="s">
        <v>2668</v>
      </c>
      <c r="E1735" s="1773" t="s">
        <v>2432</v>
      </c>
      <c r="F1735" s="1780">
        <v>1</v>
      </c>
      <c r="G1735" s="1774">
        <v>156.9</v>
      </c>
      <c r="H1735" s="1775">
        <f>IF(E1735="H",G1735,TRUNC(G1735*(1-$K$7),2))</f>
        <v>155.94999999999999</v>
      </c>
      <c r="I1735" s="1776">
        <f t="shared" si="244"/>
        <v>155.94999999999999</v>
      </c>
      <c r="J1735" s="1768"/>
    </row>
    <row r="1736" spans="1:10" ht="24">
      <c r="A1736" s="1770" t="s">
        <v>2407</v>
      </c>
      <c r="B1736" s="1771" t="s">
        <v>7</v>
      </c>
      <c r="C1736" s="1771">
        <v>88248</v>
      </c>
      <c r="D1736" s="1772" t="s">
        <v>101</v>
      </c>
      <c r="E1736" s="1773" t="s">
        <v>387</v>
      </c>
      <c r="F1736" s="1780">
        <v>0.92490000000000006</v>
      </c>
      <c r="G1736" s="1774">
        <v>20.16</v>
      </c>
      <c r="H1736" s="1775">
        <f>IF(E1736="H",G1736,TRUNC(G1736*(1-$K$7),2))</f>
        <v>20.16</v>
      </c>
      <c r="I1736" s="1776">
        <f t="shared" si="244"/>
        <v>18.64</v>
      </c>
      <c r="J1736" s="1768"/>
    </row>
    <row r="1737" spans="1:10" ht="24">
      <c r="A1737" s="1770" t="s">
        <v>2407</v>
      </c>
      <c r="B1737" s="1771" t="s">
        <v>7</v>
      </c>
      <c r="C1737" s="1771">
        <v>88267</v>
      </c>
      <c r="D1737" s="1772" t="s">
        <v>102</v>
      </c>
      <c r="E1737" s="1773" t="s">
        <v>387</v>
      </c>
      <c r="F1737" s="1780">
        <v>0.92490000000000006</v>
      </c>
      <c r="G1737" s="1774">
        <v>24.64</v>
      </c>
      <c r="H1737" s="1775">
        <f>IF(E1737="H",G1737,TRUNC(G1737*(1-$K$7),2))</f>
        <v>24.64</v>
      </c>
      <c r="I1737" s="1776">
        <f t="shared" si="244"/>
        <v>22.78</v>
      </c>
      <c r="J1737" s="1768"/>
    </row>
    <row r="1738" spans="1:10">
      <c r="A1738" s="1917" t="s">
        <v>2408</v>
      </c>
      <c r="B1738" s="1918"/>
      <c r="C1738" s="1918"/>
      <c r="D1738" s="1918"/>
      <c r="E1738" s="1918"/>
      <c r="F1738" s="1918"/>
      <c r="G1738" s="1918"/>
      <c r="H1738" s="1919"/>
      <c r="I1738" s="1778">
        <f>SUM(I1734:I1737)</f>
        <v>197.71</v>
      </c>
      <c r="J1738" s="1768"/>
    </row>
    <row r="1739" spans="1:10">
      <c r="A1739" s="1920"/>
      <c r="B1739" s="1921"/>
      <c r="C1739" s="1921"/>
      <c r="D1739" s="1921"/>
      <c r="E1739" s="1921"/>
      <c r="F1739" s="1921"/>
      <c r="G1739" s="1921"/>
      <c r="H1739" s="1921"/>
      <c r="I1739" s="1922"/>
      <c r="J1739" s="1768"/>
    </row>
    <row r="1740" spans="1:10" ht="24" customHeight="1">
      <c r="A1740" s="1757">
        <f>'PLANILHA SEM DESON'!B270</f>
        <v>89987</v>
      </c>
      <c r="B1740" s="1923" t="str">
        <f>VLOOKUP(A1740,'PLANILHA SEM DESON'!$B$17:$D$1699,2,FALSE)</f>
        <v>REGISTRO DE GAVETA BRUTO, LATÃO, ROSCÁVEL, 3/4", COM ACABAMENTO E CANOPLA CROMADOS - FORNECIMENTO E INSTALAÇÃO. AF_08/2021</v>
      </c>
      <c r="C1740" s="1924"/>
      <c r="D1740" s="1924"/>
      <c r="E1740" s="1924"/>
      <c r="F1740" s="1924"/>
      <c r="G1740" s="1924"/>
      <c r="H1740" s="1925"/>
      <c r="I1740" s="1758" t="str">
        <f>VLOOKUP(A1740,'PLANILHA SEM DESON'!$B$17:$D$1699,3,FALSE)</f>
        <v xml:space="preserve">un </v>
      </c>
      <c r="J1740" s="1759">
        <f>I1746</f>
        <v>83.330000000000013</v>
      </c>
    </row>
    <row r="1741" spans="1:10" ht="24">
      <c r="A1741" s="1761" t="s">
        <v>2401</v>
      </c>
      <c r="B1741" s="1762" t="s">
        <v>2402</v>
      </c>
      <c r="C1741" s="1763" t="s">
        <v>2399</v>
      </c>
      <c r="D1741" s="1764" t="s">
        <v>284</v>
      </c>
      <c r="E1741" s="1763" t="s">
        <v>193</v>
      </c>
      <c r="F1741" s="1765" t="s">
        <v>2403</v>
      </c>
      <c r="G1741" s="1763" t="s">
        <v>2404</v>
      </c>
      <c r="H1741" s="1766" t="s">
        <v>2405</v>
      </c>
      <c r="I1741" s="1767" t="s">
        <v>2406</v>
      </c>
      <c r="J1741" s="1768"/>
    </row>
    <row r="1742" spans="1:10">
      <c r="A1742" s="1770" t="s">
        <v>2407</v>
      </c>
      <c r="B1742" s="1771" t="s">
        <v>2410</v>
      </c>
      <c r="C1742" s="1771">
        <v>3148</v>
      </c>
      <c r="D1742" s="1772" t="s">
        <v>2539</v>
      </c>
      <c r="E1742" s="1773" t="s">
        <v>2432</v>
      </c>
      <c r="F1742" s="1780">
        <v>1.06E-2</v>
      </c>
      <c r="G1742" s="1774">
        <v>17.989999999999998</v>
      </c>
      <c r="H1742" s="1775">
        <f>IF(E1742="H",G1742,TRUNC(G1742*(1-$K$7),2))</f>
        <v>17.88</v>
      </c>
      <c r="I1742" s="1776">
        <f t="shared" ref="I1742:I1745" si="245">TRUNC(H1742*F1742,2)</f>
        <v>0.18</v>
      </c>
      <c r="J1742" s="1768"/>
    </row>
    <row r="1743" spans="1:10" ht="24">
      <c r="A1743" s="1770" t="s">
        <v>2407</v>
      </c>
      <c r="B1743" s="1771" t="s">
        <v>2410</v>
      </c>
      <c r="C1743" s="1771">
        <v>6005</v>
      </c>
      <c r="D1743" s="1772" t="s">
        <v>2669</v>
      </c>
      <c r="E1743" s="1773" t="s">
        <v>2432</v>
      </c>
      <c r="F1743" s="1780">
        <v>1</v>
      </c>
      <c r="G1743" s="1774">
        <v>73.7</v>
      </c>
      <c r="H1743" s="1775">
        <f>IF(E1743="H",G1743,TRUNC(G1743*(1-$K$7),2))</f>
        <v>73.25</v>
      </c>
      <c r="I1743" s="1776">
        <f t="shared" si="245"/>
        <v>73.25</v>
      </c>
      <c r="J1743" s="1768"/>
    </row>
    <row r="1744" spans="1:10" ht="24">
      <c r="A1744" s="1770" t="s">
        <v>2407</v>
      </c>
      <c r="B1744" s="1771" t="s">
        <v>7</v>
      </c>
      <c r="C1744" s="1771">
        <v>88248</v>
      </c>
      <c r="D1744" s="1772" t="s">
        <v>101</v>
      </c>
      <c r="E1744" s="1773" t="s">
        <v>387</v>
      </c>
      <c r="F1744" s="1780">
        <v>0.22120000000000001</v>
      </c>
      <c r="G1744" s="1774">
        <v>20.16</v>
      </c>
      <c r="H1744" s="1775">
        <f>IF(E1744="H",G1744,TRUNC(G1744*(1-$K$7),2))</f>
        <v>20.16</v>
      </c>
      <c r="I1744" s="1776">
        <f t="shared" si="245"/>
        <v>4.45</v>
      </c>
      <c r="J1744" s="1768"/>
    </row>
    <row r="1745" spans="1:10" ht="24">
      <c r="A1745" s="1770" t="s">
        <v>2407</v>
      </c>
      <c r="B1745" s="1771" t="s">
        <v>7</v>
      </c>
      <c r="C1745" s="1771">
        <v>88267</v>
      </c>
      <c r="D1745" s="1772" t="s">
        <v>102</v>
      </c>
      <c r="E1745" s="1773" t="s">
        <v>387</v>
      </c>
      <c r="F1745" s="1780">
        <v>0.22120000000000001</v>
      </c>
      <c r="G1745" s="1774">
        <v>24.64</v>
      </c>
      <c r="H1745" s="1775">
        <f>IF(E1745="H",G1745,TRUNC(G1745*(1-$K$7),2))</f>
        <v>24.64</v>
      </c>
      <c r="I1745" s="1776">
        <f t="shared" si="245"/>
        <v>5.45</v>
      </c>
      <c r="J1745" s="1768"/>
    </row>
    <row r="1746" spans="1:10">
      <c r="A1746" s="1917" t="s">
        <v>2408</v>
      </c>
      <c r="B1746" s="1918"/>
      <c r="C1746" s="1918"/>
      <c r="D1746" s="1918"/>
      <c r="E1746" s="1918"/>
      <c r="F1746" s="1918"/>
      <c r="G1746" s="1918"/>
      <c r="H1746" s="1919"/>
      <c r="I1746" s="1778">
        <f>SUM(I1742:I1745)</f>
        <v>83.330000000000013</v>
      </c>
      <c r="J1746" s="1768"/>
    </row>
    <row r="1747" spans="1:10">
      <c r="A1747" s="1920"/>
      <c r="B1747" s="1921"/>
      <c r="C1747" s="1921"/>
      <c r="D1747" s="1921"/>
      <c r="E1747" s="1921"/>
      <c r="F1747" s="1921"/>
      <c r="G1747" s="1921"/>
      <c r="H1747" s="1921"/>
      <c r="I1747" s="1922"/>
      <c r="J1747" s="1768"/>
    </row>
    <row r="1748" spans="1:10">
      <c r="A1748" s="1757">
        <f>'PLANILHA SEM DESON'!B271</f>
        <v>90371</v>
      </c>
      <c r="B1748" s="1923" t="str">
        <f>VLOOKUP(A1748,'PLANILHA SEM DESON'!$B$17:$D$1699,2,FALSE)</f>
        <v>REGISTRO DE ESFERA, PVC, ROSCÁVEL, COM VOLANTE, 3/4" - FORNECIMENTO E INSTALAÇÃO. AF_08/2021</v>
      </c>
      <c r="C1748" s="1924"/>
      <c r="D1748" s="1924"/>
      <c r="E1748" s="1924"/>
      <c r="F1748" s="1924"/>
      <c r="G1748" s="1924"/>
      <c r="H1748" s="1925"/>
      <c r="I1748" s="1758" t="str">
        <f>VLOOKUP(A1748,'PLANILHA SEM DESON'!$B$17:$D$1699,3,FALSE)</f>
        <v xml:space="preserve">un </v>
      </c>
      <c r="J1748" s="1759">
        <f>I1754</f>
        <v>28.79</v>
      </c>
    </row>
    <row r="1749" spans="1:10" ht="24">
      <c r="A1749" s="1761" t="s">
        <v>2401</v>
      </c>
      <c r="B1749" s="1762" t="s">
        <v>2402</v>
      </c>
      <c r="C1749" s="1763" t="s">
        <v>2399</v>
      </c>
      <c r="D1749" s="1764" t="s">
        <v>284</v>
      </c>
      <c r="E1749" s="1763" t="s">
        <v>193</v>
      </c>
      <c r="F1749" s="1765" t="s">
        <v>2403</v>
      </c>
      <c r="G1749" s="1763" t="s">
        <v>2404</v>
      </c>
      <c r="H1749" s="1766" t="s">
        <v>2405</v>
      </c>
      <c r="I1749" s="1767" t="s">
        <v>2406</v>
      </c>
      <c r="J1749" s="1768"/>
    </row>
    <row r="1750" spans="1:10">
      <c r="A1750" s="1770" t="s">
        <v>2407</v>
      </c>
      <c r="B1750" s="1771" t="s">
        <v>2410</v>
      </c>
      <c r="C1750" s="1771">
        <v>3148</v>
      </c>
      <c r="D1750" s="1772" t="s">
        <v>2539</v>
      </c>
      <c r="E1750" s="1773" t="s">
        <v>2432</v>
      </c>
      <c r="F1750" s="1780">
        <v>1.06E-2</v>
      </c>
      <c r="G1750" s="1774">
        <v>17.989999999999998</v>
      </c>
      <c r="H1750" s="1775">
        <f>IF(E1750="H",G1750,TRUNC(G1750*(1-$K$7),2))</f>
        <v>17.88</v>
      </c>
      <c r="I1750" s="1776">
        <f t="shared" ref="I1750:I1753" si="246">TRUNC(H1750*F1750,2)</f>
        <v>0.18</v>
      </c>
      <c r="J1750" s="1768"/>
    </row>
    <row r="1751" spans="1:10" ht="24">
      <c r="A1751" s="1770" t="s">
        <v>2407</v>
      </c>
      <c r="B1751" s="1771" t="s">
        <v>2410</v>
      </c>
      <c r="C1751" s="1771">
        <v>6032</v>
      </c>
      <c r="D1751" s="1772" t="s">
        <v>2670</v>
      </c>
      <c r="E1751" s="1773" t="s">
        <v>2432</v>
      </c>
      <c r="F1751" s="1780">
        <v>1</v>
      </c>
      <c r="G1751" s="1774">
        <v>23.83</v>
      </c>
      <c r="H1751" s="1775">
        <f>IF(E1751="H",G1751,TRUNC(G1751*(1-$K$7),2))</f>
        <v>23.68</v>
      </c>
      <c r="I1751" s="1776">
        <f t="shared" si="246"/>
        <v>23.68</v>
      </c>
      <c r="J1751" s="1768"/>
    </row>
    <row r="1752" spans="1:10" ht="24">
      <c r="A1752" s="1770" t="s">
        <v>2407</v>
      </c>
      <c r="B1752" s="1771" t="s">
        <v>7</v>
      </c>
      <c r="C1752" s="1771">
        <v>88248</v>
      </c>
      <c r="D1752" s="1772" t="s">
        <v>101</v>
      </c>
      <c r="E1752" s="1773" t="s">
        <v>387</v>
      </c>
      <c r="F1752" s="1780">
        <v>0.11020000000000001</v>
      </c>
      <c r="G1752" s="1774">
        <v>20.16</v>
      </c>
      <c r="H1752" s="1775">
        <f>IF(E1752="H",G1752,TRUNC(G1752*(1-$K$7),2))</f>
        <v>20.16</v>
      </c>
      <c r="I1752" s="1776">
        <f t="shared" si="246"/>
        <v>2.2200000000000002</v>
      </c>
      <c r="J1752" s="1768"/>
    </row>
    <row r="1753" spans="1:10" ht="24">
      <c r="A1753" s="1770" t="s">
        <v>2407</v>
      </c>
      <c r="B1753" s="1771" t="s">
        <v>7</v>
      </c>
      <c r="C1753" s="1771">
        <v>88267</v>
      </c>
      <c r="D1753" s="1772" t="s">
        <v>102</v>
      </c>
      <c r="E1753" s="1773" t="s">
        <v>387</v>
      </c>
      <c r="F1753" s="1780">
        <v>0.11020000000000001</v>
      </c>
      <c r="G1753" s="1774">
        <v>24.64</v>
      </c>
      <c r="H1753" s="1775">
        <f>IF(E1753="H",G1753,TRUNC(G1753*(1-$K$7),2))</f>
        <v>24.64</v>
      </c>
      <c r="I1753" s="1776">
        <f t="shared" si="246"/>
        <v>2.71</v>
      </c>
      <c r="J1753" s="1768"/>
    </row>
    <row r="1754" spans="1:10">
      <c r="A1754" s="1917" t="s">
        <v>2408</v>
      </c>
      <c r="B1754" s="1918"/>
      <c r="C1754" s="1918"/>
      <c r="D1754" s="1918"/>
      <c r="E1754" s="1918"/>
      <c r="F1754" s="1918"/>
      <c r="G1754" s="1918"/>
      <c r="H1754" s="1919"/>
      <c r="I1754" s="1778">
        <f>SUM(I1750:I1753)</f>
        <v>28.79</v>
      </c>
      <c r="J1754" s="1768"/>
    </row>
    <row r="1755" spans="1:10">
      <c r="A1755" s="1920"/>
      <c r="B1755" s="1921"/>
      <c r="C1755" s="1921"/>
      <c r="D1755" s="1921"/>
      <c r="E1755" s="1921"/>
      <c r="F1755" s="1921"/>
      <c r="G1755" s="1921"/>
      <c r="H1755" s="1921"/>
      <c r="I1755" s="1922"/>
      <c r="J1755" s="1768"/>
    </row>
    <row r="1756" spans="1:10" ht="40.5" customHeight="1">
      <c r="A1756" s="1757">
        <f>'PLANILHA SEM DESON'!B272</f>
        <v>94794</v>
      </c>
      <c r="B1756" s="1923" t="str">
        <f>VLOOKUP(A1756,'PLANILHA SEM DESON'!$B$17:$D$1699,2,FALSE)</f>
        <v>REGISTRO DE GAVETA BRUTO, LATÃO, ROSCÁVEL, 1 1/2", COM ACABAMENTO E CANOPLA CROMADOS - FORNECIMENTO E INSTALAÇÃO. AF_08/2021</v>
      </c>
      <c r="C1756" s="1924"/>
      <c r="D1756" s="1924"/>
      <c r="E1756" s="1924"/>
      <c r="F1756" s="1924"/>
      <c r="G1756" s="1924"/>
      <c r="H1756" s="1925"/>
      <c r="I1756" s="1758" t="str">
        <f>VLOOKUP(A1756,'PLANILHA SEM DESON'!$B$17:$D$1699,3,FALSE)</f>
        <v xml:space="preserve">un </v>
      </c>
      <c r="J1756" s="1759">
        <f>I1762</f>
        <v>147.51</v>
      </c>
    </row>
    <row r="1757" spans="1:10" ht="24">
      <c r="A1757" s="1761" t="s">
        <v>2401</v>
      </c>
      <c r="B1757" s="1762" t="s">
        <v>2402</v>
      </c>
      <c r="C1757" s="1763" t="s">
        <v>2399</v>
      </c>
      <c r="D1757" s="1764" t="s">
        <v>284</v>
      </c>
      <c r="E1757" s="1763" t="s">
        <v>193</v>
      </c>
      <c r="F1757" s="1765" t="s">
        <v>2403</v>
      </c>
      <c r="G1757" s="1763" t="s">
        <v>2404</v>
      </c>
      <c r="H1757" s="1766" t="s">
        <v>2405</v>
      </c>
      <c r="I1757" s="1767" t="s">
        <v>2406</v>
      </c>
      <c r="J1757" s="1768"/>
    </row>
    <row r="1758" spans="1:10">
      <c r="A1758" s="1770" t="s">
        <v>2407</v>
      </c>
      <c r="B1758" s="1771" t="s">
        <v>2410</v>
      </c>
      <c r="C1758" s="1771">
        <v>3148</v>
      </c>
      <c r="D1758" s="1772" t="s">
        <v>2539</v>
      </c>
      <c r="E1758" s="1773" t="s">
        <v>2432</v>
      </c>
      <c r="F1758" s="1780">
        <v>1.9199999999999998E-2</v>
      </c>
      <c r="G1758" s="1774">
        <v>17.989999999999998</v>
      </c>
      <c r="H1758" s="1775">
        <f>IF(E1758="H",G1758,TRUNC(G1758*(1-$K$7),2))</f>
        <v>17.88</v>
      </c>
      <c r="I1758" s="1776">
        <f t="shared" ref="I1758:I1761" si="247">TRUNC(H1758*F1758,2)</f>
        <v>0.34</v>
      </c>
      <c r="J1758" s="1768"/>
    </row>
    <row r="1759" spans="1:10" ht="24">
      <c r="A1759" s="1770" t="s">
        <v>2407</v>
      </c>
      <c r="B1759" s="1771" t="s">
        <v>2410</v>
      </c>
      <c r="C1759" s="1771">
        <v>6015</v>
      </c>
      <c r="D1759" s="1772" t="s">
        <v>2671</v>
      </c>
      <c r="E1759" s="1773" t="s">
        <v>2432</v>
      </c>
      <c r="F1759" s="1780">
        <v>1</v>
      </c>
      <c r="G1759" s="1774">
        <v>131.19999999999999</v>
      </c>
      <c r="H1759" s="1775">
        <f>IF(E1759="H",G1759,TRUNC(G1759*(1-$K$7),2))</f>
        <v>130.41</v>
      </c>
      <c r="I1759" s="1776">
        <f t="shared" si="247"/>
        <v>130.41</v>
      </c>
      <c r="J1759" s="1768"/>
    </row>
    <row r="1760" spans="1:10" ht="24">
      <c r="A1760" s="1770" t="s">
        <v>2407</v>
      </c>
      <c r="B1760" s="1771" t="s">
        <v>7</v>
      </c>
      <c r="C1760" s="1771">
        <v>88248</v>
      </c>
      <c r="D1760" s="1772" t="s">
        <v>101</v>
      </c>
      <c r="E1760" s="1773" t="s">
        <v>387</v>
      </c>
      <c r="F1760" s="1780">
        <v>0.37430000000000002</v>
      </c>
      <c r="G1760" s="1774">
        <v>20.16</v>
      </c>
      <c r="H1760" s="1775">
        <f>IF(E1760="H",G1760,TRUNC(G1760*(1-$K$7),2))</f>
        <v>20.16</v>
      </c>
      <c r="I1760" s="1776">
        <f t="shared" si="247"/>
        <v>7.54</v>
      </c>
      <c r="J1760" s="1768"/>
    </row>
    <row r="1761" spans="1:10" ht="24">
      <c r="A1761" s="1770" t="s">
        <v>2407</v>
      </c>
      <c r="B1761" s="1771" t="s">
        <v>7</v>
      </c>
      <c r="C1761" s="1771">
        <v>88267</v>
      </c>
      <c r="D1761" s="1772" t="s">
        <v>102</v>
      </c>
      <c r="E1761" s="1773" t="s">
        <v>387</v>
      </c>
      <c r="F1761" s="1780">
        <v>0.37430000000000002</v>
      </c>
      <c r="G1761" s="1774">
        <v>24.64</v>
      </c>
      <c r="H1761" s="1775">
        <f>IF(E1761="H",G1761,TRUNC(G1761*(1-$K$7),2))</f>
        <v>24.64</v>
      </c>
      <c r="I1761" s="1776">
        <f t="shared" si="247"/>
        <v>9.2200000000000006</v>
      </c>
      <c r="J1761" s="1768"/>
    </row>
    <row r="1762" spans="1:10">
      <c r="A1762" s="1917" t="s">
        <v>2408</v>
      </c>
      <c r="B1762" s="1918"/>
      <c r="C1762" s="1918"/>
      <c r="D1762" s="1918"/>
      <c r="E1762" s="1918"/>
      <c r="F1762" s="1918"/>
      <c r="G1762" s="1918"/>
      <c r="H1762" s="1919"/>
      <c r="I1762" s="1778">
        <f>SUM(I1758:I1761)</f>
        <v>147.51</v>
      </c>
      <c r="J1762" s="1768"/>
    </row>
    <row r="1763" spans="1:10">
      <c r="A1763" s="1920"/>
      <c r="B1763" s="1921"/>
      <c r="C1763" s="1921"/>
      <c r="D1763" s="1921"/>
      <c r="E1763" s="1921"/>
      <c r="F1763" s="1921"/>
      <c r="G1763" s="1921"/>
      <c r="H1763" s="1921"/>
      <c r="I1763" s="1922"/>
      <c r="J1763" s="1768"/>
    </row>
    <row r="1764" spans="1:10" ht="41.25" customHeight="1">
      <c r="A1764" s="1757">
        <f>'PLANILHA SEM DESON'!B273</f>
        <v>94497</v>
      </c>
      <c r="B1764" s="1923" t="str">
        <f>VLOOKUP(A1764,'PLANILHA SEM DESON'!$B$17:$D$1699,2,FALSE)</f>
        <v>REGISTRO DE GAVETA BRUTO, LATÃO, ROSCÁVEL, 1 1/2" - FORNECIMENTO E INSTALAÇÃO. AF_08/2021</v>
      </c>
      <c r="C1764" s="1924"/>
      <c r="D1764" s="1924"/>
      <c r="E1764" s="1924"/>
      <c r="F1764" s="1924"/>
      <c r="G1764" s="1924"/>
      <c r="H1764" s="1925"/>
      <c r="I1764" s="1758" t="str">
        <f>VLOOKUP(A1764,'PLANILHA SEM DESON'!$B$17:$D$1699,3,FALSE)</f>
        <v xml:space="preserve">un </v>
      </c>
      <c r="J1764" s="1759">
        <f>I1770</f>
        <v>93.67</v>
      </c>
    </row>
    <row r="1765" spans="1:10" ht="24">
      <c r="A1765" s="1761" t="s">
        <v>2401</v>
      </c>
      <c r="B1765" s="1762" t="s">
        <v>2402</v>
      </c>
      <c r="C1765" s="1763" t="s">
        <v>2399</v>
      </c>
      <c r="D1765" s="1764" t="s">
        <v>284</v>
      </c>
      <c r="E1765" s="1763" t="s">
        <v>193</v>
      </c>
      <c r="F1765" s="1765" t="s">
        <v>2403</v>
      </c>
      <c r="G1765" s="1763" t="s">
        <v>2404</v>
      </c>
      <c r="H1765" s="1766" t="s">
        <v>2405</v>
      </c>
      <c r="I1765" s="1767" t="s">
        <v>2406</v>
      </c>
      <c r="J1765" s="1768"/>
    </row>
    <row r="1766" spans="1:10">
      <c r="A1766" s="1770" t="s">
        <v>2407</v>
      </c>
      <c r="B1766" s="1771" t="s">
        <v>2410</v>
      </c>
      <c r="C1766" s="1771">
        <v>3148</v>
      </c>
      <c r="D1766" s="1772" t="s">
        <v>2539</v>
      </c>
      <c r="E1766" s="1773" t="s">
        <v>2432</v>
      </c>
      <c r="F1766" s="1780">
        <v>1.9199999999999998E-2</v>
      </c>
      <c r="G1766" s="1774">
        <v>17.989999999999998</v>
      </c>
      <c r="H1766" s="1775">
        <f>IF(E1766="H",G1766,TRUNC(G1766*(1-$K$7),2))</f>
        <v>17.88</v>
      </c>
      <c r="I1766" s="1776">
        <f t="shared" ref="I1766:I1769" si="248">TRUNC(H1766*F1766,2)</f>
        <v>0.34</v>
      </c>
      <c r="J1766" s="1768"/>
    </row>
    <row r="1767" spans="1:10" ht="24">
      <c r="A1767" s="1770" t="s">
        <v>2407</v>
      </c>
      <c r="B1767" s="1771" t="s">
        <v>2410</v>
      </c>
      <c r="C1767" s="1771">
        <v>6010</v>
      </c>
      <c r="D1767" s="1772" t="s">
        <v>2672</v>
      </c>
      <c r="E1767" s="1773" t="s">
        <v>2432</v>
      </c>
      <c r="F1767" s="1780">
        <v>1</v>
      </c>
      <c r="G1767" s="1774">
        <v>82.05</v>
      </c>
      <c r="H1767" s="1775">
        <f>IF(E1767="H",G1767,TRUNC(G1767*(1-$K$7),2))</f>
        <v>81.55</v>
      </c>
      <c r="I1767" s="1776">
        <f t="shared" si="248"/>
        <v>81.55</v>
      </c>
      <c r="J1767" s="1768"/>
    </row>
    <row r="1768" spans="1:10" ht="24">
      <c r="A1768" s="1770" t="s">
        <v>2407</v>
      </c>
      <c r="B1768" s="1771" t="s">
        <v>7</v>
      </c>
      <c r="C1768" s="1771">
        <v>88248</v>
      </c>
      <c r="D1768" s="1772" t="s">
        <v>101</v>
      </c>
      <c r="E1768" s="1773" t="s">
        <v>387</v>
      </c>
      <c r="F1768" s="1780">
        <v>0.26329999999999998</v>
      </c>
      <c r="G1768" s="1774">
        <v>20.16</v>
      </c>
      <c r="H1768" s="1775">
        <f>IF(E1768="H",G1768,TRUNC(G1768*(1-$K$7),2))</f>
        <v>20.16</v>
      </c>
      <c r="I1768" s="1776">
        <f t="shared" si="248"/>
        <v>5.3</v>
      </c>
      <c r="J1768" s="1768"/>
    </row>
    <row r="1769" spans="1:10" ht="24">
      <c r="A1769" s="1770" t="s">
        <v>2407</v>
      </c>
      <c r="B1769" s="1771" t="s">
        <v>7</v>
      </c>
      <c r="C1769" s="1771">
        <v>88267</v>
      </c>
      <c r="D1769" s="1772" t="s">
        <v>102</v>
      </c>
      <c r="E1769" s="1773" t="s">
        <v>387</v>
      </c>
      <c r="F1769" s="1780">
        <v>0.26329999999999998</v>
      </c>
      <c r="G1769" s="1774">
        <v>24.64</v>
      </c>
      <c r="H1769" s="1775">
        <f>IF(E1769="H",G1769,TRUNC(G1769*(1-$K$7),2))</f>
        <v>24.64</v>
      </c>
      <c r="I1769" s="1776">
        <f t="shared" si="248"/>
        <v>6.48</v>
      </c>
      <c r="J1769" s="1768"/>
    </row>
    <row r="1770" spans="1:10">
      <c r="A1770" s="1917" t="s">
        <v>2408</v>
      </c>
      <c r="B1770" s="1918"/>
      <c r="C1770" s="1918"/>
      <c r="D1770" s="1918"/>
      <c r="E1770" s="1918"/>
      <c r="F1770" s="1918"/>
      <c r="G1770" s="1918"/>
      <c r="H1770" s="1919"/>
      <c r="I1770" s="1778">
        <f>SUM(I1766:I1769)</f>
        <v>93.67</v>
      </c>
      <c r="J1770" s="1768"/>
    </row>
    <row r="1771" spans="1:10">
      <c r="A1771" s="1920"/>
      <c r="B1771" s="1921"/>
      <c r="C1771" s="1921"/>
      <c r="D1771" s="1921"/>
      <c r="E1771" s="1921"/>
      <c r="F1771" s="1921"/>
      <c r="G1771" s="1921"/>
      <c r="H1771" s="1921"/>
      <c r="I1771" s="1922"/>
      <c r="J1771" s="1768"/>
    </row>
    <row r="1772" spans="1:10" ht="30" customHeight="1">
      <c r="A1772" s="1757">
        <f>'PLANILHA SEM DESON'!B274</f>
        <v>89385</v>
      </c>
      <c r="B1772" s="1923" t="str">
        <f>VLOOKUP(A1772,'PLANILHA SEM DESON'!$B$17:$D$1699,2,FALSE)</f>
        <v>LUVA SOLDÁVEL E COM ROSCA, PVC, SOLDÁVEL, DN 25MM X 3/4 , INSTALADO EM RAMAL OU SUB-RAMAL DE ÁGUA - FORNECIMENTO E INSTALAÇÃO. AF_06/2022</v>
      </c>
      <c r="C1772" s="1924"/>
      <c r="D1772" s="1924"/>
      <c r="E1772" s="1924"/>
      <c r="F1772" s="1924"/>
      <c r="G1772" s="1924"/>
      <c r="H1772" s="1925"/>
      <c r="I1772" s="1758" t="str">
        <f>VLOOKUP(A1772,'PLANILHA SEM DESON'!$B$17:$D$1699,3,FALSE)</f>
        <v xml:space="preserve">un </v>
      </c>
      <c r="J1772" s="1759">
        <f>I1780</f>
        <v>7.4500000000000011</v>
      </c>
    </row>
    <row r="1773" spans="1:10" ht="24">
      <c r="A1773" s="1761" t="s">
        <v>2401</v>
      </c>
      <c r="B1773" s="1762" t="s">
        <v>2402</v>
      </c>
      <c r="C1773" s="1763" t="s">
        <v>2399</v>
      </c>
      <c r="D1773" s="1764" t="s">
        <v>284</v>
      </c>
      <c r="E1773" s="1763" t="s">
        <v>193</v>
      </c>
      <c r="F1773" s="1765" t="s">
        <v>2403</v>
      </c>
      <c r="G1773" s="1763" t="s">
        <v>2404</v>
      </c>
      <c r="H1773" s="1766" t="s">
        <v>2405</v>
      </c>
      <c r="I1773" s="1767" t="s">
        <v>2406</v>
      </c>
      <c r="J1773" s="1768"/>
    </row>
    <row r="1774" spans="1:10">
      <c r="A1774" s="1770" t="s">
        <v>2407</v>
      </c>
      <c r="B1774" s="1771" t="s">
        <v>2410</v>
      </c>
      <c r="C1774" s="1771">
        <v>122</v>
      </c>
      <c r="D1774" s="1772" t="s">
        <v>2663</v>
      </c>
      <c r="E1774" s="1773" t="s">
        <v>2432</v>
      </c>
      <c r="F1774" s="1780">
        <v>5.8999999999999999E-3</v>
      </c>
      <c r="G1774" s="1774">
        <v>76.86</v>
      </c>
      <c r="H1774" s="1775">
        <f t="shared" ref="H1774:H1779" si="249">IF(E1774="H",G1774,TRUNC(G1774*(1-$K$7),2))</f>
        <v>76.39</v>
      </c>
      <c r="I1774" s="1776">
        <f t="shared" ref="I1774:I1779" si="250">TRUNC(H1774*F1774,2)</f>
        <v>0.45</v>
      </c>
      <c r="J1774" s="1768"/>
    </row>
    <row r="1775" spans="1:10" ht="24">
      <c r="A1775" s="1770" t="s">
        <v>2407</v>
      </c>
      <c r="B1775" s="1771" t="s">
        <v>2410</v>
      </c>
      <c r="C1775" s="1771">
        <v>3906</v>
      </c>
      <c r="D1775" s="1772" t="s">
        <v>2673</v>
      </c>
      <c r="E1775" s="1773" t="s">
        <v>2432</v>
      </c>
      <c r="F1775" s="1780">
        <v>1</v>
      </c>
      <c r="G1775" s="1774">
        <v>2.12</v>
      </c>
      <c r="H1775" s="1775">
        <f t="shared" si="249"/>
        <v>2.1</v>
      </c>
      <c r="I1775" s="1776">
        <f t="shared" si="250"/>
        <v>2.1</v>
      </c>
      <c r="J1775" s="1768"/>
    </row>
    <row r="1776" spans="1:10" ht="24">
      <c r="A1776" s="1770" t="s">
        <v>2407</v>
      </c>
      <c r="B1776" s="1771" t="s">
        <v>2410</v>
      </c>
      <c r="C1776" s="1771">
        <v>20083</v>
      </c>
      <c r="D1776" s="1772" t="s">
        <v>2537</v>
      </c>
      <c r="E1776" s="1773" t="s">
        <v>2432</v>
      </c>
      <c r="F1776" s="1780">
        <v>7.0000000000000001E-3</v>
      </c>
      <c r="G1776" s="1774">
        <v>87.08</v>
      </c>
      <c r="H1776" s="1775">
        <f t="shared" si="249"/>
        <v>86.55</v>
      </c>
      <c r="I1776" s="1776">
        <f t="shared" si="250"/>
        <v>0.6</v>
      </c>
      <c r="J1776" s="1768"/>
    </row>
    <row r="1777" spans="1:10">
      <c r="A1777" s="1770" t="s">
        <v>2407</v>
      </c>
      <c r="B1777" s="1771" t="s">
        <v>2410</v>
      </c>
      <c r="C1777" s="1771">
        <v>38383</v>
      </c>
      <c r="D1777" s="1772" t="s">
        <v>2538</v>
      </c>
      <c r="E1777" s="1773" t="s">
        <v>2432</v>
      </c>
      <c r="F1777" s="1780">
        <v>3.15E-2</v>
      </c>
      <c r="G1777" s="1774">
        <v>2.56</v>
      </c>
      <c r="H1777" s="1775">
        <f t="shared" si="249"/>
        <v>2.54</v>
      </c>
      <c r="I1777" s="1776">
        <f t="shared" si="250"/>
        <v>0.08</v>
      </c>
      <c r="J1777" s="1768"/>
    </row>
    <row r="1778" spans="1:10" ht="24">
      <c r="A1778" s="1770" t="s">
        <v>2407</v>
      </c>
      <c r="B1778" s="1771" t="s">
        <v>7</v>
      </c>
      <c r="C1778" s="1771">
        <v>88248</v>
      </c>
      <c r="D1778" s="1772" t="s">
        <v>101</v>
      </c>
      <c r="E1778" s="1773" t="s">
        <v>387</v>
      </c>
      <c r="F1778" s="1780">
        <v>9.4399999999999998E-2</v>
      </c>
      <c r="G1778" s="1774">
        <v>20.16</v>
      </c>
      <c r="H1778" s="1775">
        <f t="shared" si="249"/>
        <v>20.16</v>
      </c>
      <c r="I1778" s="1776">
        <f t="shared" si="250"/>
        <v>1.9</v>
      </c>
      <c r="J1778" s="1768"/>
    </row>
    <row r="1779" spans="1:10" ht="24">
      <c r="A1779" s="1770" t="s">
        <v>2407</v>
      </c>
      <c r="B1779" s="1771" t="s">
        <v>7</v>
      </c>
      <c r="C1779" s="1771">
        <v>88267</v>
      </c>
      <c r="D1779" s="1772" t="s">
        <v>102</v>
      </c>
      <c r="E1779" s="1773" t="s">
        <v>387</v>
      </c>
      <c r="F1779" s="1780">
        <v>9.4399999999999998E-2</v>
      </c>
      <c r="G1779" s="1774">
        <v>24.64</v>
      </c>
      <c r="H1779" s="1775">
        <f t="shared" si="249"/>
        <v>24.64</v>
      </c>
      <c r="I1779" s="1776">
        <f t="shared" si="250"/>
        <v>2.3199999999999998</v>
      </c>
      <c r="J1779" s="1768"/>
    </row>
    <row r="1780" spans="1:10">
      <c r="A1780" s="1917" t="s">
        <v>2408</v>
      </c>
      <c r="B1780" s="1918"/>
      <c r="C1780" s="1918"/>
      <c r="D1780" s="1918"/>
      <c r="E1780" s="1918"/>
      <c r="F1780" s="1918"/>
      <c r="G1780" s="1918"/>
      <c r="H1780" s="1919"/>
      <c r="I1780" s="1778">
        <f>SUM(I1774:I1779)</f>
        <v>7.4500000000000011</v>
      </c>
      <c r="J1780" s="1768"/>
    </row>
    <row r="1781" spans="1:10">
      <c r="A1781" s="1920"/>
      <c r="B1781" s="1921"/>
      <c r="C1781" s="1921"/>
      <c r="D1781" s="1921"/>
      <c r="E1781" s="1921"/>
      <c r="F1781" s="1921"/>
      <c r="G1781" s="1921"/>
      <c r="H1781" s="1921"/>
      <c r="I1781" s="1922"/>
      <c r="J1781" s="1768"/>
    </row>
    <row r="1782" spans="1:10" ht="24.75" customHeight="1">
      <c r="A1782" s="1757">
        <f>'PLANILHA SEM DESON'!B275</f>
        <v>94703</v>
      </c>
      <c r="B1782" s="1923" t="str">
        <f>VLOOKUP(A1782,'PLANILHA SEM DESON'!$B$17:$D$1699,2,FALSE)</f>
        <v>ADAPTADOR COM FLANGE E ANEL DE VEDAÇÃO, PVC, SOLDÁVEL, DN 25 MM X 3/4 , INSTALADO EM RESERVAÇÃO DE ÁGUA DE EDIFICAÇÃO QUE POSSUA RESERVATÓRIO DE FIBRA/FIBROCIMENTO FORNECIMENTO E INSTALAÇÃO. AF_06/2016</v>
      </c>
      <c r="C1782" s="1924"/>
      <c r="D1782" s="1924"/>
      <c r="E1782" s="1924"/>
      <c r="F1782" s="1924"/>
      <c r="G1782" s="1924"/>
      <c r="H1782" s="1925"/>
      <c r="I1782" s="1758" t="str">
        <f>VLOOKUP(A1782,'PLANILHA SEM DESON'!$B$17:$D$1699,3,FALSE)</f>
        <v xml:space="preserve">un </v>
      </c>
      <c r="J1782" s="1759">
        <f>I1790</f>
        <v>25.370000000000005</v>
      </c>
    </row>
    <row r="1783" spans="1:10" ht="24">
      <c r="A1783" s="1761" t="s">
        <v>2401</v>
      </c>
      <c r="B1783" s="1762" t="s">
        <v>2402</v>
      </c>
      <c r="C1783" s="1763" t="s">
        <v>2399</v>
      </c>
      <c r="D1783" s="1764" t="s">
        <v>284</v>
      </c>
      <c r="E1783" s="1763" t="s">
        <v>193</v>
      </c>
      <c r="F1783" s="1765" t="s">
        <v>2403</v>
      </c>
      <c r="G1783" s="1763" t="s">
        <v>2404</v>
      </c>
      <c r="H1783" s="1766" t="s">
        <v>2405</v>
      </c>
      <c r="I1783" s="1767" t="s">
        <v>2406</v>
      </c>
      <c r="J1783" s="1768"/>
    </row>
    <row r="1784" spans="1:10" ht="24">
      <c r="A1784" s="1770" t="s">
        <v>2407</v>
      </c>
      <c r="B1784" s="1771" t="s">
        <v>2410</v>
      </c>
      <c r="C1784" s="1771">
        <v>96</v>
      </c>
      <c r="D1784" s="1772" t="s">
        <v>2674</v>
      </c>
      <c r="E1784" s="1773" t="s">
        <v>2432</v>
      </c>
      <c r="F1784" s="1780">
        <v>1</v>
      </c>
      <c r="G1784" s="1774">
        <v>17.27</v>
      </c>
      <c r="H1784" s="1775">
        <f t="shared" ref="H1784:H1789" si="251">IF(E1784="H",G1784,TRUNC(G1784*(1-$K$7),2))</f>
        <v>17.16</v>
      </c>
      <c r="I1784" s="1776">
        <f t="shared" ref="I1784:I1789" si="252">TRUNC(H1784*F1784,2)</f>
        <v>17.16</v>
      </c>
      <c r="J1784" s="1768"/>
    </row>
    <row r="1785" spans="1:10">
      <c r="A1785" s="1770" t="s">
        <v>2407</v>
      </c>
      <c r="B1785" s="1771" t="s">
        <v>2410</v>
      </c>
      <c r="C1785" s="1771">
        <v>20080</v>
      </c>
      <c r="D1785" s="1772" t="s">
        <v>2536</v>
      </c>
      <c r="E1785" s="1773" t="s">
        <v>2432</v>
      </c>
      <c r="F1785" s="1780">
        <v>4.5999999999999999E-2</v>
      </c>
      <c r="G1785" s="1774">
        <v>25.09</v>
      </c>
      <c r="H1785" s="1775">
        <f t="shared" si="251"/>
        <v>24.93</v>
      </c>
      <c r="I1785" s="1776">
        <f t="shared" si="252"/>
        <v>1.1399999999999999</v>
      </c>
      <c r="J1785" s="1768"/>
    </row>
    <row r="1786" spans="1:10" ht="24">
      <c r="A1786" s="1770" t="s">
        <v>2407</v>
      </c>
      <c r="B1786" s="1771" t="s">
        <v>2410</v>
      </c>
      <c r="C1786" s="1771">
        <v>20083</v>
      </c>
      <c r="D1786" s="1772" t="s">
        <v>2537</v>
      </c>
      <c r="E1786" s="1773" t="s">
        <v>2432</v>
      </c>
      <c r="F1786" s="1780">
        <v>1.0999999999999999E-2</v>
      </c>
      <c r="G1786" s="1774">
        <v>87.08</v>
      </c>
      <c r="H1786" s="1775">
        <f t="shared" si="251"/>
        <v>86.55</v>
      </c>
      <c r="I1786" s="1776">
        <f t="shared" si="252"/>
        <v>0.95</v>
      </c>
      <c r="J1786" s="1768"/>
    </row>
    <row r="1787" spans="1:10">
      <c r="A1787" s="1770" t="s">
        <v>2407</v>
      </c>
      <c r="B1787" s="1771" t="s">
        <v>2410</v>
      </c>
      <c r="C1787" s="1771">
        <v>38383</v>
      </c>
      <c r="D1787" s="1772" t="s">
        <v>2538</v>
      </c>
      <c r="E1787" s="1773" t="s">
        <v>2432</v>
      </c>
      <c r="F1787" s="1780">
        <v>1.4E-2</v>
      </c>
      <c r="G1787" s="1774">
        <v>2.56</v>
      </c>
      <c r="H1787" s="1775">
        <f t="shared" si="251"/>
        <v>2.54</v>
      </c>
      <c r="I1787" s="1776">
        <f t="shared" si="252"/>
        <v>0.03</v>
      </c>
      <c r="J1787" s="1768"/>
    </row>
    <row r="1788" spans="1:10" ht="24">
      <c r="A1788" s="1770" t="s">
        <v>2407</v>
      </c>
      <c r="B1788" s="1771" t="s">
        <v>7</v>
      </c>
      <c r="C1788" s="1771">
        <v>88248</v>
      </c>
      <c r="D1788" s="1772" t="s">
        <v>101</v>
      </c>
      <c r="E1788" s="1773" t="s">
        <v>387</v>
      </c>
      <c r="F1788" s="1780">
        <v>0.13600000000000001</v>
      </c>
      <c r="G1788" s="1774">
        <v>20.16</v>
      </c>
      <c r="H1788" s="1775">
        <f t="shared" si="251"/>
        <v>20.16</v>
      </c>
      <c r="I1788" s="1776">
        <f t="shared" si="252"/>
        <v>2.74</v>
      </c>
      <c r="J1788" s="1768"/>
    </row>
    <row r="1789" spans="1:10" ht="24">
      <c r="A1789" s="1770" t="s">
        <v>2407</v>
      </c>
      <c r="B1789" s="1771" t="s">
        <v>7</v>
      </c>
      <c r="C1789" s="1771">
        <v>88267</v>
      </c>
      <c r="D1789" s="1772" t="s">
        <v>102</v>
      </c>
      <c r="E1789" s="1773" t="s">
        <v>387</v>
      </c>
      <c r="F1789" s="1780">
        <v>0.13600000000000001</v>
      </c>
      <c r="G1789" s="1774">
        <v>24.64</v>
      </c>
      <c r="H1789" s="1775">
        <f t="shared" si="251"/>
        <v>24.64</v>
      </c>
      <c r="I1789" s="1776">
        <f t="shared" si="252"/>
        <v>3.35</v>
      </c>
      <c r="J1789" s="1768"/>
    </row>
    <row r="1790" spans="1:10">
      <c r="A1790" s="1917" t="s">
        <v>2408</v>
      </c>
      <c r="B1790" s="1918"/>
      <c r="C1790" s="1918"/>
      <c r="D1790" s="1918"/>
      <c r="E1790" s="1918"/>
      <c r="F1790" s="1918"/>
      <c r="G1790" s="1918"/>
      <c r="H1790" s="1919"/>
      <c r="I1790" s="1778">
        <f>SUM(I1784:I1789)</f>
        <v>25.370000000000005</v>
      </c>
      <c r="J1790" s="1768"/>
    </row>
    <row r="1791" spans="1:10">
      <c r="A1791" s="1920"/>
      <c r="B1791" s="1921"/>
      <c r="C1791" s="1921"/>
      <c r="D1791" s="1921"/>
      <c r="E1791" s="1921"/>
      <c r="F1791" s="1921"/>
      <c r="G1791" s="1921"/>
      <c r="H1791" s="1921"/>
      <c r="I1791" s="1922"/>
      <c r="J1791" s="1768"/>
    </row>
    <row r="1792" spans="1:10" ht="34.5" customHeight="1">
      <c r="A1792" s="1757">
        <f>'PLANILHA SEM DESON'!B276</f>
        <v>94706</v>
      </c>
      <c r="B1792" s="1923" t="str">
        <f>VLOOKUP(A1792,'PLANILHA SEM DESON'!$B$17:$D$1699,2,FALSE)</f>
        <v>ADAPTADOR COM FLANGE E ANEL DE VEDAÇÃO, PVC, SOLDÁVEL, DN 50 MM X 1 1/2 , INSTALADO EM RESERVAÇÃO DE ÁGUA DE EDIFICAÇÃO QUE POSSUA RESERVATÓRIO DE FIBRA/FIBROCIMENTO   FORNECIMENTO E INSTALAÇÃO. AF_06/2016</v>
      </c>
      <c r="C1792" s="1924"/>
      <c r="D1792" s="1924"/>
      <c r="E1792" s="1924"/>
      <c r="F1792" s="1924"/>
      <c r="G1792" s="1924"/>
      <c r="H1792" s="1925"/>
      <c r="I1792" s="1758" t="str">
        <f>VLOOKUP(A1792,'PLANILHA SEM DESON'!$B$17:$D$1699,3,FALSE)</f>
        <v xml:space="preserve">un </v>
      </c>
      <c r="J1792" s="1759">
        <f>I1800</f>
        <v>53.980000000000004</v>
      </c>
    </row>
    <row r="1793" spans="1:10" ht="24">
      <c r="A1793" s="1761" t="s">
        <v>2401</v>
      </c>
      <c r="B1793" s="1762" t="s">
        <v>2402</v>
      </c>
      <c r="C1793" s="1763" t="s">
        <v>2399</v>
      </c>
      <c r="D1793" s="1764" t="s">
        <v>284</v>
      </c>
      <c r="E1793" s="1763" t="s">
        <v>193</v>
      </c>
      <c r="F1793" s="1765" t="s">
        <v>2403</v>
      </c>
      <c r="G1793" s="1763" t="s">
        <v>2404</v>
      </c>
      <c r="H1793" s="1766" t="s">
        <v>2405</v>
      </c>
      <c r="I1793" s="1767" t="s">
        <v>2406</v>
      </c>
      <c r="J1793" s="1768"/>
    </row>
    <row r="1794" spans="1:10" ht="24">
      <c r="A1794" s="1770" t="s">
        <v>2407</v>
      </c>
      <c r="B1794" s="1771" t="s">
        <v>2410</v>
      </c>
      <c r="C1794" s="1771">
        <v>99</v>
      </c>
      <c r="D1794" s="1772" t="s">
        <v>2675</v>
      </c>
      <c r="E1794" s="1773" t="s">
        <v>2432</v>
      </c>
      <c r="F1794" s="1780">
        <v>1</v>
      </c>
      <c r="G1794" s="1774">
        <v>36.75</v>
      </c>
      <c r="H1794" s="1775">
        <f t="shared" ref="H1794:H1799" si="253">IF(E1794="H",G1794,TRUNC(G1794*(1-$K$7),2))</f>
        <v>36.520000000000003</v>
      </c>
      <c r="I1794" s="1776">
        <f t="shared" ref="I1794:I1799" si="254">TRUNC(H1794*F1794,2)</f>
        <v>36.520000000000003</v>
      </c>
      <c r="J1794" s="1768"/>
    </row>
    <row r="1795" spans="1:10">
      <c r="A1795" s="1770" t="s">
        <v>2407</v>
      </c>
      <c r="B1795" s="1771" t="s">
        <v>2410</v>
      </c>
      <c r="C1795" s="1771">
        <v>20080</v>
      </c>
      <c r="D1795" s="1772" t="s">
        <v>2536</v>
      </c>
      <c r="E1795" s="1773" t="s">
        <v>2432</v>
      </c>
      <c r="F1795" s="1780">
        <v>0.19400000000000001</v>
      </c>
      <c r="G1795" s="1774">
        <v>25.09</v>
      </c>
      <c r="H1795" s="1775">
        <f t="shared" si="253"/>
        <v>24.93</v>
      </c>
      <c r="I1795" s="1776">
        <f t="shared" si="254"/>
        <v>4.83</v>
      </c>
      <c r="J1795" s="1768"/>
    </row>
    <row r="1796" spans="1:10" ht="24">
      <c r="A1796" s="1770" t="s">
        <v>2407</v>
      </c>
      <c r="B1796" s="1771" t="s">
        <v>2410</v>
      </c>
      <c r="C1796" s="1771">
        <v>20083</v>
      </c>
      <c r="D1796" s="1772" t="s">
        <v>2537</v>
      </c>
      <c r="E1796" s="1773" t="s">
        <v>2432</v>
      </c>
      <c r="F1796" s="1780">
        <v>5.1999999999999998E-2</v>
      </c>
      <c r="G1796" s="1774">
        <v>87.08</v>
      </c>
      <c r="H1796" s="1775">
        <f t="shared" si="253"/>
        <v>86.55</v>
      </c>
      <c r="I1796" s="1776">
        <f t="shared" si="254"/>
        <v>4.5</v>
      </c>
      <c r="J1796" s="1768"/>
    </row>
    <row r="1797" spans="1:10">
      <c r="A1797" s="1770" t="s">
        <v>2407</v>
      </c>
      <c r="B1797" s="1771" t="s">
        <v>2410</v>
      </c>
      <c r="C1797" s="1771">
        <v>38383</v>
      </c>
      <c r="D1797" s="1772" t="s">
        <v>2538</v>
      </c>
      <c r="E1797" s="1773" t="s">
        <v>2432</v>
      </c>
      <c r="F1797" s="1780">
        <v>1.7999999999999999E-2</v>
      </c>
      <c r="G1797" s="1774">
        <v>2.56</v>
      </c>
      <c r="H1797" s="1775">
        <f t="shared" si="253"/>
        <v>2.54</v>
      </c>
      <c r="I1797" s="1776">
        <f t="shared" si="254"/>
        <v>0.04</v>
      </c>
      <c r="J1797" s="1768"/>
    </row>
    <row r="1798" spans="1:10" ht="24">
      <c r="A1798" s="1770" t="s">
        <v>2407</v>
      </c>
      <c r="B1798" s="1771" t="s">
        <v>7</v>
      </c>
      <c r="C1798" s="1771">
        <v>88248</v>
      </c>
      <c r="D1798" s="1772" t="s">
        <v>101</v>
      </c>
      <c r="E1798" s="1773" t="s">
        <v>387</v>
      </c>
      <c r="F1798" s="1780">
        <v>0.18099999999999999</v>
      </c>
      <c r="G1798" s="1774">
        <v>20.16</v>
      </c>
      <c r="H1798" s="1775">
        <f t="shared" si="253"/>
        <v>20.16</v>
      </c>
      <c r="I1798" s="1776">
        <f t="shared" si="254"/>
        <v>3.64</v>
      </c>
      <c r="J1798" s="1768"/>
    </row>
    <row r="1799" spans="1:10" ht="24">
      <c r="A1799" s="1770" t="s">
        <v>2407</v>
      </c>
      <c r="B1799" s="1771" t="s">
        <v>7</v>
      </c>
      <c r="C1799" s="1771">
        <v>88267</v>
      </c>
      <c r="D1799" s="1772" t="s">
        <v>102</v>
      </c>
      <c r="E1799" s="1773" t="s">
        <v>387</v>
      </c>
      <c r="F1799" s="1780">
        <v>0.18099999999999999</v>
      </c>
      <c r="G1799" s="1774">
        <v>24.64</v>
      </c>
      <c r="H1799" s="1775">
        <f t="shared" si="253"/>
        <v>24.64</v>
      </c>
      <c r="I1799" s="1776">
        <f t="shared" si="254"/>
        <v>4.45</v>
      </c>
      <c r="J1799" s="1768"/>
    </row>
    <row r="1800" spans="1:10">
      <c r="A1800" s="1917" t="s">
        <v>2408</v>
      </c>
      <c r="B1800" s="1918"/>
      <c r="C1800" s="1918"/>
      <c r="D1800" s="1918"/>
      <c r="E1800" s="1918"/>
      <c r="F1800" s="1918"/>
      <c r="G1800" s="1918"/>
      <c r="H1800" s="1919"/>
      <c r="I1800" s="1778">
        <f>SUM(I1794:I1799)</f>
        <v>53.980000000000004</v>
      </c>
      <c r="J1800" s="1768"/>
    </row>
    <row r="1801" spans="1:10">
      <c r="A1801" s="1920"/>
      <c r="B1801" s="1921"/>
      <c r="C1801" s="1921"/>
      <c r="D1801" s="1921"/>
      <c r="E1801" s="1921"/>
      <c r="F1801" s="1921"/>
      <c r="G1801" s="1921"/>
      <c r="H1801" s="1921"/>
      <c r="I1801" s="1922"/>
      <c r="J1801" s="1768"/>
    </row>
    <row r="1802" spans="1:10" ht="24.75" customHeight="1">
      <c r="A1802" s="1757">
        <f>'PLANILHA SEM DESON'!B277</f>
        <v>89383</v>
      </c>
      <c r="B1802" s="1923" t="str">
        <f>VLOOKUP(A1802,'PLANILHA SEM DESON'!$B$17:$D$1699,2,FALSE)</f>
        <v>ADAPTADOR CURTO COM BOLSA E ROSCA PARA REGISTRO, PVC, SOLDÁVEL, DN 25MM X 3/4 , INSTALADO EM RAMAL OU SUB-RAMAL DE ÁGUA - FORNECIMENTO E INSTALAÇÃO. AF_06/2022</v>
      </c>
      <c r="C1802" s="1924"/>
      <c r="D1802" s="1924"/>
      <c r="E1802" s="1924"/>
      <c r="F1802" s="1924"/>
      <c r="G1802" s="1924"/>
      <c r="H1802" s="1925"/>
      <c r="I1802" s="1758" t="str">
        <f>VLOOKUP(A1802,'PLANILHA SEM DESON'!$B$17:$D$1699,3,FALSE)</f>
        <v xml:space="preserve">un </v>
      </c>
      <c r="J1802" s="1759">
        <f>I1809</f>
        <v>4.2699999999999996</v>
      </c>
    </row>
    <row r="1803" spans="1:10" ht="24">
      <c r="A1803" s="1761" t="s">
        <v>2401</v>
      </c>
      <c r="B1803" s="1762" t="s">
        <v>2402</v>
      </c>
      <c r="C1803" s="1763" t="s">
        <v>2399</v>
      </c>
      <c r="D1803" s="1764" t="s">
        <v>284</v>
      </c>
      <c r="E1803" s="1763" t="s">
        <v>193</v>
      </c>
      <c r="F1803" s="1765" t="s">
        <v>2403</v>
      </c>
      <c r="G1803" s="1763" t="s">
        <v>2404</v>
      </c>
      <c r="H1803" s="1766" t="s">
        <v>2405</v>
      </c>
      <c r="I1803" s="1767" t="s">
        <v>2406</v>
      </c>
      <c r="J1803" s="1768"/>
    </row>
    <row r="1804" spans="1:10" ht="24">
      <c r="A1804" s="1770" t="s">
        <v>2407</v>
      </c>
      <c r="B1804" s="1771" t="s">
        <v>2410</v>
      </c>
      <c r="C1804" s="1771">
        <v>65</v>
      </c>
      <c r="D1804" s="1772" t="s">
        <v>2676</v>
      </c>
      <c r="E1804" s="1773" t="s">
        <v>2432</v>
      </c>
      <c r="F1804" s="1780">
        <v>1</v>
      </c>
      <c r="G1804" s="1774">
        <v>1.25</v>
      </c>
      <c r="H1804" s="1775">
        <f>IF(E1804="H",G1804,TRUNC(G1804*(1-$K$7),2))</f>
        <v>1.24</v>
      </c>
      <c r="I1804" s="1776">
        <f t="shared" ref="I1804:I1808" si="255">TRUNC(H1804*F1804,2)</f>
        <v>1.24</v>
      </c>
      <c r="J1804" s="1768"/>
    </row>
    <row r="1805" spans="1:10">
      <c r="A1805" s="1770" t="s">
        <v>2407</v>
      </c>
      <c r="B1805" s="1771" t="s">
        <v>2410</v>
      </c>
      <c r="C1805" s="1771">
        <v>122</v>
      </c>
      <c r="D1805" s="1772" t="s">
        <v>2663</v>
      </c>
      <c r="E1805" s="1773" t="s">
        <v>2432</v>
      </c>
      <c r="F1805" s="1780">
        <v>5.8999999999999999E-3</v>
      </c>
      <c r="G1805" s="1774">
        <v>76.86</v>
      </c>
      <c r="H1805" s="1775">
        <f>IF(E1805="H",G1805,TRUNC(G1805*(1-$K$7),2))</f>
        <v>76.39</v>
      </c>
      <c r="I1805" s="1776">
        <f t="shared" si="255"/>
        <v>0.45</v>
      </c>
      <c r="J1805" s="1768"/>
    </row>
    <row r="1806" spans="1:10" ht="24">
      <c r="A1806" s="1770" t="s">
        <v>2407</v>
      </c>
      <c r="B1806" s="1771" t="s">
        <v>2410</v>
      </c>
      <c r="C1806" s="1771">
        <v>20083</v>
      </c>
      <c r="D1806" s="1772" t="s">
        <v>2537</v>
      </c>
      <c r="E1806" s="1773" t="s">
        <v>2432</v>
      </c>
      <c r="F1806" s="1780">
        <v>7.0000000000000001E-3</v>
      </c>
      <c r="G1806" s="1774">
        <v>87.08</v>
      </c>
      <c r="H1806" s="1775">
        <f>IF(E1806="H",G1806,TRUNC(G1806*(1-$K$7),2))</f>
        <v>86.55</v>
      </c>
      <c r="I1806" s="1776">
        <f t="shared" si="255"/>
        <v>0.6</v>
      </c>
      <c r="J1806" s="1768"/>
    </row>
    <row r="1807" spans="1:10">
      <c r="A1807" s="1770" t="s">
        <v>2407</v>
      </c>
      <c r="B1807" s="1771" t="s">
        <v>2410</v>
      </c>
      <c r="C1807" s="1771">
        <v>38383</v>
      </c>
      <c r="D1807" s="1772" t="s">
        <v>2538</v>
      </c>
      <c r="E1807" s="1773" t="s">
        <v>2432</v>
      </c>
      <c r="F1807" s="1780">
        <v>3.15E-2</v>
      </c>
      <c r="G1807" s="1774">
        <v>2.56</v>
      </c>
      <c r="H1807" s="1775">
        <f>IF(E1807="H",G1807,TRUNC(G1807*(1-$K$7),2))</f>
        <v>2.54</v>
      </c>
      <c r="I1807" s="1776">
        <f t="shared" si="255"/>
        <v>0.08</v>
      </c>
      <c r="J1807" s="1768"/>
    </row>
    <row r="1808" spans="1:10" ht="24">
      <c r="A1808" s="1770" t="s">
        <v>2407</v>
      </c>
      <c r="B1808" s="1771" t="s">
        <v>7</v>
      </c>
      <c r="C1808" s="1771">
        <v>88248</v>
      </c>
      <c r="D1808" s="1772" t="s">
        <v>101</v>
      </c>
      <c r="E1808" s="1773" t="s">
        <v>387</v>
      </c>
      <c r="F1808" s="1780">
        <v>9.4399999999999998E-2</v>
      </c>
      <c r="G1808" s="1774">
        <v>20.16</v>
      </c>
      <c r="H1808" s="1775">
        <f>IF(E1808="H",G1808,TRUNC(G1808*(1-$K$7),2))</f>
        <v>20.16</v>
      </c>
      <c r="I1808" s="1776">
        <f t="shared" si="255"/>
        <v>1.9</v>
      </c>
      <c r="J1808" s="1768"/>
    </row>
    <row r="1809" spans="1:10">
      <c r="A1809" s="1917" t="s">
        <v>2408</v>
      </c>
      <c r="B1809" s="1918"/>
      <c r="C1809" s="1918"/>
      <c r="D1809" s="1918"/>
      <c r="E1809" s="1918"/>
      <c r="F1809" s="1918"/>
      <c r="G1809" s="1918"/>
      <c r="H1809" s="1919"/>
      <c r="I1809" s="1778">
        <f>SUM(I1804:I1808)</f>
        <v>4.2699999999999996</v>
      </c>
      <c r="J1809" s="1768"/>
    </row>
    <row r="1810" spans="1:10">
      <c r="A1810" s="1920"/>
      <c r="B1810" s="1921"/>
      <c r="C1810" s="1921"/>
      <c r="D1810" s="1921"/>
      <c r="E1810" s="1921"/>
      <c r="F1810" s="1921"/>
      <c r="G1810" s="1921"/>
      <c r="H1810" s="1921"/>
      <c r="I1810" s="1922"/>
      <c r="J1810" s="1768"/>
    </row>
    <row r="1811" spans="1:10" ht="25.5" customHeight="1">
      <c r="A1811" s="1757" t="str">
        <f>'PLANILHA SEM DESON'!B278</f>
        <v>COMP HIDR 06</v>
      </c>
      <c r="B1811" s="1923" t="str">
        <f>VLOOKUP(A1811,'PLANILHA SEM DESON'!$B$17:$D$1699,2,FALSE)</f>
        <v>ADAPTADOR CURTO COM BOLSA E ROSCA PARA REGISTRO, PVC, SOLDÁVEL, DN 50MM X 1.1/2,FORNECIMENTO E INSTALAÇÃO.</v>
      </c>
      <c r="C1811" s="1924"/>
      <c r="D1811" s="1924"/>
      <c r="E1811" s="1924"/>
      <c r="F1811" s="1924"/>
      <c r="G1811" s="1924"/>
      <c r="H1811" s="1925"/>
      <c r="I1811" s="1758" t="str">
        <f>VLOOKUP(A1811,'PLANILHA SEM DESON'!$B$17:$D$1699,3,FALSE)</f>
        <v xml:space="preserve">un </v>
      </c>
      <c r="J1811" s="1759">
        <f>I1819</f>
        <v>12.760000000000002</v>
      </c>
    </row>
    <row r="1812" spans="1:10" ht="24">
      <c r="A1812" s="1761" t="s">
        <v>2401</v>
      </c>
      <c r="B1812" s="1762" t="s">
        <v>2402</v>
      </c>
      <c r="C1812" s="1763" t="s">
        <v>2399</v>
      </c>
      <c r="D1812" s="1764" t="s">
        <v>284</v>
      </c>
      <c r="E1812" s="1763" t="s">
        <v>193</v>
      </c>
      <c r="F1812" s="1765" t="s">
        <v>2403</v>
      </c>
      <c r="G1812" s="1763" t="s">
        <v>2404</v>
      </c>
      <c r="H1812" s="1766" t="s">
        <v>2405</v>
      </c>
      <c r="I1812" s="1767" t="s">
        <v>2406</v>
      </c>
      <c r="J1812" s="1768"/>
    </row>
    <row r="1813" spans="1:10" ht="24">
      <c r="A1813" s="1770"/>
      <c r="B1813" s="1771"/>
      <c r="C1813" s="1771" t="s">
        <v>430</v>
      </c>
      <c r="D1813" s="1772" t="s">
        <v>101</v>
      </c>
      <c r="E1813" s="1773" t="s">
        <v>57</v>
      </c>
      <c r="F1813" s="1790">
        <v>7.1999999999999995E-2</v>
      </c>
      <c r="G1813" s="1781">
        <v>20.16</v>
      </c>
      <c r="H1813" s="1775">
        <f t="shared" ref="H1813:H1818" si="256">IF(E1813="H",G1813,TRUNC(G1813*(1-$K$7),2))</f>
        <v>20.16</v>
      </c>
      <c r="I1813" s="1776">
        <f t="shared" ref="I1813:I1818" si="257">TRUNC(H1813*F1813,2)</f>
        <v>1.45</v>
      </c>
      <c r="J1813" s="1768"/>
    </row>
    <row r="1814" spans="1:10" ht="24">
      <c r="A1814" s="1770"/>
      <c r="B1814" s="1771"/>
      <c r="C1814" s="1771" t="s">
        <v>431</v>
      </c>
      <c r="D1814" s="1772" t="s">
        <v>102</v>
      </c>
      <c r="E1814" s="1773" t="s">
        <v>57</v>
      </c>
      <c r="F1814" s="1790">
        <v>7.1999999999999995E-2</v>
      </c>
      <c r="G1814" s="1781">
        <v>24.64</v>
      </c>
      <c r="H1814" s="1775">
        <f t="shared" si="256"/>
        <v>24.64</v>
      </c>
      <c r="I1814" s="1776">
        <f t="shared" si="257"/>
        <v>1.77</v>
      </c>
      <c r="J1814" s="1768"/>
    </row>
    <row r="1815" spans="1:10" ht="24">
      <c r="A1815" s="1770"/>
      <c r="B1815" s="1771"/>
      <c r="C1815" s="1771">
        <v>112</v>
      </c>
      <c r="D1815" s="1772" t="s">
        <v>450</v>
      </c>
      <c r="E1815" s="1773" t="s">
        <v>55</v>
      </c>
      <c r="F1815" s="1790">
        <v>1</v>
      </c>
      <c r="G1815" s="1779">
        <v>6.25</v>
      </c>
      <c r="H1815" s="1775">
        <f t="shared" si="256"/>
        <v>6.21</v>
      </c>
      <c r="I1815" s="1776">
        <f t="shared" si="257"/>
        <v>6.21</v>
      </c>
      <c r="J1815" s="1768"/>
    </row>
    <row r="1816" spans="1:10">
      <c r="A1816" s="1770"/>
      <c r="B1816" s="1771"/>
      <c r="C1816" s="1771">
        <v>122</v>
      </c>
      <c r="D1816" s="1772" t="s">
        <v>125</v>
      </c>
      <c r="E1816" s="1773" t="s">
        <v>55</v>
      </c>
      <c r="F1816" s="1790">
        <v>1.7999999999999999E-2</v>
      </c>
      <c r="G1816" s="1779">
        <v>76.86</v>
      </c>
      <c r="H1816" s="1775">
        <f t="shared" si="256"/>
        <v>76.39</v>
      </c>
      <c r="I1816" s="1776">
        <f t="shared" si="257"/>
        <v>1.37</v>
      </c>
      <c r="J1816" s="1768"/>
    </row>
    <row r="1817" spans="1:10" ht="24">
      <c r="A1817" s="1770"/>
      <c r="B1817" s="1771"/>
      <c r="C1817" s="1771">
        <v>20083</v>
      </c>
      <c r="D1817" s="1772" t="s">
        <v>126</v>
      </c>
      <c r="E1817" s="1773" t="s">
        <v>55</v>
      </c>
      <c r="F1817" s="1790">
        <v>2.1999999999999999E-2</v>
      </c>
      <c r="G1817" s="1779">
        <v>87.08</v>
      </c>
      <c r="H1817" s="1775">
        <f t="shared" si="256"/>
        <v>86.55</v>
      </c>
      <c r="I1817" s="1776">
        <f t="shared" si="257"/>
        <v>1.9</v>
      </c>
      <c r="J1817" s="1768"/>
    </row>
    <row r="1818" spans="1:10">
      <c r="A1818" s="1770"/>
      <c r="B1818" s="1771"/>
      <c r="C1818" s="1771">
        <v>38383</v>
      </c>
      <c r="D1818" s="1772" t="s">
        <v>162</v>
      </c>
      <c r="E1818" s="1773" t="s">
        <v>55</v>
      </c>
      <c r="F1818" s="1790">
        <v>2.4E-2</v>
      </c>
      <c r="G1818" s="1781">
        <v>2.5299999999999998</v>
      </c>
      <c r="H1818" s="1775">
        <f t="shared" si="256"/>
        <v>2.5099999999999998</v>
      </c>
      <c r="I1818" s="1776">
        <f t="shared" si="257"/>
        <v>0.06</v>
      </c>
      <c r="J1818" s="1768"/>
    </row>
    <row r="1819" spans="1:10">
      <c r="A1819" s="1917" t="s">
        <v>2408</v>
      </c>
      <c r="B1819" s="1918"/>
      <c r="C1819" s="1918"/>
      <c r="D1819" s="1918"/>
      <c r="E1819" s="1918"/>
      <c r="F1819" s="1918"/>
      <c r="G1819" s="1918"/>
      <c r="H1819" s="1919"/>
      <c r="I1819" s="1778">
        <f>SUM(I1813:I1818)</f>
        <v>12.760000000000002</v>
      </c>
      <c r="J1819" s="1768"/>
    </row>
    <row r="1820" spans="1:10">
      <c r="A1820" s="1920"/>
      <c r="B1820" s="1921"/>
      <c r="C1820" s="1921"/>
      <c r="D1820" s="1921"/>
      <c r="E1820" s="1921"/>
      <c r="F1820" s="1921"/>
      <c r="G1820" s="1921"/>
      <c r="H1820" s="1921"/>
      <c r="I1820" s="1922"/>
      <c r="J1820" s="1768"/>
    </row>
    <row r="1821" spans="1:10" ht="27" customHeight="1">
      <c r="A1821" s="1757" t="str">
        <f>'PLANILHA SEM DESON'!B279</f>
        <v>COMP HIDR 07</v>
      </c>
      <c r="B1821" s="1923" t="str">
        <f>VLOOKUP(A1821,'PLANILHA SEM DESON'!$B$17:$D$1699,2,FALSE)</f>
        <v xml:space="preserve">BUCHA DE REDUCAO DE PVC, SOLDAVEL, LONGA, COM 50 X 25 MM, PARA AGUA FRIA PREDIAL, FORNECIMENTO E INSTALAÇÃO. </v>
      </c>
      <c r="C1821" s="1924"/>
      <c r="D1821" s="1924"/>
      <c r="E1821" s="1924"/>
      <c r="F1821" s="1924"/>
      <c r="G1821" s="1924"/>
      <c r="H1821" s="1925"/>
      <c r="I1821" s="1758" t="str">
        <f>VLOOKUP(A1821,'PLANILHA SEM DESON'!$B$17:$D$1699,3,FALSE)</f>
        <v xml:space="preserve">un </v>
      </c>
      <c r="J1821" s="1759">
        <f>I1828</f>
        <v>11.5</v>
      </c>
    </row>
    <row r="1822" spans="1:10" ht="24">
      <c r="A1822" s="1761" t="s">
        <v>2401</v>
      </c>
      <c r="B1822" s="1762" t="s">
        <v>2402</v>
      </c>
      <c r="C1822" s="1763" t="s">
        <v>2399</v>
      </c>
      <c r="D1822" s="1764" t="s">
        <v>284</v>
      </c>
      <c r="E1822" s="1763" t="s">
        <v>193</v>
      </c>
      <c r="F1822" s="1765" t="s">
        <v>2403</v>
      </c>
      <c r="G1822" s="1763" t="s">
        <v>2404</v>
      </c>
      <c r="H1822" s="1766" t="s">
        <v>2405</v>
      </c>
      <c r="I1822" s="1767" t="s">
        <v>2406</v>
      </c>
      <c r="J1822" s="1768"/>
    </row>
    <row r="1823" spans="1:10" ht="24">
      <c r="A1823" s="1770"/>
      <c r="B1823" s="1771"/>
      <c r="C1823" s="1771" t="s">
        <v>430</v>
      </c>
      <c r="D1823" s="1772" t="s">
        <v>101</v>
      </c>
      <c r="E1823" s="1773" t="s">
        <v>57</v>
      </c>
      <c r="F1823" s="1790">
        <v>4.4999999999999998E-2</v>
      </c>
      <c r="G1823" s="1781">
        <v>20.16</v>
      </c>
      <c r="H1823" s="1775">
        <f>IF(E1823="H",G1823,TRUNC(G1823*(1-$K$7),2))</f>
        <v>20.16</v>
      </c>
      <c r="I1823" s="1776">
        <f t="shared" ref="I1823:I1827" si="258">TRUNC(H1823*F1823,2)</f>
        <v>0.9</v>
      </c>
      <c r="J1823" s="1768"/>
    </row>
    <row r="1824" spans="1:10" ht="24">
      <c r="A1824" s="1770"/>
      <c r="B1824" s="1771"/>
      <c r="C1824" s="1771" t="s">
        <v>431</v>
      </c>
      <c r="D1824" s="1772" t="s">
        <v>102</v>
      </c>
      <c r="E1824" s="1773" t="s">
        <v>57</v>
      </c>
      <c r="F1824" s="1790">
        <v>4.4999999999999998E-2</v>
      </c>
      <c r="G1824" s="1781">
        <v>24.64</v>
      </c>
      <c r="H1824" s="1775">
        <f>IF(E1824="H",G1824,TRUNC(G1824*(1-$K$7),2))</f>
        <v>24.64</v>
      </c>
      <c r="I1824" s="1776">
        <f t="shared" si="258"/>
        <v>1.1000000000000001</v>
      </c>
      <c r="J1824" s="1768"/>
    </row>
    <row r="1825" spans="1:10" ht="24">
      <c r="A1825" s="1770"/>
      <c r="B1825" s="1771"/>
      <c r="C1825" s="1771">
        <v>20085</v>
      </c>
      <c r="D1825" s="1772" t="s">
        <v>1740</v>
      </c>
      <c r="E1825" s="1773" t="s">
        <v>55</v>
      </c>
      <c r="F1825" s="1790">
        <v>1</v>
      </c>
      <c r="G1825" s="1779">
        <v>2.59</v>
      </c>
      <c r="H1825" s="1775">
        <f>IF(E1825="H",G1825,TRUNC(G1825*(1-$K$7),2))</f>
        <v>2.57</v>
      </c>
      <c r="I1825" s="1776">
        <f t="shared" si="258"/>
        <v>2.57</v>
      </c>
      <c r="J1825" s="1768"/>
    </row>
    <row r="1826" spans="1:10" ht="36">
      <c r="A1826" s="1770"/>
      <c r="B1826" s="1771"/>
      <c r="C1826" s="1771">
        <v>20078</v>
      </c>
      <c r="D1826" s="1772" t="s">
        <v>1739</v>
      </c>
      <c r="E1826" s="1773" t="s">
        <v>55</v>
      </c>
      <c r="F1826" s="1790">
        <v>0.02</v>
      </c>
      <c r="G1826" s="1779">
        <v>31.72</v>
      </c>
      <c r="H1826" s="1775">
        <f>IF(E1826="H",G1826,TRUNC(G1826*(1-$K$7),2))</f>
        <v>31.52</v>
      </c>
      <c r="I1826" s="1776">
        <f t="shared" si="258"/>
        <v>0.63</v>
      </c>
      <c r="J1826" s="1768"/>
    </row>
    <row r="1827" spans="1:10" ht="24">
      <c r="A1827" s="1770"/>
      <c r="B1827" s="1771"/>
      <c r="C1827" s="1771">
        <v>813</v>
      </c>
      <c r="D1827" s="1772" t="s">
        <v>1742</v>
      </c>
      <c r="E1827" s="1773" t="s">
        <v>55</v>
      </c>
      <c r="F1827" s="1790">
        <v>1</v>
      </c>
      <c r="G1827" s="1781">
        <v>6.34</v>
      </c>
      <c r="H1827" s="1775">
        <f>IF(E1827="H",G1827,TRUNC(G1827*(1-$K$7),2))</f>
        <v>6.3</v>
      </c>
      <c r="I1827" s="1776">
        <f t="shared" si="258"/>
        <v>6.3</v>
      </c>
      <c r="J1827" s="1768"/>
    </row>
    <row r="1828" spans="1:10">
      <c r="A1828" s="1917" t="s">
        <v>2408</v>
      </c>
      <c r="B1828" s="1918"/>
      <c r="C1828" s="1918"/>
      <c r="D1828" s="1918"/>
      <c r="E1828" s="1918"/>
      <c r="F1828" s="1918"/>
      <c r="G1828" s="1918"/>
      <c r="H1828" s="1919"/>
      <c r="I1828" s="1778">
        <f>SUM(I1823:I1827)</f>
        <v>11.5</v>
      </c>
      <c r="J1828" s="1768"/>
    </row>
    <row r="1829" spans="1:10">
      <c r="A1829" s="1920"/>
      <c r="B1829" s="1921"/>
      <c r="C1829" s="1921"/>
      <c r="D1829" s="1921"/>
      <c r="E1829" s="1921"/>
      <c r="F1829" s="1921"/>
      <c r="G1829" s="1921"/>
      <c r="H1829" s="1921"/>
      <c r="I1829" s="1922"/>
      <c r="J1829" s="1768"/>
    </row>
    <row r="1830" spans="1:10" ht="25.5" customHeight="1">
      <c r="A1830" s="1757">
        <f>'PLANILHA SEM DESON'!B280</f>
        <v>89395</v>
      </c>
      <c r="B1830" s="1923" t="str">
        <f>VLOOKUP(A1830,'PLANILHA SEM DESON'!$B$17:$D$1699,2,FALSE)</f>
        <v>TE, PVC, SOLDÁVEL, DN 25MM, INSTALADO EM RAMAL OU SUB-RAMAL DE ÁGUA - FORNECIMENTO E INSTALAÇÃO. AF_06/2022</v>
      </c>
      <c r="C1830" s="1924"/>
      <c r="D1830" s="1924"/>
      <c r="E1830" s="1924"/>
      <c r="F1830" s="1924"/>
      <c r="G1830" s="1924"/>
      <c r="H1830" s="1925"/>
      <c r="I1830" s="1758" t="str">
        <f>VLOOKUP(A1830,'PLANILHA SEM DESON'!$B$17:$D$1699,3,FALSE)</f>
        <v xml:space="preserve">un </v>
      </c>
      <c r="J1830" s="1759">
        <f>I1838</f>
        <v>12.690000000000001</v>
      </c>
    </row>
    <row r="1831" spans="1:10" ht="24">
      <c r="A1831" s="1761" t="s">
        <v>2401</v>
      </c>
      <c r="B1831" s="1762" t="s">
        <v>2402</v>
      </c>
      <c r="C1831" s="1763" t="s">
        <v>2399</v>
      </c>
      <c r="D1831" s="1764" t="s">
        <v>284</v>
      </c>
      <c r="E1831" s="1763" t="s">
        <v>193</v>
      </c>
      <c r="F1831" s="1765" t="s">
        <v>2403</v>
      </c>
      <c r="G1831" s="1763" t="s">
        <v>2404</v>
      </c>
      <c r="H1831" s="1766" t="s">
        <v>2405</v>
      </c>
      <c r="I1831" s="1767" t="s">
        <v>2406</v>
      </c>
      <c r="J1831" s="1768"/>
    </row>
    <row r="1832" spans="1:10">
      <c r="A1832" s="1770" t="s">
        <v>2407</v>
      </c>
      <c r="B1832" s="1771" t="s">
        <v>2410</v>
      </c>
      <c r="C1832" s="1771">
        <v>122</v>
      </c>
      <c r="D1832" s="1772" t="s">
        <v>2663</v>
      </c>
      <c r="E1832" s="1773" t="s">
        <v>2432</v>
      </c>
      <c r="F1832" s="1780">
        <v>1.06E-2</v>
      </c>
      <c r="G1832" s="1774">
        <v>76.86</v>
      </c>
      <c r="H1832" s="1775">
        <f t="shared" ref="H1832:H1837" si="259">IF(E1832="H",G1832,TRUNC(G1832*(1-$K$7),2))</f>
        <v>76.39</v>
      </c>
      <c r="I1832" s="1776">
        <f t="shared" ref="I1832:I1837" si="260">TRUNC(H1832*F1832,2)</f>
        <v>0.8</v>
      </c>
      <c r="J1832" s="1768"/>
    </row>
    <row r="1833" spans="1:10" ht="24">
      <c r="A1833" s="1770" t="s">
        <v>2407</v>
      </c>
      <c r="B1833" s="1771" t="s">
        <v>2410</v>
      </c>
      <c r="C1833" s="1771">
        <v>7139</v>
      </c>
      <c r="D1833" s="1772" t="s">
        <v>2677</v>
      </c>
      <c r="E1833" s="1773" t="s">
        <v>2432</v>
      </c>
      <c r="F1833" s="1780">
        <v>1</v>
      </c>
      <c r="G1833" s="1774">
        <v>1.69</v>
      </c>
      <c r="H1833" s="1775">
        <f t="shared" si="259"/>
        <v>1.67</v>
      </c>
      <c r="I1833" s="1776">
        <f t="shared" si="260"/>
        <v>1.67</v>
      </c>
      <c r="J1833" s="1768"/>
    </row>
    <row r="1834" spans="1:10" ht="24">
      <c r="A1834" s="1770" t="s">
        <v>2407</v>
      </c>
      <c r="B1834" s="1771" t="s">
        <v>2410</v>
      </c>
      <c r="C1834" s="1771">
        <v>20083</v>
      </c>
      <c r="D1834" s="1772" t="s">
        <v>2537</v>
      </c>
      <c r="E1834" s="1773" t="s">
        <v>2432</v>
      </c>
      <c r="F1834" s="1780">
        <v>1.2E-2</v>
      </c>
      <c r="G1834" s="1774">
        <v>87.08</v>
      </c>
      <c r="H1834" s="1775">
        <f t="shared" si="259"/>
        <v>86.55</v>
      </c>
      <c r="I1834" s="1776">
        <f t="shared" si="260"/>
        <v>1.03</v>
      </c>
      <c r="J1834" s="1768"/>
    </row>
    <row r="1835" spans="1:10">
      <c r="A1835" s="1770" t="s">
        <v>2407</v>
      </c>
      <c r="B1835" s="1771" t="s">
        <v>2410</v>
      </c>
      <c r="C1835" s="1771">
        <v>38383</v>
      </c>
      <c r="D1835" s="1772" t="s">
        <v>2538</v>
      </c>
      <c r="E1835" s="1773" t="s">
        <v>2432</v>
      </c>
      <c r="F1835" s="1780">
        <v>5.0700000000000002E-2</v>
      </c>
      <c r="G1835" s="1774">
        <v>2.56</v>
      </c>
      <c r="H1835" s="1775">
        <f t="shared" si="259"/>
        <v>2.54</v>
      </c>
      <c r="I1835" s="1776">
        <f t="shared" si="260"/>
        <v>0.12</v>
      </c>
      <c r="J1835" s="1768"/>
    </row>
    <row r="1836" spans="1:10" ht="24">
      <c r="A1836" s="1770" t="s">
        <v>2407</v>
      </c>
      <c r="B1836" s="1771" t="s">
        <v>7</v>
      </c>
      <c r="C1836" s="1771">
        <v>88248</v>
      </c>
      <c r="D1836" s="1772" t="s">
        <v>101</v>
      </c>
      <c r="E1836" s="1773" t="s">
        <v>387</v>
      </c>
      <c r="F1836" s="1780">
        <v>0.2026</v>
      </c>
      <c r="G1836" s="1774">
        <v>20.16</v>
      </c>
      <c r="H1836" s="1775">
        <f t="shared" si="259"/>
        <v>20.16</v>
      </c>
      <c r="I1836" s="1776">
        <f t="shared" si="260"/>
        <v>4.08</v>
      </c>
      <c r="J1836" s="1768"/>
    </row>
    <row r="1837" spans="1:10" ht="24">
      <c r="A1837" s="1770" t="s">
        <v>2407</v>
      </c>
      <c r="B1837" s="1771" t="s">
        <v>7</v>
      </c>
      <c r="C1837" s="1771">
        <v>88267</v>
      </c>
      <c r="D1837" s="1772" t="s">
        <v>102</v>
      </c>
      <c r="E1837" s="1773" t="s">
        <v>387</v>
      </c>
      <c r="F1837" s="1780">
        <v>0.2026</v>
      </c>
      <c r="G1837" s="1774">
        <v>24.64</v>
      </c>
      <c r="H1837" s="1775">
        <f t="shared" si="259"/>
        <v>24.64</v>
      </c>
      <c r="I1837" s="1776">
        <f t="shared" si="260"/>
        <v>4.99</v>
      </c>
      <c r="J1837" s="1768"/>
    </row>
    <row r="1838" spans="1:10">
      <c r="A1838" s="1917" t="s">
        <v>2408</v>
      </c>
      <c r="B1838" s="1918"/>
      <c r="C1838" s="1918"/>
      <c r="D1838" s="1918"/>
      <c r="E1838" s="1918"/>
      <c r="F1838" s="1918"/>
      <c r="G1838" s="1918"/>
      <c r="H1838" s="1919"/>
      <c r="I1838" s="1778">
        <f>SUM(I1832:I1837)</f>
        <v>12.690000000000001</v>
      </c>
      <c r="J1838" s="1768"/>
    </row>
    <row r="1839" spans="1:10">
      <c r="A1839" s="1920"/>
      <c r="B1839" s="1921"/>
      <c r="C1839" s="1921"/>
      <c r="D1839" s="1921"/>
      <c r="E1839" s="1921"/>
      <c r="F1839" s="1921"/>
      <c r="G1839" s="1921"/>
      <c r="H1839" s="1921"/>
      <c r="I1839" s="1922"/>
      <c r="J1839" s="1768"/>
    </row>
    <row r="1840" spans="1:10" ht="24" customHeight="1">
      <c r="A1840" s="1757" t="str">
        <f>'PLANILHA SEM DESON'!B281</f>
        <v>COMP HIDR  08</v>
      </c>
      <c r="B1840" s="1923" t="str">
        <f>VLOOKUP(A1840,'PLANILHA SEM DESON'!$B$17:$D$1699,2,FALSE)</f>
        <v>TÊ DE REDUÇÃO, PVC, SOLDÁVEL, DN 50MM X 25MM, FORNECIMENTO E INSTALAÇÃO.</v>
      </c>
      <c r="C1840" s="1924"/>
      <c r="D1840" s="1924"/>
      <c r="E1840" s="1924"/>
      <c r="F1840" s="1924"/>
      <c r="G1840" s="1924"/>
      <c r="H1840" s="1925"/>
      <c r="I1840" s="1758" t="str">
        <f>VLOOKUP(A1840,'PLANILHA SEM DESON'!$B$17:$D$1699,3,FALSE)</f>
        <v xml:space="preserve">un </v>
      </c>
      <c r="J1840" s="1759">
        <f>I1848</f>
        <v>34.99</v>
      </c>
    </row>
    <row r="1841" spans="1:10" ht="24">
      <c r="A1841" s="1761" t="s">
        <v>2401</v>
      </c>
      <c r="B1841" s="1762" t="s">
        <v>2402</v>
      </c>
      <c r="C1841" s="1763" t="s">
        <v>2399</v>
      </c>
      <c r="D1841" s="1764" t="s">
        <v>284</v>
      </c>
      <c r="E1841" s="1763" t="s">
        <v>193</v>
      </c>
      <c r="F1841" s="1765" t="s">
        <v>2403</v>
      </c>
      <c r="G1841" s="1763" t="s">
        <v>2404</v>
      </c>
      <c r="H1841" s="1766" t="s">
        <v>2405</v>
      </c>
      <c r="I1841" s="1767" t="s">
        <v>2406</v>
      </c>
      <c r="J1841" s="1768"/>
    </row>
    <row r="1842" spans="1:10" ht="24">
      <c r="A1842" s="1770"/>
      <c r="B1842" s="1771"/>
      <c r="C1842" s="1771" t="s">
        <v>430</v>
      </c>
      <c r="D1842" s="1772" t="s">
        <v>101</v>
      </c>
      <c r="E1842" s="1773" t="s">
        <v>57</v>
      </c>
      <c r="F1842" s="1790">
        <v>0.20899999999999999</v>
      </c>
      <c r="G1842" s="1781">
        <v>20.16</v>
      </c>
      <c r="H1842" s="1775">
        <f t="shared" ref="H1842:H1847" si="261">IF(E1842="H",G1842,TRUNC(G1842*(1-$K$7),2))</f>
        <v>20.16</v>
      </c>
      <c r="I1842" s="1776">
        <f t="shared" ref="I1842:I1847" si="262">TRUNC(H1842*F1842,2)</f>
        <v>4.21</v>
      </c>
      <c r="J1842" s="1768"/>
    </row>
    <row r="1843" spans="1:10" ht="24">
      <c r="A1843" s="1770"/>
      <c r="B1843" s="1771"/>
      <c r="C1843" s="1771" t="s">
        <v>431</v>
      </c>
      <c r="D1843" s="1772" t="s">
        <v>102</v>
      </c>
      <c r="E1843" s="1773" t="s">
        <v>57</v>
      </c>
      <c r="F1843" s="1790">
        <v>0.20899999999999999</v>
      </c>
      <c r="G1843" s="1781">
        <v>24.64</v>
      </c>
      <c r="H1843" s="1775">
        <f t="shared" si="261"/>
        <v>24.64</v>
      </c>
      <c r="I1843" s="1776">
        <f t="shared" si="262"/>
        <v>5.14</v>
      </c>
      <c r="J1843" s="1768"/>
    </row>
    <row r="1844" spans="1:10">
      <c r="A1844" s="1770"/>
      <c r="B1844" s="1771"/>
      <c r="C1844" s="1771">
        <v>122</v>
      </c>
      <c r="D1844" s="1772" t="s">
        <v>125</v>
      </c>
      <c r="E1844" s="1773" t="s">
        <v>55</v>
      </c>
      <c r="F1844" s="1790">
        <v>0.06</v>
      </c>
      <c r="G1844" s="1779">
        <v>76.86</v>
      </c>
      <c r="H1844" s="1775">
        <f t="shared" si="261"/>
        <v>76.39</v>
      </c>
      <c r="I1844" s="1776">
        <f t="shared" si="262"/>
        <v>4.58</v>
      </c>
      <c r="J1844" s="1768"/>
    </row>
    <row r="1845" spans="1:10" ht="24">
      <c r="A1845" s="1770"/>
      <c r="B1845" s="1771"/>
      <c r="C1845" s="1771">
        <v>7129</v>
      </c>
      <c r="D1845" s="1772" t="s">
        <v>454</v>
      </c>
      <c r="E1845" s="1773" t="s">
        <v>55</v>
      </c>
      <c r="F1845" s="1790">
        <v>1</v>
      </c>
      <c r="G1845" s="1779">
        <v>14.27</v>
      </c>
      <c r="H1845" s="1775">
        <f t="shared" si="261"/>
        <v>14.18</v>
      </c>
      <c r="I1845" s="1776">
        <f t="shared" si="262"/>
        <v>14.18</v>
      </c>
      <c r="J1845" s="1768"/>
    </row>
    <row r="1846" spans="1:10" ht="24">
      <c r="A1846" s="1770"/>
      <c r="B1846" s="1771"/>
      <c r="C1846" s="1771">
        <v>20083</v>
      </c>
      <c r="D1846" s="1772" t="s">
        <v>126</v>
      </c>
      <c r="E1846" s="1773" t="s">
        <v>55</v>
      </c>
      <c r="F1846" s="1790">
        <v>7.8E-2</v>
      </c>
      <c r="G1846" s="1779">
        <v>87.08</v>
      </c>
      <c r="H1846" s="1775">
        <f t="shared" si="261"/>
        <v>86.55</v>
      </c>
      <c r="I1846" s="1776">
        <f t="shared" si="262"/>
        <v>6.75</v>
      </c>
      <c r="J1846" s="1768"/>
    </row>
    <row r="1847" spans="1:10">
      <c r="A1847" s="1770"/>
      <c r="B1847" s="1771"/>
      <c r="C1847" s="1771">
        <v>38383</v>
      </c>
      <c r="D1847" s="1772" t="s">
        <v>162</v>
      </c>
      <c r="E1847" s="1773" t="s">
        <v>55</v>
      </c>
      <c r="F1847" s="1790">
        <v>5.2999999999999999E-2</v>
      </c>
      <c r="G1847" s="1781">
        <v>2.5299999999999998</v>
      </c>
      <c r="H1847" s="1775">
        <f t="shared" si="261"/>
        <v>2.5099999999999998</v>
      </c>
      <c r="I1847" s="1776">
        <f t="shared" si="262"/>
        <v>0.13</v>
      </c>
      <c r="J1847" s="1768"/>
    </row>
    <row r="1848" spans="1:10">
      <c r="A1848" s="1917" t="s">
        <v>2408</v>
      </c>
      <c r="B1848" s="1918"/>
      <c r="C1848" s="1918"/>
      <c r="D1848" s="1918"/>
      <c r="E1848" s="1918"/>
      <c r="F1848" s="1918"/>
      <c r="G1848" s="1918"/>
      <c r="H1848" s="1919"/>
      <c r="I1848" s="1778">
        <f>SUM(I1842:I1847)</f>
        <v>34.99</v>
      </c>
      <c r="J1848" s="1768"/>
    </row>
    <row r="1849" spans="1:10">
      <c r="A1849" s="1920"/>
      <c r="B1849" s="1921"/>
      <c r="C1849" s="1921"/>
      <c r="D1849" s="1921"/>
      <c r="E1849" s="1921"/>
      <c r="F1849" s="1921"/>
      <c r="G1849" s="1921"/>
      <c r="H1849" s="1921"/>
      <c r="I1849" s="1922"/>
      <c r="J1849" s="1768"/>
    </row>
    <row r="1850" spans="1:10" ht="24.75" customHeight="1">
      <c r="A1850" s="1757" t="str">
        <f>'PLANILHA SEM DESON'!B282</f>
        <v>COMP HIDR 09</v>
      </c>
      <c r="B1850" s="1923" t="str">
        <f>VLOOKUP(A1850,'PLANILHA SEM DESON'!$B$17:$D$1699,2,FALSE)</f>
        <v xml:space="preserve">TÊ, PVC, SOLDÁVEL, DN 50MM, FORNECIMENTO E INSTALAÇÃO. </v>
      </c>
      <c r="C1850" s="1924"/>
      <c r="D1850" s="1924"/>
      <c r="E1850" s="1924"/>
      <c r="F1850" s="1924"/>
      <c r="G1850" s="1924"/>
      <c r="H1850" s="1925"/>
      <c r="I1850" s="1758" t="str">
        <f>VLOOKUP(A1850,'PLANILHA SEM DESON'!$B$17:$D$1699,3,FALSE)</f>
        <v xml:space="preserve">un </v>
      </c>
      <c r="J1850" s="1759">
        <f>I1858</f>
        <v>34.24</v>
      </c>
    </row>
    <row r="1851" spans="1:10" ht="24">
      <c r="A1851" s="1761" t="s">
        <v>2401</v>
      </c>
      <c r="B1851" s="1762" t="s">
        <v>2402</v>
      </c>
      <c r="C1851" s="1763" t="s">
        <v>2399</v>
      </c>
      <c r="D1851" s="1764" t="s">
        <v>284</v>
      </c>
      <c r="E1851" s="1763" t="s">
        <v>193</v>
      </c>
      <c r="F1851" s="1765" t="s">
        <v>2403</v>
      </c>
      <c r="G1851" s="1763" t="s">
        <v>2404</v>
      </c>
      <c r="H1851" s="1766" t="s">
        <v>2405</v>
      </c>
      <c r="I1851" s="1767" t="s">
        <v>2406</v>
      </c>
      <c r="J1851" s="1768"/>
    </row>
    <row r="1852" spans="1:10" ht="24">
      <c r="A1852" s="1770"/>
      <c r="B1852" s="1771"/>
      <c r="C1852" s="1771" t="s">
        <v>430</v>
      </c>
      <c r="D1852" s="1772" t="s">
        <v>101</v>
      </c>
      <c r="E1852" s="1773" t="s">
        <v>57</v>
      </c>
      <c r="F1852" s="1787">
        <v>0.20899999999999999</v>
      </c>
      <c r="G1852" s="1781">
        <v>20.16</v>
      </c>
      <c r="H1852" s="1775">
        <f t="shared" ref="H1852:H1857" si="263">IF(E1852="H",G1852,TRUNC(G1852*(1-$K$7),2))</f>
        <v>20.16</v>
      </c>
      <c r="I1852" s="1776">
        <f t="shared" ref="I1852:I1857" si="264">TRUNC(H1852*F1852,2)</f>
        <v>4.21</v>
      </c>
      <c r="J1852" s="1768"/>
    </row>
    <row r="1853" spans="1:10" ht="24">
      <c r="A1853" s="1770"/>
      <c r="B1853" s="1771"/>
      <c r="C1853" s="1771" t="s">
        <v>431</v>
      </c>
      <c r="D1853" s="1772" t="s">
        <v>102</v>
      </c>
      <c r="E1853" s="1773" t="s">
        <v>57</v>
      </c>
      <c r="F1853" s="1787">
        <v>0.20899999999999999</v>
      </c>
      <c r="G1853" s="1781">
        <v>24.64</v>
      </c>
      <c r="H1853" s="1775">
        <f t="shared" si="263"/>
        <v>24.64</v>
      </c>
      <c r="I1853" s="1776">
        <f t="shared" si="264"/>
        <v>5.14</v>
      </c>
      <c r="J1853" s="1768"/>
    </row>
    <row r="1854" spans="1:10" ht="24">
      <c r="A1854" s="1770"/>
      <c r="B1854" s="1771"/>
      <c r="C1854" s="1771">
        <v>7142</v>
      </c>
      <c r="D1854" s="1772" t="s">
        <v>465</v>
      </c>
      <c r="E1854" s="1773" t="s">
        <v>55</v>
      </c>
      <c r="F1854" s="1790">
        <v>1</v>
      </c>
      <c r="G1854" s="1779">
        <v>13.52</v>
      </c>
      <c r="H1854" s="1775">
        <f t="shared" si="263"/>
        <v>13.43</v>
      </c>
      <c r="I1854" s="1776">
        <f t="shared" si="264"/>
        <v>13.43</v>
      </c>
      <c r="J1854" s="1768"/>
    </row>
    <row r="1855" spans="1:10">
      <c r="A1855" s="1770"/>
      <c r="B1855" s="1771"/>
      <c r="C1855" s="1771">
        <v>122</v>
      </c>
      <c r="D1855" s="1772" t="s">
        <v>125</v>
      </c>
      <c r="E1855" s="1773" t="s">
        <v>55</v>
      </c>
      <c r="F1855" s="1790">
        <v>0.06</v>
      </c>
      <c r="G1855" s="1779">
        <v>76.86</v>
      </c>
      <c r="H1855" s="1775">
        <f t="shared" si="263"/>
        <v>76.39</v>
      </c>
      <c r="I1855" s="1776">
        <f t="shared" si="264"/>
        <v>4.58</v>
      </c>
      <c r="J1855" s="1768"/>
    </row>
    <row r="1856" spans="1:10" ht="24">
      <c r="A1856" s="1770"/>
      <c r="B1856" s="1771"/>
      <c r="C1856" s="1771">
        <v>20083</v>
      </c>
      <c r="D1856" s="1772" t="s">
        <v>126</v>
      </c>
      <c r="E1856" s="1773" t="s">
        <v>55</v>
      </c>
      <c r="F1856" s="1790">
        <v>7.8E-2</v>
      </c>
      <c r="G1856" s="1779">
        <v>87.08</v>
      </c>
      <c r="H1856" s="1775">
        <f t="shared" si="263"/>
        <v>86.55</v>
      </c>
      <c r="I1856" s="1776">
        <f t="shared" si="264"/>
        <v>6.75</v>
      </c>
      <c r="J1856" s="1768"/>
    </row>
    <row r="1857" spans="1:10">
      <c r="A1857" s="1770"/>
      <c r="B1857" s="1771"/>
      <c r="C1857" s="1771">
        <v>38383</v>
      </c>
      <c r="D1857" s="1772" t="s">
        <v>162</v>
      </c>
      <c r="E1857" s="1773" t="s">
        <v>55</v>
      </c>
      <c r="F1857" s="1790">
        <v>5.2999999999999999E-2</v>
      </c>
      <c r="G1857" s="1781">
        <v>2.5299999999999998</v>
      </c>
      <c r="H1857" s="1775">
        <f t="shared" si="263"/>
        <v>2.5099999999999998</v>
      </c>
      <c r="I1857" s="1776">
        <f t="shared" si="264"/>
        <v>0.13</v>
      </c>
      <c r="J1857" s="1768"/>
    </row>
    <row r="1858" spans="1:10">
      <c r="A1858" s="1917" t="s">
        <v>2408</v>
      </c>
      <c r="B1858" s="1918"/>
      <c r="C1858" s="1918"/>
      <c r="D1858" s="1918"/>
      <c r="E1858" s="1918"/>
      <c r="F1858" s="1918"/>
      <c r="G1858" s="1918"/>
      <c r="H1858" s="1919"/>
      <c r="I1858" s="1778">
        <f>SUM(I1852:I1857)</f>
        <v>34.24</v>
      </c>
      <c r="J1858" s="1768"/>
    </row>
    <row r="1859" spans="1:10">
      <c r="A1859" s="1920"/>
      <c r="B1859" s="1921"/>
      <c r="C1859" s="1921"/>
      <c r="D1859" s="1921"/>
      <c r="E1859" s="1921"/>
      <c r="F1859" s="1921"/>
      <c r="G1859" s="1921"/>
      <c r="H1859" s="1921"/>
      <c r="I1859" s="1922"/>
      <c r="J1859" s="1768"/>
    </row>
    <row r="1860" spans="1:10" ht="24" customHeight="1">
      <c r="A1860" s="1757">
        <f>'PLANILHA SEM DESON'!B283</f>
        <v>89366</v>
      </c>
      <c r="B1860" s="1923" t="str">
        <f>VLOOKUP(A1860,'PLANILHA SEM DESON'!$B$17:$D$1699,2,FALSE)</f>
        <v>JOELHO 90 GRAUS COM BUCHA DE LATÃO, PVC, SOLDÁVEL, DN 25MM, X 3/4 INSTALADO EM RAMAL OU SUB-RAMAL DE ÁGUA - FORNECIMENTO E INSTALAÇÃO. AF_06/2022</v>
      </c>
      <c r="C1860" s="1924"/>
      <c r="D1860" s="1924"/>
      <c r="E1860" s="1924"/>
      <c r="F1860" s="1924"/>
      <c r="G1860" s="1924"/>
      <c r="H1860" s="1925"/>
      <c r="I1860" s="1758" t="str">
        <f>VLOOKUP(A1860,'PLANILHA SEM DESON'!$B$17:$D$1699,3,FALSE)</f>
        <v xml:space="preserve">un </v>
      </c>
      <c r="J1860" s="1759">
        <f>I1868</f>
        <v>18.689999999999998</v>
      </c>
    </row>
    <row r="1861" spans="1:10" ht="24">
      <c r="A1861" s="1761" t="s">
        <v>2401</v>
      </c>
      <c r="B1861" s="1762" t="s">
        <v>2402</v>
      </c>
      <c r="C1861" s="1763" t="s">
        <v>2399</v>
      </c>
      <c r="D1861" s="1764" t="s">
        <v>284</v>
      </c>
      <c r="E1861" s="1763" t="s">
        <v>193</v>
      </c>
      <c r="F1861" s="1765" t="s">
        <v>2403</v>
      </c>
      <c r="G1861" s="1763" t="s">
        <v>2404</v>
      </c>
      <c r="H1861" s="1766" t="s">
        <v>2405</v>
      </c>
      <c r="I1861" s="1767" t="s">
        <v>2406</v>
      </c>
      <c r="J1861" s="1768"/>
    </row>
    <row r="1862" spans="1:10">
      <c r="A1862" s="1770" t="s">
        <v>2407</v>
      </c>
      <c r="B1862" s="1771" t="s">
        <v>2410</v>
      </c>
      <c r="C1862" s="1771">
        <v>122</v>
      </c>
      <c r="D1862" s="1772" t="s">
        <v>2663</v>
      </c>
      <c r="E1862" s="1773" t="s">
        <v>2432</v>
      </c>
      <c r="F1862" s="1780">
        <v>5.8999999999999999E-3</v>
      </c>
      <c r="G1862" s="1774">
        <v>76.86</v>
      </c>
      <c r="H1862" s="1775">
        <f t="shared" ref="H1862:H1867" si="265">IF(E1862="H",G1862,TRUNC(G1862*(1-$K$7),2))</f>
        <v>76.39</v>
      </c>
      <c r="I1862" s="1776">
        <f t="shared" ref="I1862:I1867" si="266">TRUNC(H1862*F1862,2)</f>
        <v>0.45</v>
      </c>
      <c r="J1862" s="1768"/>
    </row>
    <row r="1863" spans="1:10" ht="24">
      <c r="A1863" s="1770" t="s">
        <v>2407</v>
      </c>
      <c r="B1863" s="1771" t="s">
        <v>2410</v>
      </c>
      <c r="C1863" s="1771">
        <v>3524</v>
      </c>
      <c r="D1863" s="1772" t="s">
        <v>2678</v>
      </c>
      <c r="E1863" s="1773" t="s">
        <v>2432</v>
      </c>
      <c r="F1863" s="1780">
        <v>1</v>
      </c>
      <c r="G1863" s="1774">
        <v>11.3</v>
      </c>
      <c r="H1863" s="1775">
        <f t="shared" si="265"/>
        <v>11.23</v>
      </c>
      <c r="I1863" s="1776">
        <f t="shared" si="266"/>
        <v>11.23</v>
      </c>
      <c r="J1863" s="1768"/>
    </row>
    <row r="1864" spans="1:10" ht="24">
      <c r="A1864" s="1770" t="s">
        <v>2407</v>
      </c>
      <c r="B1864" s="1771" t="s">
        <v>2410</v>
      </c>
      <c r="C1864" s="1771">
        <v>20083</v>
      </c>
      <c r="D1864" s="1772" t="s">
        <v>2537</v>
      </c>
      <c r="E1864" s="1773" t="s">
        <v>2432</v>
      </c>
      <c r="F1864" s="1780">
        <v>7.0000000000000001E-3</v>
      </c>
      <c r="G1864" s="1774">
        <v>87.08</v>
      </c>
      <c r="H1864" s="1775">
        <f t="shared" si="265"/>
        <v>86.55</v>
      </c>
      <c r="I1864" s="1776">
        <f t="shared" si="266"/>
        <v>0.6</v>
      </c>
      <c r="J1864" s="1768"/>
    </row>
    <row r="1865" spans="1:10">
      <c r="A1865" s="1770" t="s">
        <v>2407</v>
      </c>
      <c r="B1865" s="1771" t="s">
        <v>2410</v>
      </c>
      <c r="C1865" s="1771">
        <v>38383</v>
      </c>
      <c r="D1865" s="1772" t="s">
        <v>2538</v>
      </c>
      <c r="E1865" s="1773" t="s">
        <v>2432</v>
      </c>
      <c r="F1865" s="1780">
        <v>3.3799999999999997E-2</v>
      </c>
      <c r="G1865" s="1774">
        <v>2.56</v>
      </c>
      <c r="H1865" s="1775">
        <f t="shared" si="265"/>
        <v>2.54</v>
      </c>
      <c r="I1865" s="1776">
        <f t="shared" si="266"/>
        <v>0.08</v>
      </c>
      <c r="J1865" s="1768"/>
    </row>
    <row r="1866" spans="1:10" ht="24">
      <c r="A1866" s="1770" t="s">
        <v>2407</v>
      </c>
      <c r="B1866" s="1771" t="s">
        <v>7</v>
      </c>
      <c r="C1866" s="1771">
        <v>88248</v>
      </c>
      <c r="D1866" s="1772" t="s">
        <v>101</v>
      </c>
      <c r="E1866" s="1773" t="s">
        <v>387</v>
      </c>
      <c r="F1866" s="1780">
        <v>0.1416</v>
      </c>
      <c r="G1866" s="1774">
        <v>20.16</v>
      </c>
      <c r="H1866" s="1775">
        <f t="shared" si="265"/>
        <v>20.16</v>
      </c>
      <c r="I1866" s="1776">
        <f t="shared" si="266"/>
        <v>2.85</v>
      </c>
      <c r="J1866" s="1768"/>
    </row>
    <row r="1867" spans="1:10" ht="24">
      <c r="A1867" s="1770" t="s">
        <v>2407</v>
      </c>
      <c r="B1867" s="1771" t="s">
        <v>7</v>
      </c>
      <c r="C1867" s="1771">
        <v>88267</v>
      </c>
      <c r="D1867" s="1772" t="s">
        <v>102</v>
      </c>
      <c r="E1867" s="1773" t="s">
        <v>387</v>
      </c>
      <c r="F1867" s="1780">
        <v>0.1416</v>
      </c>
      <c r="G1867" s="1774">
        <v>24.64</v>
      </c>
      <c r="H1867" s="1775">
        <f t="shared" si="265"/>
        <v>24.64</v>
      </c>
      <c r="I1867" s="1776">
        <f t="shared" si="266"/>
        <v>3.48</v>
      </c>
      <c r="J1867" s="1768"/>
    </row>
    <row r="1868" spans="1:10">
      <c r="A1868" s="1917" t="s">
        <v>2408</v>
      </c>
      <c r="B1868" s="1918"/>
      <c r="C1868" s="1918"/>
      <c r="D1868" s="1918"/>
      <c r="E1868" s="1918"/>
      <c r="F1868" s="1918"/>
      <c r="G1868" s="1918"/>
      <c r="H1868" s="1919"/>
      <c r="I1868" s="1778">
        <f>SUM(I1862:I1867)</f>
        <v>18.689999999999998</v>
      </c>
      <c r="J1868" s="1768"/>
    </row>
    <row r="1869" spans="1:10">
      <c r="A1869" s="1920"/>
      <c r="B1869" s="1921"/>
      <c r="C1869" s="1921"/>
      <c r="D1869" s="1921"/>
      <c r="E1869" s="1921"/>
      <c r="F1869" s="1921"/>
      <c r="G1869" s="1921"/>
      <c r="H1869" s="1921"/>
      <c r="I1869" s="1922"/>
      <c r="J1869" s="1768"/>
    </row>
    <row r="1870" spans="1:10">
      <c r="A1870" s="1757">
        <f>'PLANILHA SEM DESON'!B284</f>
        <v>86884</v>
      </c>
      <c r="B1870" s="1923" t="str">
        <f>VLOOKUP(A1870,'PLANILHA SEM DESON'!$B$17:$D$1699,2,FALSE)</f>
        <v>ENGATE FLEXÍVEL EM PLÁSTICO BRANCO, 1/2 X 30CM - FORNECIMENTO E INSTALAÇÃO. AF_01/2020</v>
      </c>
      <c r="C1870" s="1924"/>
      <c r="D1870" s="1924"/>
      <c r="E1870" s="1924"/>
      <c r="F1870" s="1924"/>
      <c r="G1870" s="1924"/>
      <c r="H1870" s="1925"/>
      <c r="I1870" s="1758" t="str">
        <f>VLOOKUP(A1870,'PLANILHA SEM DESON'!$B$17:$D$1699,3,FALSE)</f>
        <v xml:space="preserve">un </v>
      </c>
      <c r="J1870" s="1759">
        <f>I1876</f>
        <v>12.26</v>
      </c>
    </row>
    <row r="1871" spans="1:10" ht="24">
      <c r="A1871" s="1761" t="s">
        <v>2401</v>
      </c>
      <c r="B1871" s="1762" t="s">
        <v>2402</v>
      </c>
      <c r="C1871" s="1763" t="s">
        <v>2399</v>
      </c>
      <c r="D1871" s="1764" t="s">
        <v>284</v>
      </c>
      <c r="E1871" s="1763" t="s">
        <v>193</v>
      </c>
      <c r="F1871" s="1765" t="s">
        <v>2403</v>
      </c>
      <c r="G1871" s="1763" t="s">
        <v>2404</v>
      </c>
      <c r="H1871" s="1766" t="s">
        <v>2405</v>
      </c>
      <c r="I1871" s="1767" t="s">
        <v>2406</v>
      </c>
      <c r="J1871" s="1768"/>
    </row>
    <row r="1872" spans="1:10">
      <c r="A1872" s="1770" t="s">
        <v>2407</v>
      </c>
      <c r="B1872" s="1771" t="s">
        <v>2410</v>
      </c>
      <c r="C1872" s="1771">
        <v>3146</v>
      </c>
      <c r="D1872" s="1772" t="s">
        <v>2679</v>
      </c>
      <c r="E1872" s="1773" t="s">
        <v>2432</v>
      </c>
      <c r="F1872" s="1780">
        <v>2.1000000000000001E-2</v>
      </c>
      <c r="G1872" s="1774">
        <v>4.88</v>
      </c>
      <c r="H1872" s="1775">
        <f>IF(E1872="H",G1872,TRUNC(G1872*(1-$K$7),2))</f>
        <v>4.8499999999999996</v>
      </c>
      <c r="I1872" s="1776">
        <f t="shared" ref="I1872:I1875" si="267">TRUNC(H1872*F1872,2)</f>
        <v>0.1</v>
      </c>
      <c r="J1872" s="1768"/>
    </row>
    <row r="1873" spans="1:10" ht="24">
      <c r="A1873" s="1770" t="s">
        <v>2407</v>
      </c>
      <c r="B1873" s="1771" t="s">
        <v>2410</v>
      </c>
      <c r="C1873" s="1771">
        <v>6141</v>
      </c>
      <c r="D1873" s="1772" t="s">
        <v>2680</v>
      </c>
      <c r="E1873" s="1773" t="s">
        <v>2432</v>
      </c>
      <c r="F1873" s="1780">
        <v>1</v>
      </c>
      <c r="G1873" s="1774">
        <v>7.53</v>
      </c>
      <c r="H1873" s="1775">
        <f>IF(E1873="H",G1873,TRUNC(G1873*(1-$K$7),2))</f>
        <v>7.48</v>
      </c>
      <c r="I1873" s="1776">
        <f t="shared" si="267"/>
        <v>7.48</v>
      </c>
      <c r="J1873" s="1768"/>
    </row>
    <row r="1874" spans="1:10" ht="24">
      <c r="A1874" s="1770" t="s">
        <v>2407</v>
      </c>
      <c r="B1874" s="1771" t="s">
        <v>7</v>
      </c>
      <c r="C1874" s="1771">
        <v>88267</v>
      </c>
      <c r="D1874" s="1772" t="s">
        <v>102</v>
      </c>
      <c r="E1874" s="1773" t="s">
        <v>387</v>
      </c>
      <c r="F1874" s="1780">
        <v>0.1525</v>
      </c>
      <c r="G1874" s="1774">
        <v>24.64</v>
      </c>
      <c r="H1874" s="1775">
        <f>IF(E1874="H",G1874,TRUNC(G1874*(1-$K$7),2))</f>
        <v>24.64</v>
      </c>
      <c r="I1874" s="1776">
        <f t="shared" si="267"/>
        <v>3.75</v>
      </c>
      <c r="J1874" s="1768"/>
    </row>
    <row r="1875" spans="1:10">
      <c r="A1875" s="1770" t="s">
        <v>2407</v>
      </c>
      <c r="B1875" s="1771" t="s">
        <v>7</v>
      </c>
      <c r="C1875" s="1771">
        <v>88316</v>
      </c>
      <c r="D1875" s="1772" t="s">
        <v>66</v>
      </c>
      <c r="E1875" s="1773" t="s">
        <v>387</v>
      </c>
      <c r="F1875" s="1780">
        <v>4.8099999999999997E-2</v>
      </c>
      <c r="G1875" s="1774">
        <v>19.45</v>
      </c>
      <c r="H1875" s="1775">
        <f>IF(E1875="H",G1875,TRUNC(G1875*(1-$K$7),2))</f>
        <v>19.45</v>
      </c>
      <c r="I1875" s="1776">
        <f t="shared" si="267"/>
        <v>0.93</v>
      </c>
      <c r="J1875" s="1768"/>
    </row>
    <row r="1876" spans="1:10">
      <c r="A1876" s="1917" t="s">
        <v>2408</v>
      </c>
      <c r="B1876" s="1918"/>
      <c r="C1876" s="1918"/>
      <c r="D1876" s="1918"/>
      <c r="E1876" s="1918"/>
      <c r="F1876" s="1918"/>
      <c r="G1876" s="1918"/>
      <c r="H1876" s="1919"/>
      <c r="I1876" s="1778">
        <f>SUM(I1872:I1875)</f>
        <v>12.26</v>
      </c>
      <c r="J1876" s="1768"/>
    </row>
    <row r="1877" spans="1:10">
      <c r="A1877" s="1920"/>
      <c r="B1877" s="1921"/>
      <c r="C1877" s="1921"/>
      <c r="D1877" s="1921"/>
      <c r="E1877" s="1921"/>
      <c r="F1877" s="1921"/>
      <c r="G1877" s="1921"/>
      <c r="H1877" s="1921"/>
      <c r="I1877" s="1922"/>
      <c r="J1877" s="1768"/>
    </row>
    <row r="1878" spans="1:10" ht="24.75" customHeight="1">
      <c r="A1878" s="1757" t="str">
        <f>'PLANILHA SEM DESON'!B285</f>
        <v>COMP HIDR  23</v>
      </c>
      <c r="B1878" s="1923" t="str">
        <f>VLOOKUP(A1878,'PLANILHA SEM DESON'!$B$17:$D$1699,2,FALSE)</f>
        <v>RESERVATÓRIO EM FIBRA DE VIDRO COM TAMPA - CAPACIDADE 2000 LITROS</v>
      </c>
      <c r="C1878" s="1924"/>
      <c r="D1878" s="1924"/>
      <c r="E1878" s="1924"/>
      <c r="F1878" s="1924"/>
      <c r="G1878" s="1924"/>
      <c r="H1878" s="1925"/>
      <c r="I1878" s="1758" t="str">
        <f>VLOOKUP(A1878,'PLANILHA SEM DESON'!$B$17:$D$1699,3,FALSE)</f>
        <v xml:space="preserve">un </v>
      </c>
      <c r="J1878" s="1759">
        <f>I1883</f>
        <v>1494.9099999999999</v>
      </c>
    </row>
    <row r="1879" spans="1:10" ht="24">
      <c r="A1879" s="1761" t="s">
        <v>2401</v>
      </c>
      <c r="B1879" s="1762" t="s">
        <v>2402</v>
      </c>
      <c r="C1879" s="1763" t="s">
        <v>2399</v>
      </c>
      <c r="D1879" s="1764" t="s">
        <v>284</v>
      </c>
      <c r="E1879" s="1763" t="s">
        <v>193</v>
      </c>
      <c r="F1879" s="1765" t="s">
        <v>2403</v>
      </c>
      <c r="G1879" s="1763" t="s">
        <v>2404</v>
      </c>
      <c r="H1879" s="1766" t="s">
        <v>2405</v>
      </c>
      <c r="I1879" s="1767" t="s">
        <v>2406</v>
      </c>
      <c r="J1879" s="1768"/>
    </row>
    <row r="1880" spans="1:10" ht="24">
      <c r="A1880" s="1770"/>
      <c r="B1880" s="1771"/>
      <c r="C1880" s="1771" t="s">
        <v>430</v>
      </c>
      <c r="D1880" s="1772" t="s">
        <v>101</v>
      </c>
      <c r="E1880" s="1773" t="s">
        <v>57</v>
      </c>
      <c r="F1880" s="1787">
        <v>1.5</v>
      </c>
      <c r="G1880" s="1781">
        <v>20.16</v>
      </c>
      <c r="H1880" s="1775">
        <f>IF(E1880="H",G1880,TRUNC(G1880*(1-$K$7),2))</f>
        <v>20.16</v>
      </c>
      <c r="I1880" s="1776">
        <f t="shared" ref="I1880:I1882" si="268">TRUNC(H1880*F1880,2)</f>
        <v>30.24</v>
      </c>
      <c r="J1880" s="1768"/>
    </row>
    <row r="1881" spans="1:10" ht="24">
      <c r="A1881" s="1770"/>
      <c r="B1881" s="1771"/>
      <c r="C1881" s="1771" t="s">
        <v>431</v>
      </c>
      <c r="D1881" s="1772" t="s">
        <v>102</v>
      </c>
      <c r="E1881" s="1773" t="s">
        <v>57</v>
      </c>
      <c r="F1881" s="1787">
        <v>1</v>
      </c>
      <c r="G1881" s="1781">
        <v>24.64</v>
      </c>
      <c r="H1881" s="1775">
        <f>IF(E1881="H",G1881,TRUNC(G1881*(1-$K$7),2))</f>
        <v>24.64</v>
      </c>
      <c r="I1881" s="1776">
        <f t="shared" si="268"/>
        <v>24.64</v>
      </c>
      <c r="J1881" s="1768"/>
    </row>
    <row r="1882" spans="1:10" ht="24">
      <c r="A1882" s="1770"/>
      <c r="B1882" s="1771"/>
      <c r="C1882" s="1771">
        <v>37104</v>
      </c>
      <c r="D1882" s="1772" t="s">
        <v>2380</v>
      </c>
      <c r="E1882" s="1773" t="s">
        <v>55</v>
      </c>
      <c r="F1882" s="1790">
        <v>1</v>
      </c>
      <c r="G1882" s="1779">
        <v>1448.73</v>
      </c>
      <c r="H1882" s="1775">
        <f>IF(E1882="H",G1882,TRUNC(G1882*(1-$K$7),2))</f>
        <v>1440.03</v>
      </c>
      <c r="I1882" s="1776">
        <f t="shared" si="268"/>
        <v>1440.03</v>
      </c>
      <c r="J1882" s="1768"/>
    </row>
    <row r="1883" spans="1:10">
      <c r="A1883" s="1917" t="s">
        <v>2408</v>
      </c>
      <c r="B1883" s="1918"/>
      <c r="C1883" s="1918"/>
      <c r="D1883" s="1918"/>
      <c r="E1883" s="1918"/>
      <c r="F1883" s="1918"/>
      <c r="G1883" s="1918"/>
      <c r="H1883" s="1919"/>
      <c r="I1883" s="1778">
        <f>SUM(I1880:I1882)</f>
        <v>1494.9099999999999</v>
      </c>
      <c r="J1883" s="1768"/>
    </row>
    <row r="1884" spans="1:10">
      <c r="A1884" s="1920"/>
      <c r="B1884" s="1921"/>
      <c r="C1884" s="1921"/>
      <c r="D1884" s="1921"/>
      <c r="E1884" s="1921"/>
      <c r="F1884" s="1921"/>
      <c r="G1884" s="1921"/>
      <c r="H1884" s="1921"/>
      <c r="I1884" s="1922"/>
      <c r="J1884" s="1768"/>
    </row>
    <row r="1885" spans="1:10" ht="24.75" customHeight="1">
      <c r="A1885" s="1757" t="str">
        <f>'PLANILHA SEM DESON'!B286</f>
        <v>COMP HIDR 10</v>
      </c>
      <c r="B1885" s="1923" t="str">
        <f>VLOOKUP(A1885,'PLANILHA SEM DESON'!$B$17:$D$1699,2,FALSE)</f>
        <v>CAIXA DE DESCARGA PLASTICA DE EMBUTIR COMPLETA, COM ESPELHO PLASTICO, BRANCA, CAPACIDADE 6 A 10 L,FORNECIMENTO E INSTALAÇÃO</v>
      </c>
      <c r="C1885" s="1924"/>
      <c r="D1885" s="1924"/>
      <c r="E1885" s="1924"/>
      <c r="F1885" s="1924"/>
      <c r="G1885" s="1924"/>
      <c r="H1885" s="1925"/>
      <c r="I1885" s="1758" t="str">
        <f>VLOOKUP(A1885,'PLANILHA SEM DESON'!$B$17:$D$1699,3,FALSE)</f>
        <v xml:space="preserve">un </v>
      </c>
      <c r="J1885" s="1759">
        <f>I1892</f>
        <v>1273.8300000000002</v>
      </c>
    </row>
    <row r="1886" spans="1:10" ht="24">
      <c r="A1886" s="1761" t="s">
        <v>2401</v>
      </c>
      <c r="B1886" s="1762" t="s">
        <v>2402</v>
      </c>
      <c r="C1886" s="1763" t="s">
        <v>2399</v>
      </c>
      <c r="D1886" s="1764" t="s">
        <v>284</v>
      </c>
      <c r="E1886" s="1763" t="s">
        <v>193</v>
      </c>
      <c r="F1886" s="1765" t="s">
        <v>2403</v>
      </c>
      <c r="G1886" s="1763" t="s">
        <v>2404</v>
      </c>
      <c r="H1886" s="1766" t="s">
        <v>2405</v>
      </c>
      <c r="I1886" s="1767" t="s">
        <v>2406</v>
      </c>
      <c r="J1886" s="1768"/>
    </row>
    <row r="1887" spans="1:10" ht="24">
      <c r="A1887" s="1770"/>
      <c r="B1887" s="1771"/>
      <c r="C1887" s="1771" t="s">
        <v>430</v>
      </c>
      <c r="D1887" s="1772" t="s">
        <v>101</v>
      </c>
      <c r="E1887" s="1773" t="s">
        <v>57</v>
      </c>
      <c r="F1887" s="1790">
        <v>0.5</v>
      </c>
      <c r="G1887" s="1781">
        <v>20.16</v>
      </c>
      <c r="H1887" s="1775">
        <f>IF(E1887="H",G1887,TRUNC(G1887*(1-$K$7),2))</f>
        <v>20.16</v>
      </c>
      <c r="I1887" s="1776">
        <f t="shared" ref="I1887:I1891" si="269">TRUNC(H1887*F1887,2)</f>
        <v>10.08</v>
      </c>
      <c r="J1887" s="1768"/>
    </row>
    <row r="1888" spans="1:10" ht="24">
      <c r="A1888" s="1770"/>
      <c r="B1888" s="1771"/>
      <c r="C1888" s="1771" t="s">
        <v>431</v>
      </c>
      <c r="D1888" s="1772" t="s">
        <v>102</v>
      </c>
      <c r="E1888" s="1773" t="s">
        <v>57</v>
      </c>
      <c r="F1888" s="1790">
        <v>0.5</v>
      </c>
      <c r="G1888" s="1781">
        <v>24.64</v>
      </c>
      <c r="H1888" s="1775">
        <f>IF(E1888="H",G1888,TRUNC(G1888*(1-$K$7),2))</f>
        <v>24.64</v>
      </c>
      <c r="I1888" s="1776">
        <f t="shared" si="269"/>
        <v>12.32</v>
      </c>
      <c r="J1888" s="1768"/>
    </row>
    <row r="1889" spans="1:10">
      <c r="A1889" s="1770"/>
      <c r="B1889" s="1771"/>
      <c r="C1889" s="1771">
        <v>88309</v>
      </c>
      <c r="D1889" s="1772" t="s">
        <v>103</v>
      </c>
      <c r="E1889" s="1773" t="s">
        <v>57</v>
      </c>
      <c r="F1889" s="1790">
        <v>1</v>
      </c>
      <c r="G1889" s="1779">
        <v>24.59</v>
      </c>
      <c r="H1889" s="1775">
        <f>IF(E1889="H",G1889,TRUNC(G1889*(1-$K$7),2))</f>
        <v>24.59</v>
      </c>
      <c r="I1889" s="1776">
        <f t="shared" si="269"/>
        <v>24.59</v>
      </c>
      <c r="J1889" s="1768"/>
    </row>
    <row r="1890" spans="1:10">
      <c r="A1890" s="1770"/>
      <c r="B1890" s="1771"/>
      <c r="C1890" s="1771">
        <v>88316</v>
      </c>
      <c r="D1890" s="1772" t="s">
        <v>66</v>
      </c>
      <c r="E1890" s="1773" t="s">
        <v>57</v>
      </c>
      <c r="F1890" s="1790">
        <v>1</v>
      </c>
      <c r="G1890" s="1779">
        <v>19.45</v>
      </c>
      <c r="H1890" s="1775">
        <f>IF(E1890="H",G1890,TRUNC(G1890*(1-$K$7),2))</f>
        <v>19.45</v>
      </c>
      <c r="I1890" s="1776">
        <f t="shared" si="269"/>
        <v>19.45</v>
      </c>
      <c r="J1890" s="1768"/>
    </row>
    <row r="1891" spans="1:10" ht="36">
      <c r="A1891" s="1770"/>
      <c r="B1891" s="1771"/>
      <c r="C1891" s="1771">
        <v>11694</v>
      </c>
      <c r="D1891" s="1772" t="s">
        <v>1743</v>
      </c>
      <c r="E1891" s="1773" t="s">
        <v>55</v>
      </c>
      <c r="F1891" s="1790">
        <v>1</v>
      </c>
      <c r="G1891" s="1779">
        <v>1214.68</v>
      </c>
      <c r="H1891" s="1775">
        <f>IF(E1891="H",G1891,TRUNC(G1891*(1-$K$7),2))</f>
        <v>1207.3900000000001</v>
      </c>
      <c r="I1891" s="1776">
        <f t="shared" si="269"/>
        <v>1207.3900000000001</v>
      </c>
      <c r="J1891" s="1768"/>
    </row>
    <row r="1892" spans="1:10">
      <c r="A1892" s="1917" t="s">
        <v>2408</v>
      </c>
      <c r="B1892" s="1918"/>
      <c r="C1892" s="1918"/>
      <c r="D1892" s="1918"/>
      <c r="E1892" s="1918"/>
      <c r="F1892" s="1918"/>
      <c r="G1892" s="1918"/>
      <c r="H1892" s="1919"/>
      <c r="I1892" s="1778">
        <f>SUM(I1887:I1891)</f>
        <v>1273.8300000000002</v>
      </c>
      <c r="J1892" s="1768"/>
    </row>
    <row r="1893" spans="1:10">
      <c r="A1893" s="1920"/>
      <c r="B1893" s="1921"/>
      <c r="C1893" s="1921"/>
      <c r="D1893" s="1921"/>
      <c r="E1893" s="1921"/>
      <c r="F1893" s="1921"/>
      <c r="G1893" s="1921"/>
      <c r="H1893" s="1921"/>
      <c r="I1893" s="1922"/>
      <c r="J1893" s="1768"/>
    </row>
    <row r="1894" spans="1:10" ht="25.5" customHeight="1">
      <c r="A1894" s="1757" t="str">
        <f>'PLANILHA SEM DESON'!B287</f>
        <v>COMP HIDR  11</v>
      </c>
      <c r="B1894" s="1923" t="str">
        <f>VLOOKUP(A1894,'PLANILHA SEM DESON'!$B$17:$D$1699,2,FALSE)</f>
        <v>TUBO DE LIGAÇÃO PVC P/ SAÍDA DE VASO SANITÁRIO, DN 38MM</v>
      </c>
      <c r="C1894" s="1924"/>
      <c r="D1894" s="1924"/>
      <c r="E1894" s="1924"/>
      <c r="F1894" s="1924"/>
      <c r="G1894" s="1924"/>
      <c r="H1894" s="1925"/>
      <c r="I1894" s="1758" t="str">
        <f>VLOOKUP(A1894,'PLANILHA SEM DESON'!$B$17:$D$1699,3,FALSE)</f>
        <v xml:space="preserve">un </v>
      </c>
      <c r="J1894" s="1759">
        <f>I1899</f>
        <v>28.23</v>
      </c>
    </row>
    <row r="1895" spans="1:10" ht="24">
      <c r="A1895" s="1761" t="s">
        <v>2401</v>
      </c>
      <c r="B1895" s="1762" t="s">
        <v>2402</v>
      </c>
      <c r="C1895" s="1763" t="s">
        <v>2399</v>
      </c>
      <c r="D1895" s="1764" t="s">
        <v>284</v>
      </c>
      <c r="E1895" s="1763" t="s">
        <v>193</v>
      </c>
      <c r="F1895" s="1765" t="s">
        <v>2403</v>
      </c>
      <c r="G1895" s="1763" t="s">
        <v>2404</v>
      </c>
      <c r="H1895" s="1766" t="s">
        <v>2405</v>
      </c>
      <c r="I1895" s="1767" t="s">
        <v>2406</v>
      </c>
      <c r="J1895" s="1768"/>
    </row>
    <row r="1896" spans="1:10" ht="24">
      <c r="A1896" s="1770"/>
      <c r="B1896" s="1771"/>
      <c r="C1896" s="1771" t="s">
        <v>430</v>
      </c>
      <c r="D1896" s="1772" t="s">
        <v>101</v>
      </c>
      <c r="E1896" s="1773" t="s">
        <v>57</v>
      </c>
      <c r="F1896" s="1790">
        <v>0.4</v>
      </c>
      <c r="G1896" s="1781">
        <v>20.16</v>
      </c>
      <c r="H1896" s="1775">
        <f>IF(E1896="H",G1896,TRUNC(G1896*(1-$K$7),2))</f>
        <v>20.16</v>
      </c>
      <c r="I1896" s="1776">
        <f t="shared" ref="I1896:I1898" si="270">TRUNC(H1896*F1896,2)</f>
        <v>8.06</v>
      </c>
      <c r="J1896" s="1768"/>
    </row>
    <row r="1897" spans="1:10" ht="24">
      <c r="A1897" s="1770"/>
      <c r="B1897" s="1771"/>
      <c r="C1897" s="1771" t="s">
        <v>431</v>
      </c>
      <c r="D1897" s="1772" t="s">
        <v>102</v>
      </c>
      <c r="E1897" s="1773" t="s">
        <v>57</v>
      </c>
      <c r="F1897" s="1790">
        <v>0.4</v>
      </c>
      <c r="G1897" s="1781">
        <v>24.64</v>
      </c>
      <c r="H1897" s="1775">
        <f>IF(E1897="H",G1897,TRUNC(G1897*(1-$K$7),2))</f>
        <v>24.64</v>
      </c>
      <c r="I1897" s="1776">
        <f t="shared" si="270"/>
        <v>9.85</v>
      </c>
      <c r="J1897" s="1768"/>
    </row>
    <row r="1898" spans="1:10" ht="36">
      <c r="A1898" s="1770"/>
      <c r="B1898" s="1771"/>
      <c r="C1898" s="1771">
        <v>6142</v>
      </c>
      <c r="D1898" s="1772" t="s">
        <v>1767</v>
      </c>
      <c r="E1898" s="1773" t="s">
        <v>55</v>
      </c>
      <c r="F1898" s="1790">
        <v>1</v>
      </c>
      <c r="G1898" s="1779">
        <v>10.39</v>
      </c>
      <c r="H1898" s="1775">
        <f>IF(E1898="H",G1898,TRUNC(G1898*(1-$K$7),2))</f>
        <v>10.32</v>
      </c>
      <c r="I1898" s="1776">
        <f t="shared" si="270"/>
        <v>10.32</v>
      </c>
      <c r="J1898" s="1768"/>
    </row>
    <row r="1899" spans="1:10">
      <c r="A1899" s="1917" t="s">
        <v>2408</v>
      </c>
      <c r="B1899" s="1918"/>
      <c r="C1899" s="1918"/>
      <c r="D1899" s="1918"/>
      <c r="E1899" s="1918"/>
      <c r="F1899" s="1918"/>
      <c r="G1899" s="1918"/>
      <c r="H1899" s="1919"/>
      <c r="I1899" s="1778">
        <f>SUM(I1896:I1898)</f>
        <v>28.23</v>
      </c>
      <c r="J1899" s="1768"/>
    </row>
    <row r="1900" spans="1:10">
      <c r="A1900" s="1920"/>
      <c r="B1900" s="1921"/>
      <c r="C1900" s="1921"/>
      <c r="D1900" s="1921"/>
      <c r="E1900" s="1921"/>
      <c r="F1900" s="1921"/>
      <c r="G1900" s="1921"/>
      <c r="H1900" s="1921"/>
      <c r="I1900" s="1922"/>
      <c r="J1900" s="1768"/>
    </row>
    <row r="1901" spans="1:10" ht="24" customHeight="1">
      <c r="A1901" s="1757">
        <f>'PLANILHA SEM DESON'!B288</f>
        <v>86931</v>
      </c>
      <c r="B1901" s="1923" t="str">
        <f>VLOOKUP(A1901,'PLANILHA SEM DESON'!$B$17:$D$1699,2,FALSE)</f>
        <v>VASO SANITÁRIO SIFONADO COM CAIXA ACOPLADA LOUÇA BRANCA, INCLUSO ENGATE FLEXÍVEL EM PLÁSTICO BRANCO, 1/2 X 40CM - FORNECIMENTO E INSTALAÇÃO. AF_01/2020</v>
      </c>
      <c r="C1901" s="1924"/>
      <c r="D1901" s="1924"/>
      <c r="E1901" s="1924"/>
      <c r="F1901" s="1924"/>
      <c r="G1901" s="1924"/>
      <c r="H1901" s="1925"/>
      <c r="I1901" s="1758" t="str">
        <f>VLOOKUP(A1901,'PLANILHA SEM DESON'!$B$17:$D$1699,3,FALSE)</f>
        <v xml:space="preserve">un </v>
      </c>
      <c r="J1901" s="1759">
        <f>I1905</f>
        <v>495.99</v>
      </c>
    </row>
    <row r="1902" spans="1:10" ht="24">
      <c r="A1902" s="1761" t="s">
        <v>2401</v>
      </c>
      <c r="B1902" s="1762" t="s">
        <v>2402</v>
      </c>
      <c r="C1902" s="1763" t="s">
        <v>2399</v>
      </c>
      <c r="D1902" s="1764" t="s">
        <v>284</v>
      </c>
      <c r="E1902" s="1763" t="s">
        <v>193</v>
      </c>
      <c r="F1902" s="1765" t="s">
        <v>2403</v>
      </c>
      <c r="G1902" s="1763" t="s">
        <v>2404</v>
      </c>
      <c r="H1902" s="1766" t="s">
        <v>2405</v>
      </c>
      <c r="I1902" s="1767" t="s">
        <v>2406</v>
      </c>
      <c r="J1902" s="1768"/>
    </row>
    <row r="1903" spans="1:10" ht="24">
      <c r="A1903" s="1770" t="s">
        <v>2407</v>
      </c>
      <c r="B1903" s="1771" t="s">
        <v>7</v>
      </c>
      <c r="C1903" s="1771">
        <v>86885</v>
      </c>
      <c r="D1903" s="1772" t="s">
        <v>2681</v>
      </c>
      <c r="E1903" s="1773" t="s">
        <v>2432</v>
      </c>
      <c r="F1903" s="1780">
        <v>1</v>
      </c>
      <c r="G1903" s="1774">
        <v>14.28</v>
      </c>
      <c r="H1903" s="1775">
        <f>IF(E1903="H",G1903,TRUNC(G1903*(1-$K$7),2))</f>
        <v>14.19</v>
      </c>
      <c r="I1903" s="1776">
        <f t="shared" ref="I1903:I1904" si="271">TRUNC(H1903*F1903,2)</f>
        <v>14.19</v>
      </c>
      <c r="J1903" s="1768"/>
    </row>
    <row r="1904" spans="1:10" ht="36">
      <c r="A1904" s="1770" t="s">
        <v>2407</v>
      </c>
      <c r="B1904" s="1771" t="s">
        <v>7</v>
      </c>
      <c r="C1904" s="1771">
        <v>86888</v>
      </c>
      <c r="D1904" s="1772" t="s">
        <v>2443</v>
      </c>
      <c r="E1904" s="1773" t="s">
        <v>2432</v>
      </c>
      <c r="F1904" s="1780">
        <v>1</v>
      </c>
      <c r="G1904" s="1774">
        <v>484.71</v>
      </c>
      <c r="H1904" s="1775">
        <f>IF(E1904="H",G1904,TRUNC(G1904*(1-$K$7),2))</f>
        <v>481.8</v>
      </c>
      <c r="I1904" s="1776">
        <f t="shared" si="271"/>
        <v>481.8</v>
      </c>
      <c r="J1904" s="1768"/>
    </row>
    <row r="1905" spans="1:10">
      <c r="A1905" s="1917" t="s">
        <v>2408</v>
      </c>
      <c r="B1905" s="1918"/>
      <c r="C1905" s="1918"/>
      <c r="D1905" s="1918"/>
      <c r="E1905" s="1918"/>
      <c r="F1905" s="1918"/>
      <c r="G1905" s="1918"/>
      <c r="H1905" s="1919"/>
      <c r="I1905" s="1778">
        <f>SUM(I1903:I1904)</f>
        <v>495.99</v>
      </c>
      <c r="J1905" s="1768"/>
    </row>
    <row r="1906" spans="1:10">
      <c r="A1906" s="1920"/>
      <c r="B1906" s="1921"/>
      <c r="C1906" s="1921"/>
      <c r="D1906" s="1921"/>
      <c r="E1906" s="1921"/>
      <c r="F1906" s="1921"/>
      <c r="G1906" s="1921"/>
      <c r="H1906" s="1921"/>
      <c r="I1906" s="1922"/>
      <c r="J1906" s="1768"/>
    </row>
    <row r="1907" spans="1:10" ht="38.25" customHeight="1">
      <c r="A1907" s="1757">
        <f>'PLANILHA SEM DESON'!B289</f>
        <v>95472</v>
      </c>
      <c r="B1907" s="1923" t="str">
        <f>VLOOKUP(A1907,'PLANILHA SEM DESON'!$B$17:$D$1699,2,FALSE)</f>
        <v>VASO SANITARIO SIFONADO CONVENCIONAL PARA PCD SEM FURO FRONTAL COM LOUÇA BRANCA SEM ASSENTO, INCLUSO CONJUNTO DE LIGAÇÃO PARA BACIA SANITÁRIA AJUSTÁVEL - FORNECIMENTO E INSTALAÇÃO. AF_01/2020</v>
      </c>
      <c r="C1907" s="1924"/>
      <c r="D1907" s="1924"/>
      <c r="E1907" s="1924"/>
      <c r="F1907" s="1924"/>
      <c r="G1907" s="1924"/>
      <c r="H1907" s="1925"/>
      <c r="I1907" s="1758" t="str">
        <f>VLOOKUP(A1907,'PLANILHA SEM DESON'!$B$17:$D$1699,3,FALSE)</f>
        <v xml:space="preserve">un </v>
      </c>
      <c r="J1907" s="1759">
        <f>I1911</f>
        <v>763.7700000000001</v>
      </c>
    </row>
    <row r="1908" spans="1:10" ht="24">
      <c r="A1908" s="1761" t="s">
        <v>2401</v>
      </c>
      <c r="B1908" s="1762" t="s">
        <v>2402</v>
      </c>
      <c r="C1908" s="1763" t="s">
        <v>2399</v>
      </c>
      <c r="D1908" s="1764" t="s">
        <v>284</v>
      </c>
      <c r="E1908" s="1763" t="s">
        <v>193</v>
      </c>
      <c r="F1908" s="1765" t="s">
        <v>2403</v>
      </c>
      <c r="G1908" s="1763" t="s">
        <v>2404</v>
      </c>
      <c r="H1908" s="1766" t="s">
        <v>2405</v>
      </c>
      <c r="I1908" s="1767" t="s">
        <v>2406</v>
      </c>
      <c r="J1908" s="1768"/>
    </row>
    <row r="1909" spans="1:10" ht="36">
      <c r="A1909" s="1770" t="s">
        <v>2407</v>
      </c>
      <c r="B1909" s="1771" t="s">
        <v>2410</v>
      </c>
      <c r="C1909" s="1771">
        <v>6142</v>
      </c>
      <c r="D1909" s="1772" t="s">
        <v>1767</v>
      </c>
      <c r="E1909" s="1773" t="s">
        <v>2432</v>
      </c>
      <c r="F1909" s="1780">
        <v>1</v>
      </c>
      <c r="G1909" s="1774">
        <v>10.39</v>
      </c>
      <c r="H1909" s="1775">
        <f>IF(E1909="H",G1909,TRUNC(G1909*(1-$K$7),2))</f>
        <v>10.32</v>
      </c>
      <c r="I1909" s="1776">
        <f t="shared" ref="I1909:I1910" si="272">TRUNC(H1909*F1909,2)</f>
        <v>10.32</v>
      </c>
      <c r="J1909" s="1768"/>
    </row>
    <row r="1910" spans="1:10" ht="36">
      <c r="A1910" s="1770" t="s">
        <v>2407</v>
      </c>
      <c r="B1910" s="1771" t="s">
        <v>7</v>
      </c>
      <c r="C1910" s="1771">
        <v>95471</v>
      </c>
      <c r="D1910" s="1772" t="s">
        <v>2682</v>
      </c>
      <c r="E1910" s="1773" t="s">
        <v>2432</v>
      </c>
      <c r="F1910" s="1780">
        <v>1</v>
      </c>
      <c r="G1910" s="1774">
        <v>758</v>
      </c>
      <c r="H1910" s="1775">
        <f>IF(E1910="H",G1910,TRUNC(G1910*(1-$K$7),2))</f>
        <v>753.45</v>
      </c>
      <c r="I1910" s="1776">
        <f t="shared" si="272"/>
        <v>753.45</v>
      </c>
      <c r="J1910" s="1768"/>
    </row>
    <row r="1911" spans="1:10">
      <c r="A1911" s="1917" t="s">
        <v>2408</v>
      </c>
      <c r="B1911" s="1918"/>
      <c r="C1911" s="1918"/>
      <c r="D1911" s="1918"/>
      <c r="E1911" s="1918"/>
      <c r="F1911" s="1918"/>
      <c r="G1911" s="1918"/>
      <c r="H1911" s="1919"/>
      <c r="I1911" s="1778">
        <f>SUM(I1909:I1910)</f>
        <v>763.7700000000001</v>
      </c>
      <c r="J1911" s="1768"/>
    </row>
    <row r="1912" spans="1:10">
      <c r="A1912" s="1920"/>
      <c r="B1912" s="1921"/>
      <c r="C1912" s="1921"/>
      <c r="D1912" s="1921"/>
      <c r="E1912" s="1921"/>
      <c r="F1912" s="1921"/>
      <c r="G1912" s="1921"/>
      <c r="H1912" s="1921"/>
      <c r="I1912" s="1922"/>
      <c r="J1912" s="1768"/>
    </row>
    <row r="1913" spans="1:10" ht="24" customHeight="1">
      <c r="A1913" s="1757" t="str">
        <f>'PLANILHA SEM DESON'!B292</f>
        <v>COMP HIDR  12</v>
      </c>
      <c r="B1913" s="1923" t="str">
        <f>VLOOKUP(A1913,'PLANILHA SEM DESON'!$B$17:$D$1699,2,FALSE)</f>
        <v>DUCHA HIGIENICA PLASTICA COM REGISTRO METALICO 1/2 "</v>
      </c>
      <c r="C1913" s="1924"/>
      <c r="D1913" s="1924"/>
      <c r="E1913" s="1924"/>
      <c r="F1913" s="1924"/>
      <c r="G1913" s="1924"/>
      <c r="H1913" s="1925"/>
      <c r="I1913" s="1758" t="str">
        <f>VLOOKUP(A1913,'PLANILHA SEM DESON'!$B$17:$D$1699,3,FALSE)</f>
        <v xml:space="preserve">un </v>
      </c>
      <c r="J1913" s="1759">
        <f>I1919</f>
        <v>142.97</v>
      </c>
    </row>
    <row r="1914" spans="1:10" ht="24">
      <c r="A1914" s="1761" t="s">
        <v>2401</v>
      </c>
      <c r="B1914" s="1762" t="s">
        <v>2402</v>
      </c>
      <c r="C1914" s="1763" t="s">
        <v>2399</v>
      </c>
      <c r="D1914" s="1764" t="s">
        <v>284</v>
      </c>
      <c r="E1914" s="1763" t="s">
        <v>193</v>
      </c>
      <c r="F1914" s="1765" t="s">
        <v>2403</v>
      </c>
      <c r="G1914" s="1763" t="s">
        <v>2404</v>
      </c>
      <c r="H1914" s="1766" t="s">
        <v>2405</v>
      </c>
      <c r="I1914" s="1767" t="s">
        <v>2406</v>
      </c>
      <c r="J1914" s="1768"/>
    </row>
    <row r="1915" spans="1:10" ht="24">
      <c r="A1915" s="1770"/>
      <c r="B1915" s="1771"/>
      <c r="C1915" s="1771" t="s">
        <v>430</v>
      </c>
      <c r="D1915" s="1772" t="s">
        <v>101</v>
      </c>
      <c r="E1915" s="1773" t="s">
        <v>57</v>
      </c>
      <c r="F1915" s="1790">
        <v>0.5</v>
      </c>
      <c r="G1915" s="1781">
        <v>20.16</v>
      </c>
      <c r="H1915" s="1775">
        <f>IF(E1915="H",G1915,TRUNC(G1915*(1-$K$7),2))</f>
        <v>20.16</v>
      </c>
      <c r="I1915" s="1776">
        <f t="shared" ref="I1915:I1918" si="273">TRUNC(H1915*F1915,2)</f>
        <v>10.08</v>
      </c>
      <c r="J1915" s="1768"/>
    </row>
    <row r="1916" spans="1:10" ht="24">
      <c r="A1916" s="1770"/>
      <c r="B1916" s="1771"/>
      <c r="C1916" s="1771" t="s">
        <v>431</v>
      </c>
      <c r="D1916" s="1772" t="s">
        <v>102</v>
      </c>
      <c r="E1916" s="1773" t="s">
        <v>57</v>
      </c>
      <c r="F1916" s="1790">
        <v>0.5</v>
      </c>
      <c r="G1916" s="1781">
        <v>24.64</v>
      </c>
      <c r="H1916" s="1775">
        <f>IF(E1916="H",G1916,TRUNC(G1916*(1-$K$7),2))</f>
        <v>24.64</v>
      </c>
      <c r="I1916" s="1776">
        <f t="shared" si="273"/>
        <v>12.32</v>
      </c>
      <c r="J1916" s="1768"/>
    </row>
    <row r="1917" spans="1:10" ht="24">
      <c r="A1917" s="1770"/>
      <c r="B1917" s="1771"/>
      <c r="C1917" s="1771">
        <v>1370</v>
      </c>
      <c r="D1917" s="1772" t="s">
        <v>1762</v>
      </c>
      <c r="E1917" s="1773" t="s">
        <v>55</v>
      </c>
      <c r="F1917" s="1790">
        <v>1</v>
      </c>
      <c r="G1917" s="1779">
        <v>118.7</v>
      </c>
      <c r="H1917" s="1775">
        <f>IF(E1917="H",G1917,TRUNC(G1917*(1-$K$7),2))</f>
        <v>117.98</v>
      </c>
      <c r="I1917" s="1776">
        <f t="shared" si="273"/>
        <v>117.98</v>
      </c>
      <c r="J1917" s="1768"/>
    </row>
    <row r="1918" spans="1:10" ht="24">
      <c r="A1918" s="1770"/>
      <c r="B1918" s="1771"/>
      <c r="C1918" s="1771">
        <v>37459</v>
      </c>
      <c r="D1918" s="1772" t="s">
        <v>1763</v>
      </c>
      <c r="E1918" s="1773" t="s">
        <v>54</v>
      </c>
      <c r="F1918" s="1787">
        <v>0.28000000000000003</v>
      </c>
      <c r="G1918" s="1779">
        <v>9.32</v>
      </c>
      <c r="H1918" s="1775">
        <f>IF(E1918="H",G1918,TRUNC(G1918*(1-$K$7),2))</f>
        <v>9.26</v>
      </c>
      <c r="I1918" s="1776">
        <f t="shared" si="273"/>
        <v>2.59</v>
      </c>
      <c r="J1918" s="1768"/>
    </row>
    <row r="1919" spans="1:10">
      <c r="A1919" s="1917" t="s">
        <v>2408</v>
      </c>
      <c r="B1919" s="1918"/>
      <c r="C1919" s="1918"/>
      <c r="D1919" s="1918"/>
      <c r="E1919" s="1918"/>
      <c r="F1919" s="1918"/>
      <c r="G1919" s="1918"/>
      <c r="H1919" s="1919"/>
      <c r="I1919" s="1778">
        <f>SUM(I1915:I1918)</f>
        <v>142.97</v>
      </c>
      <c r="J1919" s="1768"/>
    </row>
    <row r="1920" spans="1:10">
      <c r="A1920" s="1920"/>
      <c r="B1920" s="1921"/>
      <c r="C1920" s="1921"/>
      <c r="D1920" s="1921"/>
      <c r="E1920" s="1921"/>
      <c r="F1920" s="1921"/>
      <c r="G1920" s="1921"/>
      <c r="H1920" s="1921"/>
      <c r="I1920" s="1922"/>
      <c r="J1920" s="1768"/>
    </row>
    <row r="1921" spans="1:10" ht="47.25" customHeight="1">
      <c r="A1921" s="1757">
        <f>'PLANILHA SEM DESON'!B293</f>
        <v>86943</v>
      </c>
      <c r="B1921" s="1923" t="str">
        <f>VLOOKUP(A1921,'PLANILHA SEM DESON'!$B$17:$D$1699,2,FALSE)</f>
        <v>LAVATÓRIO LOUÇA BRANCA SUSPENSO, 29,5 X 39CM OU EQUIVALENTE, PADRÃO POPULAR, INCLUSO SIFÃO FLEXÍVEL EM PVC, VÁLVULA E ENGATE FLEXÍVEL 30CM EM PLÁSTICO E TORNEIRA CROMADA DE MESA, PADRÃO POPULAR - FORNECIMENTO E INSTALAÇÃO. AF_01/2020</v>
      </c>
      <c r="C1921" s="1924"/>
      <c r="D1921" s="1924"/>
      <c r="E1921" s="1924"/>
      <c r="F1921" s="1924"/>
      <c r="G1921" s="1924"/>
      <c r="H1921" s="1925"/>
      <c r="I1921" s="1758" t="str">
        <f>VLOOKUP(A1921,'PLANILHA SEM DESON'!$B$17:$D$1699,3,FALSE)</f>
        <v xml:space="preserve">un </v>
      </c>
      <c r="J1921" s="1759">
        <f>I1928</f>
        <v>260.58</v>
      </c>
    </row>
    <row r="1922" spans="1:10" ht="24">
      <c r="A1922" s="1761" t="s">
        <v>2401</v>
      </c>
      <c r="B1922" s="1762" t="s">
        <v>2402</v>
      </c>
      <c r="C1922" s="1763" t="s">
        <v>2399</v>
      </c>
      <c r="D1922" s="1764" t="s">
        <v>284</v>
      </c>
      <c r="E1922" s="1763" t="s">
        <v>193</v>
      </c>
      <c r="F1922" s="1765" t="s">
        <v>2403</v>
      </c>
      <c r="G1922" s="1763" t="s">
        <v>2404</v>
      </c>
      <c r="H1922" s="1766" t="s">
        <v>2405</v>
      </c>
      <c r="I1922" s="1767" t="s">
        <v>2406</v>
      </c>
      <c r="J1922" s="1768"/>
    </row>
    <row r="1923" spans="1:10" ht="36">
      <c r="A1923" s="1770" t="s">
        <v>2407</v>
      </c>
      <c r="B1923" s="1771" t="s">
        <v>7</v>
      </c>
      <c r="C1923" s="1771">
        <v>86879</v>
      </c>
      <c r="D1923" s="1772" t="s">
        <v>2683</v>
      </c>
      <c r="E1923" s="1773" t="s">
        <v>2432</v>
      </c>
      <c r="F1923" s="1780">
        <v>1</v>
      </c>
      <c r="G1923" s="1774">
        <v>11.26</v>
      </c>
      <c r="H1923" s="1775">
        <f>IF(E1923="H",G1923,TRUNC(G1923*(1-$K$7),2))</f>
        <v>11.19</v>
      </c>
      <c r="I1923" s="1776">
        <f t="shared" ref="I1923:I1927" si="274">TRUNC(H1923*F1923,2)</f>
        <v>11.19</v>
      </c>
      <c r="J1923" s="1768"/>
    </row>
    <row r="1924" spans="1:10" ht="24">
      <c r="A1924" s="1770" t="s">
        <v>2407</v>
      </c>
      <c r="B1924" s="1771" t="s">
        <v>7</v>
      </c>
      <c r="C1924" s="1771">
        <v>86883</v>
      </c>
      <c r="D1924" s="1772" t="s">
        <v>2684</v>
      </c>
      <c r="E1924" s="1773" t="s">
        <v>2432</v>
      </c>
      <c r="F1924" s="1780">
        <v>1</v>
      </c>
      <c r="G1924" s="1774">
        <v>15.2</v>
      </c>
      <c r="H1924" s="1775">
        <f>IF(E1924="H",G1924,TRUNC(G1924*(1-$K$7),2))</f>
        <v>15.1</v>
      </c>
      <c r="I1924" s="1776">
        <f t="shared" si="274"/>
        <v>15.1</v>
      </c>
      <c r="J1924" s="1768"/>
    </row>
    <row r="1925" spans="1:10" ht="24">
      <c r="A1925" s="1770" t="s">
        <v>2407</v>
      </c>
      <c r="B1925" s="1771" t="s">
        <v>7</v>
      </c>
      <c r="C1925" s="1771">
        <v>86884</v>
      </c>
      <c r="D1925" s="1772" t="s">
        <v>2685</v>
      </c>
      <c r="E1925" s="1773" t="s">
        <v>2432</v>
      </c>
      <c r="F1925" s="1780">
        <v>1</v>
      </c>
      <c r="G1925" s="1774">
        <v>12.31</v>
      </c>
      <c r="H1925" s="1775">
        <f>IF(E1925="H",G1925,TRUNC(G1925*(1-$K$7),2))</f>
        <v>12.23</v>
      </c>
      <c r="I1925" s="1776">
        <f t="shared" si="274"/>
        <v>12.23</v>
      </c>
      <c r="J1925" s="1768"/>
    </row>
    <row r="1926" spans="1:10" ht="36">
      <c r="A1926" s="1770" t="s">
        <v>2407</v>
      </c>
      <c r="B1926" s="1771" t="s">
        <v>7</v>
      </c>
      <c r="C1926" s="1771">
        <v>86904</v>
      </c>
      <c r="D1926" s="1772" t="s">
        <v>2686</v>
      </c>
      <c r="E1926" s="1773" t="s">
        <v>2432</v>
      </c>
      <c r="F1926" s="1780">
        <v>1</v>
      </c>
      <c r="G1926" s="1774">
        <v>146.87</v>
      </c>
      <c r="H1926" s="1775">
        <f>IF(E1926="H",G1926,TRUNC(G1926*(1-$K$7),2))</f>
        <v>145.97999999999999</v>
      </c>
      <c r="I1926" s="1776">
        <f t="shared" si="274"/>
        <v>145.97999999999999</v>
      </c>
      <c r="J1926" s="1768"/>
    </row>
    <row r="1927" spans="1:10" ht="36">
      <c r="A1927" s="1770" t="s">
        <v>2407</v>
      </c>
      <c r="B1927" s="1771" t="s">
        <v>7</v>
      </c>
      <c r="C1927" s="1771">
        <v>86906</v>
      </c>
      <c r="D1927" s="1772" t="s">
        <v>2687</v>
      </c>
      <c r="E1927" s="1773" t="s">
        <v>2432</v>
      </c>
      <c r="F1927" s="1780">
        <v>1</v>
      </c>
      <c r="G1927" s="1774">
        <v>76.540000000000006</v>
      </c>
      <c r="H1927" s="1775">
        <f>IF(E1927="H",G1927,TRUNC(G1927*(1-$K$7),2))</f>
        <v>76.08</v>
      </c>
      <c r="I1927" s="1776">
        <f t="shared" si="274"/>
        <v>76.08</v>
      </c>
      <c r="J1927" s="1768"/>
    </row>
    <row r="1928" spans="1:10">
      <c r="A1928" s="1917" t="s">
        <v>2408</v>
      </c>
      <c r="B1928" s="1918"/>
      <c r="C1928" s="1918"/>
      <c r="D1928" s="1918"/>
      <c r="E1928" s="1918"/>
      <c r="F1928" s="1918"/>
      <c r="G1928" s="1918"/>
      <c r="H1928" s="1919"/>
      <c r="I1928" s="1778">
        <f>SUM(I1923:I1927)</f>
        <v>260.58</v>
      </c>
      <c r="J1928" s="1768"/>
    </row>
    <row r="1929" spans="1:10">
      <c r="A1929" s="1920"/>
      <c r="B1929" s="1921"/>
      <c r="C1929" s="1921"/>
      <c r="D1929" s="1921"/>
      <c r="E1929" s="1921"/>
      <c r="F1929" s="1921"/>
      <c r="G1929" s="1921"/>
      <c r="H1929" s="1921"/>
      <c r="I1929" s="1922"/>
      <c r="J1929" s="1768"/>
    </row>
    <row r="1930" spans="1:10" ht="24" customHeight="1">
      <c r="A1930" s="1757">
        <f>'PLANILHA SEM DESON'!B294</f>
        <v>86903</v>
      </c>
      <c r="B1930" s="1923" t="str">
        <f>VLOOKUP(A1930,'PLANILHA SEM DESON'!$B$17:$D$1699,2,FALSE)</f>
        <v>LAVATÓRIO LOUÇA BRANCA COM COLUNA, 45 X 55CM OU EQUIVALENTE, PADRÃO MÉDIO - FORNECIMENTO E INSTALAÇÃO. AF_01/2020</v>
      </c>
      <c r="C1930" s="1924"/>
      <c r="D1930" s="1924"/>
      <c r="E1930" s="1924"/>
      <c r="F1930" s="1924"/>
      <c r="G1930" s="1924"/>
      <c r="H1930" s="1925"/>
      <c r="I1930" s="1758" t="str">
        <f>VLOOKUP(A1930,'PLANILHA SEM DESON'!$B$17:$D$1699,3,FALSE)</f>
        <v xml:space="preserve">un </v>
      </c>
      <c r="J1930" s="1759">
        <f>I1937</f>
        <v>351.92</v>
      </c>
    </row>
    <row r="1931" spans="1:10" ht="24">
      <c r="A1931" s="1761" t="s">
        <v>2401</v>
      </c>
      <c r="B1931" s="1762" t="s">
        <v>2402</v>
      </c>
      <c r="C1931" s="1763" t="s">
        <v>2399</v>
      </c>
      <c r="D1931" s="1764" t="s">
        <v>284</v>
      </c>
      <c r="E1931" s="1763" t="s">
        <v>193</v>
      </c>
      <c r="F1931" s="1765" t="s">
        <v>2403</v>
      </c>
      <c r="G1931" s="1763" t="s">
        <v>2404</v>
      </c>
      <c r="H1931" s="1766" t="s">
        <v>2405</v>
      </c>
      <c r="I1931" s="1767" t="s">
        <v>2406</v>
      </c>
      <c r="J1931" s="1768"/>
    </row>
    <row r="1932" spans="1:10" ht="36">
      <c r="A1932" s="1770" t="s">
        <v>2407</v>
      </c>
      <c r="B1932" s="1771" t="s">
        <v>2410</v>
      </c>
      <c r="C1932" s="1771">
        <v>4351</v>
      </c>
      <c r="D1932" s="1772" t="s">
        <v>408</v>
      </c>
      <c r="E1932" s="1773" t="s">
        <v>2432</v>
      </c>
      <c r="F1932" s="1780">
        <v>6</v>
      </c>
      <c r="G1932" s="1774">
        <v>18.559999999999999</v>
      </c>
      <c r="H1932" s="1775">
        <f>IF(E1932="H",G1932,TRUNC(G1932*(1-$K$7),2))</f>
        <v>18.440000000000001</v>
      </c>
      <c r="I1932" s="1776">
        <f t="shared" ref="I1932:I1936" si="275">TRUNC(H1932*F1932,2)</f>
        <v>110.64</v>
      </c>
      <c r="J1932" s="1768"/>
    </row>
    <row r="1933" spans="1:10" ht="24">
      <c r="A1933" s="1770" t="s">
        <v>2407</v>
      </c>
      <c r="B1933" s="1771" t="s">
        <v>2410</v>
      </c>
      <c r="C1933" s="1771">
        <v>10426</v>
      </c>
      <c r="D1933" s="1772" t="s">
        <v>2688</v>
      </c>
      <c r="E1933" s="1773" t="s">
        <v>2432</v>
      </c>
      <c r="F1933" s="1780">
        <v>1</v>
      </c>
      <c r="G1933" s="1774">
        <v>182.94</v>
      </c>
      <c r="H1933" s="1775">
        <f>IF(E1933="H",G1933,TRUNC(G1933*(1-$K$7),2))</f>
        <v>181.84</v>
      </c>
      <c r="I1933" s="1776">
        <f t="shared" si="275"/>
        <v>181.84</v>
      </c>
      <c r="J1933" s="1768"/>
    </row>
    <row r="1934" spans="1:10">
      <c r="A1934" s="1770" t="s">
        <v>2407</v>
      </c>
      <c r="B1934" s="1771" t="s">
        <v>2410</v>
      </c>
      <c r="C1934" s="1771">
        <v>37329</v>
      </c>
      <c r="D1934" s="1772" t="s">
        <v>2689</v>
      </c>
      <c r="E1934" s="1773" t="s">
        <v>1145</v>
      </c>
      <c r="F1934" s="1780">
        <v>8.6599999999999996E-2</v>
      </c>
      <c r="G1934" s="1774">
        <v>123.67</v>
      </c>
      <c r="H1934" s="1775">
        <f>IF(E1934="H",G1934,TRUNC(G1934*(1-$K$7),2))</f>
        <v>122.92</v>
      </c>
      <c r="I1934" s="1776">
        <f t="shared" si="275"/>
        <v>10.64</v>
      </c>
      <c r="J1934" s="1768"/>
    </row>
    <row r="1935" spans="1:10" ht="24">
      <c r="A1935" s="1770" t="s">
        <v>2407</v>
      </c>
      <c r="B1935" s="1771" t="s">
        <v>7</v>
      </c>
      <c r="C1935" s="1771">
        <v>88267</v>
      </c>
      <c r="D1935" s="1772" t="s">
        <v>102</v>
      </c>
      <c r="E1935" s="1773" t="s">
        <v>387</v>
      </c>
      <c r="F1935" s="1780">
        <v>1.4666999999999999</v>
      </c>
      <c r="G1935" s="1774">
        <v>24.64</v>
      </c>
      <c r="H1935" s="1775">
        <f>IF(E1935="H",G1935,TRUNC(G1935*(1-$K$7),2))</f>
        <v>24.64</v>
      </c>
      <c r="I1935" s="1776">
        <f t="shared" si="275"/>
        <v>36.130000000000003</v>
      </c>
      <c r="J1935" s="1768"/>
    </row>
    <row r="1936" spans="1:10">
      <c r="A1936" s="1770" t="s">
        <v>2407</v>
      </c>
      <c r="B1936" s="1771" t="s">
        <v>7</v>
      </c>
      <c r="C1936" s="1771">
        <v>88316</v>
      </c>
      <c r="D1936" s="1772" t="s">
        <v>66</v>
      </c>
      <c r="E1936" s="1773" t="s">
        <v>387</v>
      </c>
      <c r="F1936" s="1780">
        <v>0.65169999999999995</v>
      </c>
      <c r="G1936" s="1774">
        <v>19.45</v>
      </c>
      <c r="H1936" s="1775">
        <f>IF(E1936="H",G1936,TRUNC(G1936*(1-$K$7),2))</f>
        <v>19.45</v>
      </c>
      <c r="I1936" s="1776">
        <f t="shared" si="275"/>
        <v>12.67</v>
      </c>
      <c r="J1936" s="1768"/>
    </row>
    <row r="1937" spans="1:10">
      <c r="A1937" s="1917" t="s">
        <v>2408</v>
      </c>
      <c r="B1937" s="1918"/>
      <c r="C1937" s="1918"/>
      <c r="D1937" s="1918"/>
      <c r="E1937" s="1918"/>
      <c r="F1937" s="1918"/>
      <c r="G1937" s="1918"/>
      <c r="H1937" s="1919"/>
      <c r="I1937" s="1778">
        <f>SUM(I1932:I1936)</f>
        <v>351.92</v>
      </c>
      <c r="J1937" s="1768"/>
    </row>
    <row r="1938" spans="1:10">
      <c r="A1938" s="1920"/>
      <c r="B1938" s="1921"/>
      <c r="C1938" s="1921"/>
      <c r="D1938" s="1921"/>
      <c r="E1938" s="1921"/>
      <c r="F1938" s="1921"/>
      <c r="G1938" s="1921"/>
      <c r="H1938" s="1921"/>
      <c r="I1938" s="1922"/>
      <c r="J1938" s="1768"/>
    </row>
    <row r="1939" spans="1:10" ht="21" customHeight="1">
      <c r="A1939" s="1757">
        <f>'PLANILHA SEM DESON'!B295</f>
        <v>86901</v>
      </c>
      <c r="B1939" s="1923" t="str">
        <f>VLOOKUP(A1939,'PLANILHA SEM DESON'!$B$17:$D$1699,2,FALSE)</f>
        <v>CUBA DE EMBUTIR OVAL EM LOUÇA BRANCA, 35 X 50CM OU EQUIVALENTE - FORNECIMENTO E INSTALAÇÃO. AF_01/2020</v>
      </c>
      <c r="C1939" s="1924"/>
      <c r="D1939" s="1924"/>
      <c r="E1939" s="1924"/>
      <c r="F1939" s="1924"/>
      <c r="G1939" s="1924"/>
      <c r="H1939" s="1925"/>
      <c r="I1939" s="1758" t="str">
        <f>VLOOKUP(A1939,'PLANILHA SEM DESON'!$B$17:$D$1699,3,FALSE)</f>
        <v xml:space="preserve">un </v>
      </c>
      <c r="J1939" s="1759">
        <f>I1945</f>
        <v>153.83000000000001</v>
      </c>
    </row>
    <row r="1940" spans="1:10" ht="24">
      <c r="A1940" s="1761" t="s">
        <v>2401</v>
      </c>
      <c r="B1940" s="1762" t="s">
        <v>2402</v>
      </c>
      <c r="C1940" s="1763" t="s">
        <v>2399</v>
      </c>
      <c r="D1940" s="1764" t="s">
        <v>284</v>
      </c>
      <c r="E1940" s="1763" t="s">
        <v>193</v>
      </c>
      <c r="F1940" s="1765" t="s">
        <v>2403</v>
      </c>
      <c r="G1940" s="1763" t="s">
        <v>2404</v>
      </c>
      <c r="H1940" s="1766" t="s">
        <v>2405</v>
      </c>
      <c r="I1940" s="1767" t="s">
        <v>2406</v>
      </c>
      <c r="J1940" s="1768"/>
    </row>
    <row r="1941" spans="1:10">
      <c r="A1941" s="1770" t="s">
        <v>2407</v>
      </c>
      <c r="B1941" s="1771" t="s">
        <v>2410</v>
      </c>
      <c r="C1941" s="1771">
        <v>4823</v>
      </c>
      <c r="D1941" s="1772" t="s">
        <v>2690</v>
      </c>
      <c r="E1941" s="1773" t="s">
        <v>1145</v>
      </c>
      <c r="F1941" s="1780">
        <v>0.52710000000000001</v>
      </c>
      <c r="G1941" s="1774">
        <v>61.24</v>
      </c>
      <c r="H1941" s="1775">
        <f>IF(E1941="H",G1941,TRUNC(G1941*(1-$K$7),2))</f>
        <v>60.87</v>
      </c>
      <c r="I1941" s="1776">
        <f t="shared" ref="I1941:I1944" si="276">TRUNC(H1941*F1941,2)</f>
        <v>32.08</v>
      </c>
      <c r="J1941" s="1768"/>
    </row>
    <row r="1942" spans="1:10" ht="24">
      <c r="A1942" s="1770" t="s">
        <v>2407</v>
      </c>
      <c r="B1942" s="1771" t="s">
        <v>2410</v>
      </c>
      <c r="C1942" s="1771">
        <v>20269</v>
      </c>
      <c r="D1942" s="1772" t="s">
        <v>2691</v>
      </c>
      <c r="E1942" s="1773" t="s">
        <v>2432</v>
      </c>
      <c r="F1942" s="1780">
        <v>1</v>
      </c>
      <c r="G1942" s="1774">
        <v>96.44</v>
      </c>
      <c r="H1942" s="1775">
        <f>IF(E1942="H",G1942,TRUNC(G1942*(1-$K$7),2))</f>
        <v>95.86</v>
      </c>
      <c r="I1942" s="1776">
        <f t="shared" si="276"/>
        <v>95.86</v>
      </c>
      <c r="J1942" s="1768"/>
    </row>
    <row r="1943" spans="1:10" ht="24">
      <c r="A1943" s="1770" t="s">
        <v>2407</v>
      </c>
      <c r="B1943" s="1771" t="s">
        <v>7</v>
      </c>
      <c r="C1943" s="1771">
        <v>88274</v>
      </c>
      <c r="D1943" s="1772" t="s">
        <v>2603</v>
      </c>
      <c r="E1943" s="1773" t="s">
        <v>387</v>
      </c>
      <c r="F1943" s="1780">
        <v>0.8458</v>
      </c>
      <c r="G1943" s="1774">
        <v>24.49</v>
      </c>
      <c r="H1943" s="1775">
        <f>IF(E1943="H",G1943,TRUNC(G1943*(1-$K$7),2))</f>
        <v>24.49</v>
      </c>
      <c r="I1943" s="1776">
        <f t="shared" si="276"/>
        <v>20.71</v>
      </c>
      <c r="J1943" s="1768"/>
    </row>
    <row r="1944" spans="1:10">
      <c r="A1944" s="1770" t="s">
        <v>2407</v>
      </c>
      <c r="B1944" s="1771" t="s">
        <v>7</v>
      </c>
      <c r="C1944" s="1771">
        <v>88316</v>
      </c>
      <c r="D1944" s="1772" t="s">
        <v>66</v>
      </c>
      <c r="E1944" s="1773" t="s">
        <v>387</v>
      </c>
      <c r="F1944" s="1780">
        <v>0.26650000000000001</v>
      </c>
      <c r="G1944" s="1774">
        <v>19.45</v>
      </c>
      <c r="H1944" s="1775">
        <f>IF(E1944="H",G1944,TRUNC(G1944*(1-$K$7),2))</f>
        <v>19.45</v>
      </c>
      <c r="I1944" s="1776">
        <f t="shared" si="276"/>
        <v>5.18</v>
      </c>
      <c r="J1944" s="1768"/>
    </row>
    <row r="1945" spans="1:10">
      <c r="A1945" s="1917" t="s">
        <v>2408</v>
      </c>
      <c r="B1945" s="1918"/>
      <c r="C1945" s="1918"/>
      <c r="D1945" s="1918"/>
      <c r="E1945" s="1918"/>
      <c r="F1945" s="1918"/>
      <c r="G1945" s="1918"/>
      <c r="H1945" s="1919"/>
      <c r="I1945" s="1778">
        <f>SUM(I1941:I1944)</f>
        <v>153.83000000000001</v>
      </c>
      <c r="J1945" s="1768"/>
    </row>
    <row r="1946" spans="1:10">
      <c r="A1946" s="1920"/>
      <c r="B1946" s="1921"/>
      <c r="C1946" s="1921"/>
      <c r="D1946" s="1921"/>
      <c r="E1946" s="1921"/>
      <c r="F1946" s="1921"/>
      <c r="G1946" s="1921"/>
      <c r="H1946" s="1921"/>
      <c r="I1946" s="1922"/>
      <c r="J1946" s="1768"/>
    </row>
    <row r="1947" spans="1:10" ht="30" customHeight="1">
      <c r="A1947" s="1757">
        <f>'PLANILHA SEM DESON'!B296</f>
        <v>86900</v>
      </c>
      <c r="B1947" s="1923" t="str">
        <f>VLOOKUP(A1947,'PLANILHA SEM DESON'!$B$17:$D$1699,2,FALSE)</f>
        <v>CUBA DE EMBUTIR RETANGULAR DE AÇO INOXIDÁVEL, 46 X 30 X 12 CM - FORNECIMENTO E INSTALAÇÃO. AF_01/2020</v>
      </c>
      <c r="C1947" s="1924"/>
      <c r="D1947" s="1924"/>
      <c r="E1947" s="1924"/>
      <c r="F1947" s="1924"/>
      <c r="G1947" s="1924"/>
      <c r="H1947" s="1925"/>
      <c r="I1947" s="1758" t="str">
        <f>VLOOKUP(A1947,'PLANILHA SEM DESON'!$B$17:$D$1699,3,FALSE)</f>
        <v xml:space="preserve">un </v>
      </c>
      <c r="J1947" s="1759">
        <f>I1953</f>
        <v>261.14000000000004</v>
      </c>
    </row>
    <row r="1948" spans="1:10" ht="24">
      <c r="A1948" s="1761" t="s">
        <v>2401</v>
      </c>
      <c r="B1948" s="1762" t="s">
        <v>2402</v>
      </c>
      <c r="C1948" s="1763" t="s">
        <v>2399</v>
      </c>
      <c r="D1948" s="1764" t="s">
        <v>284</v>
      </c>
      <c r="E1948" s="1763" t="s">
        <v>193</v>
      </c>
      <c r="F1948" s="1765" t="s">
        <v>2403</v>
      </c>
      <c r="G1948" s="1763" t="s">
        <v>2404</v>
      </c>
      <c r="H1948" s="1766" t="s">
        <v>2405</v>
      </c>
      <c r="I1948" s="1767" t="s">
        <v>2406</v>
      </c>
      <c r="J1948" s="1768"/>
    </row>
    <row r="1949" spans="1:10" ht="24">
      <c r="A1949" s="1770" t="s">
        <v>2407</v>
      </c>
      <c r="B1949" s="1771" t="s">
        <v>2410</v>
      </c>
      <c r="C1949" s="1771">
        <v>1743</v>
      </c>
      <c r="D1949" s="1772" t="s">
        <v>2692</v>
      </c>
      <c r="E1949" s="1773" t="s">
        <v>2432</v>
      </c>
      <c r="F1949" s="1780">
        <v>1</v>
      </c>
      <c r="G1949" s="1774">
        <v>229.81</v>
      </c>
      <c r="H1949" s="1775">
        <f>IF(E1949="H",G1949,TRUNC(G1949*(1-$K$7),2))</f>
        <v>228.43</v>
      </c>
      <c r="I1949" s="1776">
        <f t="shared" ref="I1949:I1952" si="277">TRUNC(H1949*F1949,2)</f>
        <v>228.43</v>
      </c>
      <c r="J1949" s="1768"/>
    </row>
    <row r="1950" spans="1:10">
      <c r="A1950" s="1770" t="s">
        <v>2407</v>
      </c>
      <c r="B1950" s="1771" t="s">
        <v>2410</v>
      </c>
      <c r="C1950" s="1771">
        <v>4823</v>
      </c>
      <c r="D1950" s="1772" t="s">
        <v>2690</v>
      </c>
      <c r="E1950" s="1773" t="s">
        <v>1145</v>
      </c>
      <c r="F1950" s="1780">
        <v>0.2974</v>
      </c>
      <c r="G1950" s="1774">
        <v>61.24</v>
      </c>
      <c r="H1950" s="1775">
        <f>IF(E1950="H",G1950,TRUNC(G1950*(1-$K$7),2))</f>
        <v>60.87</v>
      </c>
      <c r="I1950" s="1776">
        <f t="shared" si="277"/>
        <v>18.100000000000001</v>
      </c>
      <c r="J1950" s="1768"/>
    </row>
    <row r="1951" spans="1:10" ht="24">
      <c r="A1951" s="1770" t="s">
        <v>2407</v>
      </c>
      <c r="B1951" s="1771" t="s">
        <v>7</v>
      </c>
      <c r="C1951" s="1771">
        <v>88274</v>
      </c>
      <c r="D1951" s="1772" t="s">
        <v>2603</v>
      </c>
      <c r="E1951" s="1773" t="s">
        <v>387</v>
      </c>
      <c r="F1951" s="1780">
        <v>0.47739999999999999</v>
      </c>
      <c r="G1951" s="1774">
        <v>24.49</v>
      </c>
      <c r="H1951" s="1775">
        <f>IF(E1951="H",G1951,TRUNC(G1951*(1-$K$7),2))</f>
        <v>24.49</v>
      </c>
      <c r="I1951" s="1776">
        <f t="shared" si="277"/>
        <v>11.69</v>
      </c>
      <c r="J1951" s="1768"/>
    </row>
    <row r="1952" spans="1:10">
      <c r="A1952" s="1770" t="s">
        <v>2407</v>
      </c>
      <c r="B1952" s="1771" t="s">
        <v>7</v>
      </c>
      <c r="C1952" s="1771">
        <v>88316</v>
      </c>
      <c r="D1952" s="1772" t="s">
        <v>66</v>
      </c>
      <c r="E1952" s="1773" t="s">
        <v>387</v>
      </c>
      <c r="F1952" s="1780">
        <v>0.15040000000000001</v>
      </c>
      <c r="G1952" s="1774">
        <v>19.45</v>
      </c>
      <c r="H1952" s="1775">
        <f>IF(E1952="H",G1952,TRUNC(G1952*(1-$K$7),2))</f>
        <v>19.45</v>
      </c>
      <c r="I1952" s="1776">
        <f t="shared" si="277"/>
        <v>2.92</v>
      </c>
      <c r="J1952" s="1768"/>
    </row>
    <row r="1953" spans="1:10">
      <c r="A1953" s="1917" t="s">
        <v>2408</v>
      </c>
      <c r="B1953" s="1918"/>
      <c r="C1953" s="1918"/>
      <c r="D1953" s="1918"/>
      <c r="E1953" s="1918"/>
      <c r="F1953" s="1918"/>
      <c r="G1953" s="1918"/>
      <c r="H1953" s="1919"/>
      <c r="I1953" s="1778">
        <f>SUM(I1949:I1952)</f>
        <v>261.14000000000004</v>
      </c>
      <c r="J1953" s="1768"/>
    </row>
    <row r="1954" spans="1:10">
      <c r="A1954" s="1920"/>
      <c r="B1954" s="1921"/>
      <c r="C1954" s="1921"/>
      <c r="D1954" s="1921"/>
      <c r="E1954" s="1921"/>
      <c r="F1954" s="1921"/>
      <c r="G1954" s="1921"/>
      <c r="H1954" s="1921"/>
      <c r="I1954" s="1922"/>
      <c r="J1954" s="1768"/>
    </row>
    <row r="1955" spans="1:10" ht="22.5" customHeight="1">
      <c r="A1955" s="1757">
        <f>'PLANILHA SEM DESON'!B297</f>
        <v>86911</v>
      </c>
      <c r="B1955" s="1923" t="str">
        <f>VLOOKUP(A1955,'PLANILHA SEM DESON'!$B$17:$D$1699,2,FALSE)</f>
        <v>TORNEIRA CROMADA LONGA, DE PAREDE, 1/2 OU 3/4, PARA PIA DE COZINHA, PADRÃO POPULAR - FORNECIMENTO E INSTALAÇÃO. AF_01/2020</v>
      </c>
      <c r="C1955" s="1924"/>
      <c r="D1955" s="1924"/>
      <c r="E1955" s="1924"/>
      <c r="F1955" s="1924"/>
      <c r="G1955" s="1924"/>
      <c r="H1955" s="1925"/>
      <c r="I1955" s="1758" t="str">
        <f>VLOOKUP(A1955,'PLANILHA SEM DESON'!$B$17:$D$1699,3,FALSE)</f>
        <v xml:space="preserve">un </v>
      </c>
      <c r="J1955" s="1759">
        <f>I1961</f>
        <v>89.039999999999992</v>
      </c>
    </row>
    <row r="1956" spans="1:10" ht="24">
      <c r="A1956" s="1761" t="s">
        <v>2401</v>
      </c>
      <c r="B1956" s="1762" t="s">
        <v>2402</v>
      </c>
      <c r="C1956" s="1763" t="s">
        <v>2399</v>
      </c>
      <c r="D1956" s="1764" t="s">
        <v>284</v>
      </c>
      <c r="E1956" s="1763" t="s">
        <v>193</v>
      </c>
      <c r="F1956" s="1765" t="s">
        <v>2403</v>
      </c>
      <c r="G1956" s="1763" t="s">
        <v>2404</v>
      </c>
      <c r="H1956" s="1766" t="s">
        <v>2405</v>
      </c>
      <c r="I1956" s="1767" t="s">
        <v>2406</v>
      </c>
      <c r="J1956" s="1768"/>
    </row>
    <row r="1957" spans="1:10">
      <c r="A1957" s="1770" t="s">
        <v>2407</v>
      </c>
      <c r="B1957" s="1771" t="s">
        <v>2410</v>
      </c>
      <c r="C1957" s="1771">
        <v>3146</v>
      </c>
      <c r="D1957" s="1772" t="s">
        <v>2679</v>
      </c>
      <c r="E1957" s="1773" t="s">
        <v>2432</v>
      </c>
      <c r="F1957" s="1780">
        <v>2.1000000000000001E-2</v>
      </c>
      <c r="G1957" s="1774">
        <v>4.88</v>
      </c>
      <c r="H1957" s="1775">
        <f>IF(E1957="H",G1957,TRUNC(G1957*(1-$K$7),2))</f>
        <v>4.8499999999999996</v>
      </c>
      <c r="I1957" s="1776">
        <f t="shared" ref="I1957:I1960" si="278">TRUNC(H1957*F1957,2)</f>
        <v>0.1</v>
      </c>
      <c r="J1957" s="1768"/>
    </row>
    <row r="1958" spans="1:10" ht="36">
      <c r="A1958" s="1770" t="s">
        <v>2407</v>
      </c>
      <c r="B1958" s="1771" t="s">
        <v>2410</v>
      </c>
      <c r="C1958" s="1771">
        <v>13416</v>
      </c>
      <c r="D1958" s="1772" t="s">
        <v>2693</v>
      </c>
      <c r="E1958" s="1773" t="s">
        <v>2432</v>
      </c>
      <c r="F1958" s="1780">
        <v>1</v>
      </c>
      <c r="G1958" s="1774">
        <v>85.89</v>
      </c>
      <c r="H1958" s="1775">
        <f>IF(E1958="H",G1958,TRUNC(G1958*(1-$K$7),2))</f>
        <v>85.37</v>
      </c>
      <c r="I1958" s="1776">
        <f t="shared" si="278"/>
        <v>85.37</v>
      </c>
      <c r="J1958" s="1768"/>
    </row>
    <row r="1959" spans="1:10" ht="24">
      <c r="A1959" s="1770" t="s">
        <v>2407</v>
      </c>
      <c r="B1959" s="1771" t="s">
        <v>7</v>
      </c>
      <c r="C1959" s="1771">
        <v>88267</v>
      </c>
      <c r="D1959" s="1772" t="s">
        <v>102</v>
      </c>
      <c r="E1959" s="1773" t="s">
        <v>387</v>
      </c>
      <c r="F1959" s="1780">
        <v>0.1164</v>
      </c>
      <c r="G1959" s="1774">
        <v>24.64</v>
      </c>
      <c r="H1959" s="1775">
        <f>IF(E1959="H",G1959,TRUNC(G1959*(1-$K$7),2))</f>
        <v>24.64</v>
      </c>
      <c r="I1959" s="1776">
        <f t="shared" si="278"/>
        <v>2.86</v>
      </c>
      <c r="J1959" s="1768"/>
    </row>
    <row r="1960" spans="1:10">
      <c r="A1960" s="1770" t="s">
        <v>2407</v>
      </c>
      <c r="B1960" s="1771" t="s">
        <v>7</v>
      </c>
      <c r="C1960" s="1771">
        <v>88316</v>
      </c>
      <c r="D1960" s="1772" t="s">
        <v>66</v>
      </c>
      <c r="E1960" s="1773" t="s">
        <v>387</v>
      </c>
      <c r="F1960" s="1780">
        <v>3.6700000000000003E-2</v>
      </c>
      <c r="G1960" s="1774">
        <v>19.45</v>
      </c>
      <c r="H1960" s="1775">
        <f>IF(E1960="H",G1960,TRUNC(G1960*(1-$K$7),2))</f>
        <v>19.45</v>
      </c>
      <c r="I1960" s="1776">
        <f t="shared" si="278"/>
        <v>0.71</v>
      </c>
      <c r="J1960" s="1768"/>
    </row>
    <row r="1961" spans="1:10">
      <c r="A1961" s="1917" t="s">
        <v>2408</v>
      </c>
      <c r="B1961" s="1918"/>
      <c r="C1961" s="1918"/>
      <c r="D1961" s="1918"/>
      <c r="E1961" s="1918"/>
      <c r="F1961" s="1918"/>
      <c r="G1961" s="1918"/>
      <c r="H1961" s="1919"/>
      <c r="I1961" s="1778">
        <f>SUM(I1957:I1960)</f>
        <v>89.039999999999992</v>
      </c>
      <c r="J1961" s="1768"/>
    </row>
    <row r="1962" spans="1:10">
      <c r="A1962" s="1920"/>
      <c r="B1962" s="1921"/>
      <c r="C1962" s="1921"/>
      <c r="D1962" s="1921"/>
      <c r="E1962" s="1921"/>
      <c r="F1962" s="1921"/>
      <c r="G1962" s="1921"/>
      <c r="H1962" s="1921"/>
      <c r="I1962" s="1922"/>
      <c r="J1962" s="1768"/>
    </row>
    <row r="1963" spans="1:10" ht="25.5" customHeight="1">
      <c r="A1963" s="1757">
        <f>'PLANILHA SEM DESON'!B298</f>
        <v>86915</v>
      </c>
      <c r="B1963" s="1923" t="str">
        <f>VLOOKUP(A1963,'PLANILHA SEM DESON'!$B$17:$D$1699,2,FALSE)</f>
        <v>TORNEIRA CROMADA DE MESA, 1/2 OU 3/4, PARA LAVATÓRIO, PADRÃO MÉDIO - FORNECIMENTO E INSTALAÇÃO. AF_01/2020</v>
      </c>
      <c r="C1963" s="1924"/>
      <c r="D1963" s="1924"/>
      <c r="E1963" s="1924"/>
      <c r="F1963" s="1924"/>
      <c r="G1963" s="1924"/>
      <c r="H1963" s="1925"/>
      <c r="I1963" s="1758" t="str">
        <f>VLOOKUP(A1963,'PLANILHA SEM DESON'!$B$17:$D$1699,3,FALSE)</f>
        <v xml:space="preserve">un </v>
      </c>
      <c r="J1963" s="1759">
        <f>I1969</f>
        <v>145.84000000000003</v>
      </c>
    </row>
    <row r="1964" spans="1:10" ht="24">
      <c r="A1964" s="1761" t="s">
        <v>2401</v>
      </c>
      <c r="B1964" s="1762" t="s">
        <v>2402</v>
      </c>
      <c r="C1964" s="1763" t="s">
        <v>2399</v>
      </c>
      <c r="D1964" s="1764" t="s">
        <v>284</v>
      </c>
      <c r="E1964" s="1763" t="s">
        <v>193</v>
      </c>
      <c r="F1964" s="1765" t="s">
        <v>2403</v>
      </c>
      <c r="G1964" s="1763" t="s">
        <v>2404</v>
      </c>
      <c r="H1964" s="1766" t="s">
        <v>2405</v>
      </c>
      <c r="I1964" s="1767" t="s">
        <v>2406</v>
      </c>
      <c r="J1964" s="1768"/>
    </row>
    <row r="1965" spans="1:10">
      <c r="A1965" s="1770" t="s">
        <v>2407</v>
      </c>
      <c r="B1965" s="1771" t="s">
        <v>2410</v>
      </c>
      <c r="C1965" s="1771">
        <v>3146</v>
      </c>
      <c r="D1965" s="1772" t="s">
        <v>2679</v>
      </c>
      <c r="E1965" s="1773" t="s">
        <v>2432</v>
      </c>
      <c r="F1965" s="1780">
        <v>2.1000000000000001E-2</v>
      </c>
      <c r="G1965" s="1774">
        <v>4.88</v>
      </c>
      <c r="H1965" s="1775">
        <f>IF(E1965="H",G1965,TRUNC(G1965*(1-$K$7),2))</f>
        <v>4.8499999999999996</v>
      </c>
      <c r="I1965" s="1776">
        <f t="shared" ref="I1965:I1968" si="279">TRUNC(H1965*F1965,2)</f>
        <v>0.1</v>
      </c>
      <c r="J1965" s="1768"/>
    </row>
    <row r="1966" spans="1:10" ht="24">
      <c r="A1966" s="1770" t="s">
        <v>2407</v>
      </c>
      <c r="B1966" s="1771" t="s">
        <v>2410</v>
      </c>
      <c r="C1966" s="1771">
        <v>36791</v>
      </c>
      <c r="D1966" s="1772" t="s">
        <v>2694</v>
      </c>
      <c r="E1966" s="1773" t="s">
        <v>2432</v>
      </c>
      <c r="F1966" s="1780">
        <v>1</v>
      </c>
      <c r="G1966" s="1774">
        <v>143.66999999999999</v>
      </c>
      <c r="H1966" s="1775">
        <f>IF(E1966="H",G1966,TRUNC(G1966*(1-$K$7),2))</f>
        <v>142.80000000000001</v>
      </c>
      <c r="I1966" s="1776">
        <f t="shared" si="279"/>
        <v>142.80000000000001</v>
      </c>
      <c r="J1966" s="1768"/>
    </row>
    <row r="1967" spans="1:10" ht="24">
      <c r="A1967" s="1770" t="s">
        <v>2407</v>
      </c>
      <c r="B1967" s="1771" t="s">
        <v>7</v>
      </c>
      <c r="C1967" s="1771">
        <v>88267</v>
      </c>
      <c r="D1967" s="1772" t="s">
        <v>102</v>
      </c>
      <c r="E1967" s="1773" t="s">
        <v>387</v>
      </c>
      <c r="F1967" s="1780">
        <v>9.6000000000000002E-2</v>
      </c>
      <c r="G1967" s="1774">
        <v>24.64</v>
      </c>
      <c r="H1967" s="1775">
        <f>IF(E1967="H",G1967,TRUNC(G1967*(1-$K$7),2))</f>
        <v>24.64</v>
      </c>
      <c r="I1967" s="1776">
        <f t="shared" si="279"/>
        <v>2.36</v>
      </c>
      <c r="J1967" s="1768"/>
    </row>
    <row r="1968" spans="1:10">
      <c r="A1968" s="1770" t="s">
        <v>2407</v>
      </c>
      <c r="B1968" s="1771" t="s">
        <v>7</v>
      </c>
      <c r="C1968" s="1771">
        <v>88316</v>
      </c>
      <c r="D1968" s="1772" t="s">
        <v>66</v>
      </c>
      <c r="E1968" s="1773" t="s">
        <v>387</v>
      </c>
      <c r="F1968" s="1780">
        <v>3.0300000000000001E-2</v>
      </c>
      <c r="G1968" s="1774">
        <v>19.45</v>
      </c>
      <c r="H1968" s="1775">
        <f>IF(E1968="H",G1968,TRUNC(G1968*(1-$K$7),2))</f>
        <v>19.45</v>
      </c>
      <c r="I1968" s="1776">
        <f t="shared" si="279"/>
        <v>0.57999999999999996</v>
      </c>
      <c r="J1968" s="1768"/>
    </row>
    <row r="1969" spans="1:10">
      <c r="A1969" s="1917" t="s">
        <v>2408</v>
      </c>
      <c r="B1969" s="1918"/>
      <c r="C1969" s="1918"/>
      <c r="D1969" s="1918"/>
      <c r="E1969" s="1918"/>
      <c r="F1969" s="1918"/>
      <c r="G1969" s="1918"/>
      <c r="H1969" s="1919"/>
      <c r="I1969" s="1778">
        <f>SUM(I1965:I1968)</f>
        <v>145.84000000000003</v>
      </c>
      <c r="J1969" s="1768"/>
    </row>
    <row r="1970" spans="1:10">
      <c r="A1970" s="1920"/>
      <c r="B1970" s="1921"/>
      <c r="C1970" s="1921"/>
      <c r="D1970" s="1921"/>
      <c r="E1970" s="1921"/>
      <c r="F1970" s="1921"/>
      <c r="G1970" s="1921"/>
      <c r="H1970" s="1921"/>
      <c r="I1970" s="1922"/>
      <c r="J1970" s="1768"/>
    </row>
    <row r="1971" spans="1:10" ht="35.25" customHeight="1">
      <c r="A1971" s="1757">
        <f>'PLANILHA SEM DESON'!B299</f>
        <v>86914</v>
      </c>
      <c r="B1971" s="1923" t="str">
        <f>VLOOKUP(A1971,'PLANILHA SEM DESON'!$B$17:$D$1699,2,FALSE)</f>
        <v>TORNEIRA CROMADA 1/2 OU 3/4 PARA TANQUE, PADRÃO MÉDIO - FORNECIMENTO E INSTALAÇÃO. AF_01/2020</v>
      </c>
      <c r="C1971" s="1924"/>
      <c r="D1971" s="1924"/>
      <c r="E1971" s="1924"/>
      <c r="F1971" s="1924"/>
      <c r="G1971" s="1924"/>
      <c r="H1971" s="1925"/>
      <c r="I1971" s="1758" t="str">
        <f>VLOOKUP(A1971,'PLANILHA SEM DESON'!$B$17:$D$1699,3,FALSE)</f>
        <v xml:space="preserve">un </v>
      </c>
      <c r="J1971" s="1759">
        <f>I1977</f>
        <v>99.93</v>
      </c>
    </row>
    <row r="1972" spans="1:10" ht="24">
      <c r="A1972" s="1761" t="s">
        <v>2401</v>
      </c>
      <c r="B1972" s="1762" t="s">
        <v>2402</v>
      </c>
      <c r="C1972" s="1763" t="s">
        <v>2399</v>
      </c>
      <c r="D1972" s="1764" t="s">
        <v>284</v>
      </c>
      <c r="E1972" s="1763" t="s">
        <v>193</v>
      </c>
      <c r="F1972" s="1765" t="s">
        <v>2403</v>
      </c>
      <c r="G1972" s="1763" t="s">
        <v>2404</v>
      </c>
      <c r="H1972" s="1766" t="s">
        <v>2405</v>
      </c>
      <c r="I1972" s="1767" t="s">
        <v>2406</v>
      </c>
      <c r="J1972" s="1768"/>
    </row>
    <row r="1973" spans="1:10">
      <c r="A1973" s="1770" t="s">
        <v>2407</v>
      </c>
      <c r="B1973" s="1771" t="s">
        <v>2410</v>
      </c>
      <c r="C1973" s="1771">
        <v>3146</v>
      </c>
      <c r="D1973" s="1772" t="s">
        <v>2679</v>
      </c>
      <c r="E1973" s="1773" t="s">
        <v>2432</v>
      </c>
      <c r="F1973" s="1780">
        <v>2.1000000000000001E-2</v>
      </c>
      <c r="G1973" s="1774">
        <v>4.88</v>
      </c>
      <c r="H1973" s="1775">
        <f>IF(E1973="H",G1973,TRUNC(G1973*(1-$K$7),2))</f>
        <v>4.8499999999999996</v>
      </c>
      <c r="I1973" s="1776">
        <f t="shared" ref="I1973:I1976" si="280">TRUNC(H1973*F1973,2)</f>
        <v>0.1</v>
      </c>
      <c r="J1973" s="1768"/>
    </row>
    <row r="1974" spans="1:10" ht="36">
      <c r="A1974" s="1770" t="s">
        <v>2407</v>
      </c>
      <c r="B1974" s="1771" t="s">
        <v>2410</v>
      </c>
      <c r="C1974" s="1771">
        <v>13417</v>
      </c>
      <c r="D1974" s="1772" t="s">
        <v>2695</v>
      </c>
      <c r="E1974" s="1773" t="s">
        <v>2432</v>
      </c>
      <c r="F1974" s="1780">
        <v>1</v>
      </c>
      <c r="G1974" s="1774">
        <v>95.73</v>
      </c>
      <c r="H1974" s="1775">
        <f>IF(E1974="H",G1974,TRUNC(G1974*(1-$K$7),2))</f>
        <v>95.15</v>
      </c>
      <c r="I1974" s="1776">
        <f t="shared" si="280"/>
        <v>95.15</v>
      </c>
      <c r="J1974" s="1768"/>
    </row>
    <row r="1975" spans="1:10" ht="24">
      <c r="A1975" s="1770" t="s">
        <v>2407</v>
      </c>
      <c r="B1975" s="1771" t="s">
        <v>7</v>
      </c>
      <c r="C1975" s="1771">
        <v>88267</v>
      </c>
      <c r="D1975" s="1772" t="s">
        <v>102</v>
      </c>
      <c r="E1975" s="1773" t="s">
        <v>387</v>
      </c>
      <c r="F1975" s="1780">
        <v>0.1525</v>
      </c>
      <c r="G1975" s="1774">
        <v>24.64</v>
      </c>
      <c r="H1975" s="1775">
        <f>IF(E1975="H",G1975,TRUNC(G1975*(1-$K$7),2))</f>
        <v>24.64</v>
      </c>
      <c r="I1975" s="1776">
        <f t="shared" si="280"/>
        <v>3.75</v>
      </c>
      <c r="J1975" s="1768"/>
    </row>
    <row r="1976" spans="1:10">
      <c r="A1976" s="1770" t="s">
        <v>2407</v>
      </c>
      <c r="B1976" s="1771" t="s">
        <v>7</v>
      </c>
      <c r="C1976" s="1771">
        <v>88316</v>
      </c>
      <c r="D1976" s="1772" t="s">
        <v>66</v>
      </c>
      <c r="E1976" s="1773" t="s">
        <v>387</v>
      </c>
      <c r="F1976" s="1780">
        <v>4.8099999999999997E-2</v>
      </c>
      <c r="G1976" s="1774">
        <v>19.45</v>
      </c>
      <c r="H1976" s="1775">
        <f>IF(E1976="H",G1976,TRUNC(G1976*(1-$K$7),2))</f>
        <v>19.45</v>
      </c>
      <c r="I1976" s="1776">
        <f t="shared" si="280"/>
        <v>0.93</v>
      </c>
      <c r="J1976" s="1768"/>
    </row>
    <row r="1977" spans="1:10">
      <c r="A1977" s="1917" t="s">
        <v>2408</v>
      </c>
      <c r="B1977" s="1918"/>
      <c r="C1977" s="1918"/>
      <c r="D1977" s="1918"/>
      <c r="E1977" s="1918"/>
      <c r="F1977" s="1918"/>
      <c r="G1977" s="1918"/>
      <c r="H1977" s="1919"/>
      <c r="I1977" s="1778">
        <f>SUM(I1973:I1976)</f>
        <v>99.93</v>
      </c>
      <c r="J1977" s="1768"/>
    </row>
    <row r="1978" spans="1:10">
      <c r="A1978" s="1920"/>
      <c r="B1978" s="1921"/>
      <c r="C1978" s="1921"/>
      <c r="D1978" s="1921"/>
      <c r="E1978" s="1921"/>
      <c r="F1978" s="1921"/>
      <c r="G1978" s="1921"/>
      <c r="H1978" s="1921"/>
      <c r="I1978" s="1922"/>
      <c r="J1978" s="1768"/>
    </row>
    <row r="1979" spans="1:10">
      <c r="A1979" s="1757" t="str">
        <f>'PLANILHA SEM DESON'!B300</f>
        <v>COMP 06</v>
      </c>
      <c r="B1979" s="1923" t="str">
        <f>VLOOKUP(A1979,'PLANILHA SEM DESON'!$B$17:$D$1699,2,FALSE)</f>
        <v>FORNECIMENTO E INSTALAÇÃO DE BARRA DE APOIO RETA,EM ALUMÍNIO,40 CM - FIXADA  EM PAREDE</v>
      </c>
      <c r="C1979" s="1924"/>
      <c r="D1979" s="1924"/>
      <c r="E1979" s="1924"/>
      <c r="F1979" s="1924"/>
      <c r="G1979" s="1924"/>
      <c r="H1979" s="1925"/>
      <c r="I1979" s="1758" t="str">
        <f>VLOOKUP(A1979,'PLANILHA SEM DESON'!$B$17:$D$1699,3,FALSE)</f>
        <v xml:space="preserve">un </v>
      </c>
      <c r="J1979" s="1759">
        <f>I1985</f>
        <v>408.09999999999997</v>
      </c>
    </row>
    <row r="1980" spans="1:10" ht="24">
      <c r="A1980" s="1761" t="s">
        <v>2401</v>
      </c>
      <c r="B1980" s="1762" t="s">
        <v>2402</v>
      </c>
      <c r="C1980" s="1763" t="s">
        <v>2399</v>
      </c>
      <c r="D1980" s="1764" t="s">
        <v>284</v>
      </c>
      <c r="E1980" s="1763" t="s">
        <v>193</v>
      </c>
      <c r="F1980" s="1765" t="s">
        <v>2403</v>
      </c>
      <c r="G1980" s="1763" t="s">
        <v>2404</v>
      </c>
      <c r="H1980" s="1766" t="s">
        <v>2405</v>
      </c>
      <c r="I1980" s="1767" t="s">
        <v>2406</v>
      </c>
      <c r="J1980" s="1768"/>
    </row>
    <row r="1981" spans="1:10" ht="24">
      <c r="A1981" s="1770"/>
      <c r="B1981" s="1771"/>
      <c r="C1981" s="1771">
        <v>88267</v>
      </c>
      <c r="D1981" s="1772" t="s">
        <v>102</v>
      </c>
      <c r="E1981" s="1773" t="s">
        <v>57</v>
      </c>
      <c r="F1981" s="1782">
        <v>0.94850000000000001</v>
      </c>
      <c r="G1981" s="1779">
        <v>24.64</v>
      </c>
      <c r="H1981" s="1775">
        <f>IF(E1981="H",G1981,TRUNC(G1981*(1-$K$7),2))</f>
        <v>24.64</v>
      </c>
      <c r="I1981" s="1776">
        <f t="shared" ref="I1981:I1984" si="281">TRUNC(H1981*F1981,2)</f>
        <v>23.37</v>
      </c>
      <c r="J1981" s="1768"/>
    </row>
    <row r="1982" spans="1:10">
      <c r="A1982" s="1770"/>
      <c r="B1982" s="1771"/>
      <c r="C1982" s="1771">
        <v>88316</v>
      </c>
      <c r="D1982" s="1772" t="s">
        <v>66</v>
      </c>
      <c r="E1982" s="1773" t="s">
        <v>57</v>
      </c>
      <c r="F1982" s="1782">
        <v>0.29880000000000001</v>
      </c>
      <c r="G1982" s="1781">
        <v>19.45</v>
      </c>
      <c r="H1982" s="1775">
        <f>IF(E1982="H",G1982,TRUNC(G1982*(1-$K$7),2))</f>
        <v>19.45</v>
      </c>
      <c r="I1982" s="1776">
        <f t="shared" si="281"/>
        <v>5.81</v>
      </c>
      <c r="J1982" s="1768"/>
    </row>
    <row r="1983" spans="1:10" ht="24">
      <c r="A1983" s="1770"/>
      <c r="B1983" s="1771"/>
      <c r="C1983" s="1771" t="s">
        <v>65</v>
      </c>
      <c r="D1983" s="1772" t="s">
        <v>409</v>
      </c>
      <c r="E1983" s="1773" t="s">
        <v>55</v>
      </c>
      <c r="F1983" s="1779">
        <v>1</v>
      </c>
      <c r="G1983" s="1779">
        <v>269.89999999999998</v>
      </c>
      <c r="H1983" s="1775">
        <f>IF(E1983="H",G1983,TRUNC(G1983*(1-$K$7),2))</f>
        <v>268.27999999999997</v>
      </c>
      <c r="I1983" s="1776">
        <f t="shared" si="281"/>
        <v>268.27999999999997</v>
      </c>
      <c r="J1983" s="1768"/>
    </row>
    <row r="1984" spans="1:10" ht="36">
      <c r="A1984" s="1770"/>
      <c r="B1984" s="1771"/>
      <c r="C1984" s="1771">
        <v>4351</v>
      </c>
      <c r="D1984" s="1772" t="s">
        <v>408</v>
      </c>
      <c r="E1984" s="1773" t="s">
        <v>55</v>
      </c>
      <c r="F1984" s="1779">
        <v>6</v>
      </c>
      <c r="G1984" s="1779">
        <v>18.559999999999999</v>
      </c>
      <c r="H1984" s="1775">
        <f>IF(E1984="H",G1984,TRUNC(G1984*(1-$K$7),2))</f>
        <v>18.440000000000001</v>
      </c>
      <c r="I1984" s="1776">
        <f t="shared" si="281"/>
        <v>110.64</v>
      </c>
      <c r="J1984" s="1768"/>
    </row>
    <row r="1985" spans="1:10">
      <c r="A1985" s="1917" t="s">
        <v>2408</v>
      </c>
      <c r="B1985" s="1918"/>
      <c r="C1985" s="1918"/>
      <c r="D1985" s="1918"/>
      <c r="E1985" s="1918"/>
      <c r="F1985" s="1918"/>
      <c r="G1985" s="1918"/>
      <c r="H1985" s="1919"/>
      <c r="I1985" s="1778">
        <f>SUM(I1981:I1984)</f>
        <v>408.09999999999997</v>
      </c>
      <c r="J1985" s="1768"/>
    </row>
    <row r="1986" spans="1:10">
      <c r="A1986" s="1920"/>
      <c r="B1986" s="1921"/>
      <c r="C1986" s="1921"/>
      <c r="D1986" s="1921"/>
      <c r="E1986" s="1921"/>
      <c r="F1986" s="1921"/>
      <c r="G1986" s="1921"/>
      <c r="H1986" s="1921"/>
      <c r="I1986" s="1922"/>
      <c r="J1986" s="1768"/>
    </row>
    <row r="1987" spans="1:10">
      <c r="A1987" s="1757" t="str">
        <f>'PLANILHA SEM DESON'!B301</f>
        <v>COMP 15</v>
      </c>
      <c r="B1987" s="1923" t="str">
        <f>VLOOKUP(A1987,'PLANILHA SEM DESON'!$B$17:$D$1699,2,FALSE)</f>
        <v>FORNECIMENTO E INSTALAÇÃO DE BARRA DE APOIO RETA,EM ALUMÍNIO,80 CM-FIXADA NA PAREDE</v>
      </c>
      <c r="C1987" s="1924"/>
      <c r="D1987" s="1924"/>
      <c r="E1987" s="1924"/>
      <c r="F1987" s="1924"/>
      <c r="G1987" s="1924"/>
      <c r="H1987" s="1925"/>
      <c r="I1987" s="1758" t="str">
        <f>VLOOKUP(A1987,'PLANILHA SEM DESON'!$B$17:$D$1699,3,FALSE)</f>
        <v xml:space="preserve">un </v>
      </c>
      <c r="J1987" s="1759">
        <f>I1993</f>
        <v>307.8</v>
      </c>
    </row>
    <row r="1988" spans="1:10" ht="24">
      <c r="A1988" s="1761" t="s">
        <v>2401</v>
      </c>
      <c r="B1988" s="1762" t="s">
        <v>2402</v>
      </c>
      <c r="C1988" s="1763" t="s">
        <v>2399</v>
      </c>
      <c r="D1988" s="1764" t="s">
        <v>284</v>
      </c>
      <c r="E1988" s="1763" t="s">
        <v>193</v>
      </c>
      <c r="F1988" s="1765" t="s">
        <v>2403</v>
      </c>
      <c r="G1988" s="1763" t="s">
        <v>2404</v>
      </c>
      <c r="H1988" s="1766" t="s">
        <v>2405</v>
      </c>
      <c r="I1988" s="1767" t="s">
        <v>2406</v>
      </c>
      <c r="J1988" s="1768"/>
    </row>
    <row r="1989" spans="1:10" ht="24">
      <c r="A1989" s="1770"/>
      <c r="B1989" s="1771"/>
      <c r="C1989" s="1771">
        <v>88267</v>
      </c>
      <c r="D1989" s="1772" t="s">
        <v>102</v>
      </c>
      <c r="E1989" s="1773" t="s">
        <v>57</v>
      </c>
      <c r="F1989" s="1782">
        <v>0.94850000000000001</v>
      </c>
      <c r="G1989" s="1779">
        <v>24.64</v>
      </c>
      <c r="H1989" s="1775">
        <f>IF(E1989="H",G1989,TRUNC(G1989*(1-$K$7),2))</f>
        <v>24.64</v>
      </c>
      <c r="I1989" s="1776">
        <f t="shared" ref="I1989:I1992" si="282">TRUNC(H1989*F1989,2)</f>
        <v>23.37</v>
      </c>
      <c r="J1989" s="1768"/>
    </row>
    <row r="1990" spans="1:10">
      <c r="A1990" s="1770"/>
      <c r="B1990" s="1771"/>
      <c r="C1990" s="1771">
        <v>88316</v>
      </c>
      <c r="D1990" s="1772" t="s">
        <v>66</v>
      </c>
      <c r="E1990" s="1773" t="s">
        <v>57</v>
      </c>
      <c r="F1990" s="1782">
        <v>0.29880000000000001</v>
      </c>
      <c r="G1990" s="1781">
        <v>19.45</v>
      </c>
      <c r="H1990" s="1775">
        <f>IF(E1990="H",G1990,TRUNC(G1990*(1-$K$7),2))</f>
        <v>19.45</v>
      </c>
      <c r="I1990" s="1776">
        <f t="shared" si="282"/>
        <v>5.81</v>
      </c>
      <c r="J1990" s="1768"/>
    </row>
    <row r="1991" spans="1:10" ht="24">
      <c r="A1991" s="1770"/>
      <c r="B1991" s="1771"/>
      <c r="C1991" s="1771">
        <v>36080</v>
      </c>
      <c r="D1991" s="1772" t="s">
        <v>403</v>
      </c>
      <c r="E1991" s="1773" t="s">
        <v>55</v>
      </c>
      <c r="F1991" s="1779">
        <v>1</v>
      </c>
      <c r="G1991" s="1779">
        <v>169</v>
      </c>
      <c r="H1991" s="1775">
        <f>IF(E1991="H",G1991,TRUNC(G1991*(1-$K$7),2))</f>
        <v>167.98</v>
      </c>
      <c r="I1991" s="1776">
        <f t="shared" si="282"/>
        <v>167.98</v>
      </c>
      <c r="J1991" s="1768"/>
    </row>
    <row r="1992" spans="1:10" ht="36">
      <c r="A1992" s="1770"/>
      <c r="B1992" s="1771"/>
      <c r="C1992" s="1771">
        <v>4351</v>
      </c>
      <c r="D1992" s="1772" t="s">
        <v>408</v>
      </c>
      <c r="E1992" s="1773" t="s">
        <v>55</v>
      </c>
      <c r="F1992" s="1779">
        <v>6</v>
      </c>
      <c r="G1992" s="1779">
        <v>18.559999999999999</v>
      </c>
      <c r="H1992" s="1775">
        <f>IF(E1992="H",G1992,TRUNC(G1992*(1-$K$7),2))</f>
        <v>18.440000000000001</v>
      </c>
      <c r="I1992" s="1776">
        <f t="shared" si="282"/>
        <v>110.64</v>
      </c>
      <c r="J1992" s="1768"/>
    </row>
    <row r="1993" spans="1:10">
      <c r="A1993" s="1917" t="s">
        <v>2408</v>
      </c>
      <c r="B1993" s="1918"/>
      <c r="C1993" s="1918"/>
      <c r="D1993" s="1918"/>
      <c r="E1993" s="1918"/>
      <c r="F1993" s="1918"/>
      <c r="G1993" s="1918"/>
      <c r="H1993" s="1919"/>
      <c r="I1993" s="1778">
        <f>SUM(I1989:I1992)</f>
        <v>307.8</v>
      </c>
      <c r="J1993" s="1768"/>
    </row>
    <row r="1994" spans="1:10">
      <c r="A1994" s="1920"/>
      <c r="B1994" s="1921"/>
      <c r="C1994" s="1921"/>
      <c r="D1994" s="1921"/>
      <c r="E1994" s="1921"/>
      <c r="F1994" s="1921"/>
      <c r="G1994" s="1921"/>
      <c r="H1994" s="1921"/>
      <c r="I1994" s="1922"/>
      <c r="J1994" s="1768"/>
    </row>
    <row r="1995" spans="1:10">
      <c r="A1995" s="1757" t="str">
        <f>'PLANILHA SEM DESON'!B302</f>
        <v>COMP 16</v>
      </c>
      <c r="B1995" s="1923" t="str">
        <f>VLOOKUP(A1995,'PLANILHA SEM DESON'!$B$17:$D$1699,2,FALSE)</f>
        <v>FORNECIMENTO E INSTALAÇÃO DE BARRA DE APOIO RETA,EM ALUMÍNIO,70 CM-FIXADA NA PAREDE</v>
      </c>
      <c r="C1995" s="1924"/>
      <c r="D1995" s="1924"/>
      <c r="E1995" s="1924"/>
      <c r="F1995" s="1924"/>
      <c r="G1995" s="1924"/>
      <c r="H1995" s="1925"/>
      <c r="I1995" s="1758" t="str">
        <f>VLOOKUP(A1995,'PLANILHA SEM DESON'!$B$17:$D$1699,3,FALSE)</f>
        <v xml:space="preserve">un </v>
      </c>
      <c r="J1995" s="1759">
        <f>I2001</f>
        <v>295.12</v>
      </c>
    </row>
    <row r="1996" spans="1:10" ht="24">
      <c r="A1996" s="1761" t="s">
        <v>2401</v>
      </c>
      <c r="B1996" s="1762" t="s">
        <v>2402</v>
      </c>
      <c r="C1996" s="1763" t="s">
        <v>2399</v>
      </c>
      <c r="D1996" s="1764" t="s">
        <v>284</v>
      </c>
      <c r="E1996" s="1763" t="s">
        <v>193</v>
      </c>
      <c r="F1996" s="1765" t="s">
        <v>2403</v>
      </c>
      <c r="G1996" s="1763" t="s">
        <v>2404</v>
      </c>
      <c r="H1996" s="1766" t="s">
        <v>2405</v>
      </c>
      <c r="I1996" s="1767" t="s">
        <v>2406</v>
      </c>
      <c r="J1996" s="1768"/>
    </row>
    <row r="1997" spans="1:10" ht="24">
      <c r="A1997" s="1770"/>
      <c r="B1997" s="1771"/>
      <c r="C1997" s="1771">
        <v>88267</v>
      </c>
      <c r="D1997" s="1772" t="s">
        <v>102</v>
      </c>
      <c r="E1997" s="1773" t="s">
        <v>57</v>
      </c>
      <c r="F1997" s="1782">
        <v>0.94850000000000001</v>
      </c>
      <c r="G1997" s="1779">
        <v>24.64</v>
      </c>
      <c r="H1997" s="1775">
        <f>IF(E1997="H",G1997,TRUNC(G1997*(1-$K$7),2))</f>
        <v>24.64</v>
      </c>
      <c r="I1997" s="1776">
        <f t="shared" ref="I1997:I2000" si="283">TRUNC(H1997*F1997,2)</f>
        <v>23.37</v>
      </c>
      <c r="J1997" s="1768"/>
    </row>
    <row r="1998" spans="1:10">
      <c r="A1998" s="1770"/>
      <c r="B1998" s="1771"/>
      <c r="C1998" s="1771">
        <v>88316</v>
      </c>
      <c r="D1998" s="1772" t="s">
        <v>66</v>
      </c>
      <c r="E1998" s="1773" t="s">
        <v>57</v>
      </c>
      <c r="F1998" s="1782">
        <v>0.29880000000000001</v>
      </c>
      <c r="G1998" s="1781">
        <v>19.45</v>
      </c>
      <c r="H1998" s="1775">
        <f>IF(E1998="H",G1998,TRUNC(G1998*(1-$K$7),2))</f>
        <v>19.45</v>
      </c>
      <c r="I1998" s="1776">
        <f t="shared" si="283"/>
        <v>5.81</v>
      </c>
      <c r="J1998" s="1768"/>
    </row>
    <row r="1999" spans="1:10" ht="24">
      <c r="A1999" s="1770"/>
      <c r="B1999" s="1771"/>
      <c r="C1999" s="1771">
        <v>36220</v>
      </c>
      <c r="D1999" s="1772" t="s">
        <v>403</v>
      </c>
      <c r="E1999" s="1773" t="s">
        <v>55</v>
      </c>
      <c r="F1999" s="1779">
        <v>1</v>
      </c>
      <c r="G1999" s="1779">
        <v>156.24</v>
      </c>
      <c r="H1999" s="1775">
        <f>IF(E1999="H",G1999,TRUNC(G1999*(1-$K$7),2))</f>
        <v>155.30000000000001</v>
      </c>
      <c r="I1999" s="1776">
        <f t="shared" si="283"/>
        <v>155.30000000000001</v>
      </c>
      <c r="J1999" s="1768"/>
    </row>
    <row r="2000" spans="1:10" ht="36">
      <c r="A2000" s="1770"/>
      <c r="B2000" s="1771"/>
      <c r="C2000" s="1771">
        <v>4351</v>
      </c>
      <c r="D2000" s="1772" t="s">
        <v>408</v>
      </c>
      <c r="E2000" s="1773" t="s">
        <v>55</v>
      </c>
      <c r="F2000" s="1779">
        <v>6</v>
      </c>
      <c r="G2000" s="1779">
        <v>18.559999999999999</v>
      </c>
      <c r="H2000" s="1775">
        <f>IF(E2000="H",G2000,TRUNC(G2000*(1-$K$7),2))</f>
        <v>18.440000000000001</v>
      </c>
      <c r="I2000" s="1776">
        <f t="shared" si="283"/>
        <v>110.64</v>
      </c>
      <c r="J2000" s="1768"/>
    </row>
    <row r="2001" spans="1:10">
      <c r="A2001" s="1917" t="s">
        <v>2408</v>
      </c>
      <c r="B2001" s="1918"/>
      <c r="C2001" s="1918"/>
      <c r="D2001" s="1918"/>
      <c r="E2001" s="1918"/>
      <c r="F2001" s="1918"/>
      <c r="G2001" s="1918"/>
      <c r="H2001" s="1919"/>
      <c r="I2001" s="1778">
        <f>SUM(I1997:I2000)</f>
        <v>295.12</v>
      </c>
      <c r="J2001" s="1768"/>
    </row>
    <row r="2002" spans="1:10">
      <c r="A2002" s="1920"/>
      <c r="B2002" s="1921"/>
      <c r="C2002" s="1921"/>
      <c r="D2002" s="1921"/>
      <c r="E2002" s="1921"/>
      <c r="F2002" s="1921"/>
      <c r="G2002" s="1921"/>
      <c r="H2002" s="1921"/>
      <c r="I2002" s="1922"/>
      <c r="J2002" s="1768"/>
    </row>
    <row r="2003" spans="1:10" ht="24.75" customHeight="1">
      <c r="A2003" s="1757">
        <f>'PLANILHA SEM DESON'!B303</f>
        <v>95547</v>
      </c>
      <c r="B2003" s="1923" t="str">
        <f>VLOOKUP(A2003,'PLANILHA SEM DESON'!$B$17:$D$1699,2,FALSE)</f>
        <v>SABONETEIRA PLASTICA TIPO DISPENSER PARA SABONETE LIQUIDO COM RESERVATORIO 800 A 1500 ML, INCLUSO FIXAÇÃO. AF_01/2020</v>
      </c>
      <c r="C2003" s="1924"/>
      <c r="D2003" s="1924"/>
      <c r="E2003" s="1924"/>
      <c r="F2003" s="1924"/>
      <c r="G2003" s="1924"/>
      <c r="H2003" s="1925"/>
      <c r="I2003" s="1758" t="str">
        <f>VLOOKUP(A2003,'PLANILHA SEM DESON'!$B$17:$D$1699,3,FALSE)</f>
        <v xml:space="preserve">un </v>
      </c>
      <c r="J2003" s="1759">
        <f>I2008</f>
        <v>74.110000000000014</v>
      </c>
    </row>
    <row r="2004" spans="1:10" ht="24">
      <c r="A2004" s="1761" t="s">
        <v>2401</v>
      </c>
      <c r="B2004" s="1762" t="s">
        <v>2402</v>
      </c>
      <c r="C2004" s="1763" t="s">
        <v>2399</v>
      </c>
      <c r="D2004" s="1764" t="s">
        <v>284</v>
      </c>
      <c r="E2004" s="1763" t="s">
        <v>193</v>
      </c>
      <c r="F2004" s="1765" t="s">
        <v>2403</v>
      </c>
      <c r="G2004" s="1763" t="s">
        <v>2404</v>
      </c>
      <c r="H2004" s="1766" t="s">
        <v>2405</v>
      </c>
      <c r="I2004" s="1767" t="s">
        <v>2406</v>
      </c>
      <c r="J2004" s="1768"/>
    </row>
    <row r="2005" spans="1:10" ht="24">
      <c r="A2005" s="1770" t="s">
        <v>2407</v>
      </c>
      <c r="B2005" s="1771" t="s">
        <v>2410</v>
      </c>
      <c r="C2005" s="1771">
        <v>11758</v>
      </c>
      <c r="D2005" s="1772" t="s">
        <v>2696</v>
      </c>
      <c r="E2005" s="1773" t="s">
        <v>2432</v>
      </c>
      <c r="F2005" s="1780">
        <v>1</v>
      </c>
      <c r="G2005" s="1774">
        <v>64.78</v>
      </c>
      <c r="H2005" s="1775">
        <f>IF(E2005="H",G2005,TRUNC(G2005*(1-$K$7),2))</f>
        <v>64.39</v>
      </c>
      <c r="I2005" s="1776">
        <f t="shared" ref="I2005:I2007" si="284">TRUNC(H2005*F2005,2)</f>
        <v>64.39</v>
      </c>
      <c r="J2005" s="1768"/>
    </row>
    <row r="2006" spans="1:10" ht="24">
      <c r="A2006" s="1770" t="s">
        <v>2407</v>
      </c>
      <c r="B2006" s="1771" t="s">
        <v>7</v>
      </c>
      <c r="C2006" s="1771">
        <v>88267</v>
      </c>
      <c r="D2006" s="1772" t="s">
        <v>102</v>
      </c>
      <c r="E2006" s="1773" t="s">
        <v>387</v>
      </c>
      <c r="F2006" s="1780">
        <v>0.31619999999999998</v>
      </c>
      <c r="G2006" s="1774">
        <v>24.64</v>
      </c>
      <c r="H2006" s="1775">
        <f>IF(E2006="H",G2006,TRUNC(G2006*(1-$K$7),2))</f>
        <v>24.64</v>
      </c>
      <c r="I2006" s="1776">
        <f t="shared" si="284"/>
        <v>7.79</v>
      </c>
      <c r="J2006" s="1768"/>
    </row>
    <row r="2007" spans="1:10">
      <c r="A2007" s="1770" t="s">
        <v>2407</v>
      </c>
      <c r="B2007" s="1771" t="s">
        <v>7</v>
      </c>
      <c r="C2007" s="1771">
        <v>88316</v>
      </c>
      <c r="D2007" s="1772" t="s">
        <v>66</v>
      </c>
      <c r="E2007" s="1773" t="s">
        <v>387</v>
      </c>
      <c r="F2007" s="1780">
        <v>9.9599999999999994E-2</v>
      </c>
      <c r="G2007" s="1774">
        <v>19.45</v>
      </c>
      <c r="H2007" s="1775">
        <f>IF(E2007="H",G2007,TRUNC(G2007*(1-$K$7),2))</f>
        <v>19.45</v>
      </c>
      <c r="I2007" s="1776">
        <f t="shared" si="284"/>
        <v>1.93</v>
      </c>
      <c r="J2007" s="1768"/>
    </row>
    <row r="2008" spans="1:10">
      <c r="A2008" s="1917" t="s">
        <v>2408</v>
      </c>
      <c r="B2008" s="1918"/>
      <c r="C2008" s="1918"/>
      <c r="D2008" s="1918"/>
      <c r="E2008" s="1918"/>
      <c r="F2008" s="1918"/>
      <c r="G2008" s="1918"/>
      <c r="H2008" s="1919"/>
      <c r="I2008" s="1778">
        <f>SUM(I2005:I2007)</f>
        <v>74.110000000000014</v>
      </c>
      <c r="J2008" s="1768"/>
    </row>
    <row r="2009" spans="1:10">
      <c r="A2009" s="1920"/>
      <c r="B2009" s="1921"/>
      <c r="C2009" s="1921"/>
      <c r="D2009" s="1921"/>
      <c r="E2009" s="1921"/>
      <c r="F2009" s="1921"/>
      <c r="G2009" s="1921"/>
      <c r="H2009" s="1921"/>
      <c r="I2009" s="1922"/>
      <c r="J2009" s="1768"/>
    </row>
    <row r="2010" spans="1:10" ht="24" customHeight="1">
      <c r="A2010" s="1757" t="str">
        <f>'PLANILHA SEM DESON'!B304</f>
        <v>COMP 17</v>
      </c>
      <c r="B2010" s="1923" t="str">
        <f>VLOOKUP(A2010,'PLANILHA SEM DESON'!$B$17:$D$1699,2,FALSE)</f>
        <v>ESPELHO PARA BANHEIRO ESPESSURA 4 MM, INCLUINDO CHAPA COMPENSADA 10 MM, MOLDURA DEE ALUMÍNIO EM PERFIL 3/4", FIXADO COM PARAFUSOS CROMADOS.</v>
      </c>
      <c r="C2010" s="1924"/>
      <c r="D2010" s="1924"/>
      <c r="E2010" s="1924"/>
      <c r="F2010" s="1924"/>
      <c r="G2010" s="1924"/>
      <c r="H2010" s="1925"/>
      <c r="I2010" s="1758" t="str">
        <f>VLOOKUP(A2010,'PLANILHA SEM DESON'!$B$17:$D$1699,3,FALSE)</f>
        <v>m²</v>
      </c>
      <c r="J2010" s="1759">
        <f>I2018</f>
        <v>1091.5900000000001</v>
      </c>
    </row>
    <row r="2011" spans="1:10" ht="24">
      <c r="A2011" s="1761" t="s">
        <v>2401</v>
      </c>
      <c r="B2011" s="1762" t="s">
        <v>2402</v>
      </c>
      <c r="C2011" s="1763" t="s">
        <v>2399</v>
      </c>
      <c r="D2011" s="1764" t="s">
        <v>284</v>
      </c>
      <c r="E2011" s="1763" t="s">
        <v>193</v>
      </c>
      <c r="F2011" s="1765" t="s">
        <v>2403</v>
      </c>
      <c r="G2011" s="1763" t="s">
        <v>2404</v>
      </c>
      <c r="H2011" s="1766" t="s">
        <v>2405</v>
      </c>
      <c r="I2011" s="1767" t="s">
        <v>2406</v>
      </c>
      <c r="J2011" s="1768"/>
    </row>
    <row r="2012" spans="1:10" ht="24">
      <c r="A2012" s="1770"/>
      <c r="B2012" s="1771"/>
      <c r="C2012" s="1771">
        <v>88262</v>
      </c>
      <c r="D2012" s="1772" t="s">
        <v>411</v>
      </c>
      <c r="E2012" s="1773" t="s">
        <v>57</v>
      </c>
      <c r="F2012" s="1782">
        <v>2.5</v>
      </c>
      <c r="G2012" s="1779">
        <v>24.32</v>
      </c>
      <c r="H2012" s="1775">
        <f t="shared" ref="H2012:H2017" si="285">IF(E2012="H",G2012,TRUNC(G2012*(1-$K$7),2))</f>
        <v>24.32</v>
      </c>
      <c r="I2012" s="1776">
        <f t="shared" ref="I2012:I2017" si="286">TRUNC(H2012*F2012,2)</f>
        <v>60.8</v>
      </c>
      <c r="J2012" s="1768"/>
    </row>
    <row r="2013" spans="1:10" ht="24">
      <c r="A2013" s="1770"/>
      <c r="B2013" s="1771"/>
      <c r="C2013" s="1771">
        <v>88239</v>
      </c>
      <c r="D2013" s="1772" t="s">
        <v>423</v>
      </c>
      <c r="E2013" s="1773" t="s">
        <v>57</v>
      </c>
      <c r="F2013" s="1782">
        <v>2.5</v>
      </c>
      <c r="G2013" s="1779">
        <v>20.55</v>
      </c>
      <c r="H2013" s="1775">
        <f t="shared" si="285"/>
        <v>20.55</v>
      </c>
      <c r="I2013" s="1776">
        <f t="shared" si="286"/>
        <v>51.37</v>
      </c>
      <c r="J2013" s="1768"/>
    </row>
    <row r="2014" spans="1:10">
      <c r="A2014" s="1770"/>
      <c r="B2014" s="1771"/>
      <c r="C2014" s="1771">
        <v>584</v>
      </c>
      <c r="D2014" s="1772" t="s">
        <v>2211</v>
      </c>
      <c r="E2014" s="1773" t="s">
        <v>54</v>
      </c>
      <c r="F2014" s="1779">
        <v>3.5</v>
      </c>
      <c r="G2014" s="1779">
        <v>35</v>
      </c>
      <c r="H2014" s="1775">
        <f t="shared" si="285"/>
        <v>34.79</v>
      </c>
      <c r="I2014" s="1776">
        <f t="shared" si="286"/>
        <v>121.76</v>
      </c>
      <c r="J2014" s="1768"/>
    </row>
    <row r="2015" spans="1:10" ht="36">
      <c r="A2015" s="1770"/>
      <c r="B2015" s="1771"/>
      <c r="C2015" s="1771">
        <v>4358</v>
      </c>
      <c r="D2015" s="1772" t="s">
        <v>1453</v>
      </c>
      <c r="E2015" s="1773" t="s">
        <v>55</v>
      </c>
      <c r="F2015" s="1779">
        <v>2.5</v>
      </c>
      <c r="G2015" s="1779">
        <v>2.2599999999999998</v>
      </c>
      <c r="H2015" s="1775">
        <f t="shared" si="285"/>
        <v>2.2400000000000002</v>
      </c>
      <c r="I2015" s="1776">
        <f t="shared" si="286"/>
        <v>5.6</v>
      </c>
      <c r="J2015" s="1768"/>
    </row>
    <row r="2016" spans="1:10" ht="24">
      <c r="A2016" s="1770"/>
      <c r="B2016" s="1771"/>
      <c r="C2016" s="1771">
        <v>11134</v>
      </c>
      <c r="D2016" s="1772" t="s">
        <v>1452</v>
      </c>
      <c r="E2016" s="1773" t="s">
        <v>46</v>
      </c>
      <c r="F2016" s="1779">
        <v>1.1000000000000001</v>
      </c>
      <c r="G2016" s="1779">
        <v>110.43</v>
      </c>
      <c r="H2016" s="1775">
        <f t="shared" si="285"/>
        <v>109.76</v>
      </c>
      <c r="I2016" s="1776">
        <f t="shared" si="286"/>
        <v>120.73</v>
      </c>
      <c r="J2016" s="1768"/>
    </row>
    <row r="2017" spans="1:10">
      <c r="A2017" s="1770"/>
      <c r="B2017" s="1771"/>
      <c r="C2017" s="1771">
        <v>11186</v>
      </c>
      <c r="D2017" s="1772" t="s">
        <v>1451</v>
      </c>
      <c r="E2017" s="1773" t="s">
        <v>46</v>
      </c>
      <c r="F2017" s="1779">
        <v>1.1000000000000001</v>
      </c>
      <c r="G2017" s="1779">
        <v>668.87</v>
      </c>
      <c r="H2017" s="1775">
        <f t="shared" si="285"/>
        <v>664.85</v>
      </c>
      <c r="I2017" s="1776">
        <f t="shared" si="286"/>
        <v>731.33</v>
      </c>
      <c r="J2017" s="1768"/>
    </row>
    <row r="2018" spans="1:10">
      <c r="A2018" s="1917" t="s">
        <v>2408</v>
      </c>
      <c r="B2018" s="1918"/>
      <c r="C2018" s="1918"/>
      <c r="D2018" s="1918"/>
      <c r="E2018" s="1918"/>
      <c r="F2018" s="1918"/>
      <c r="G2018" s="1918"/>
      <c r="H2018" s="1919"/>
      <c r="I2018" s="1778">
        <f>SUM(I2012:I2017)</f>
        <v>1091.5900000000001</v>
      </c>
      <c r="J2018" s="1768"/>
    </row>
    <row r="2019" spans="1:10">
      <c r="A2019" s="1920"/>
      <c r="B2019" s="1921"/>
      <c r="C2019" s="1921"/>
      <c r="D2019" s="1921"/>
      <c r="E2019" s="1921"/>
      <c r="F2019" s="1921"/>
      <c r="G2019" s="1921"/>
      <c r="H2019" s="1921"/>
      <c r="I2019" s="1922"/>
      <c r="J2019" s="1768"/>
    </row>
    <row r="2020" spans="1:10">
      <c r="A2020" s="1757" t="str">
        <f>'PLANILHA SEM DESON'!B305</f>
        <v>COMP 18</v>
      </c>
      <c r="B2020" s="1923" t="str">
        <f>VLOOKUP(A2020,'PLANILHA SEM DESON'!$B$17:$D$1699,2,FALSE)</f>
        <v>PORTA PAPEL HIGIÊNICO - POLIPROPELENO</v>
      </c>
      <c r="C2020" s="1924"/>
      <c r="D2020" s="1924"/>
      <c r="E2020" s="1924"/>
      <c r="F2020" s="1924"/>
      <c r="G2020" s="1924"/>
      <c r="H2020" s="1925"/>
      <c r="I2020" s="1758" t="str">
        <f>VLOOKUP(A2020,'PLANILHA SEM DESON'!$B$17:$D$1699,3,FALSE)</f>
        <v xml:space="preserve">un </v>
      </c>
      <c r="J2020" s="1759">
        <f>I2025</f>
        <v>84.64</v>
      </c>
    </row>
    <row r="2021" spans="1:10" ht="24">
      <c r="A2021" s="1761" t="s">
        <v>2401</v>
      </c>
      <c r="B2021" s="1762" t="s">
        <v>2402</v>
      </c>
      <c r="C2021" s="1763" t="s">
        <v>2399</v>
      </c>
      <c r="D2021" s="1764" t="s">
        <v>284</v>
      </c>
      <c r="E2021" s="1763" t="s">
        <v>193</v>
      </c>
      <c r="F2021" s="1765" t="s">
        <v>2403</v>
      </c>
      <c r="G2021" s="1763" t="s">
        <v>2404</v>
      </c>
      <c r="H2021" s="1766" t="s">
        <v>2405</v>
      </c>
      <c r="I2021" s="1767" t="s">
        <v>2406</v>
      </c>
      <c r="J2021" s="1768"/>
    </row>
    <row r="2022" spans="1:10">
      <c r="A2022" s="1770"/>
      <c r="B2022" s="1771"/>
      <c r="C2022" s="1771">
        <v>88309</v>
      </c>
      <c r="D2022" s="1772" t="s">
        <v>103</v>
      </c>
      <c r="E2022" s="1773" t="s">
        <v>57</v>
      </c>
      <c r="F2022" s="1782">
        <v>0.4</v>
      </c>
      <c r="G2022" s="1780">
        <v>24.59</v>
      </c>
      <c r="H2022" s="1775">
        <f>IF(E2022="H",G2022,TRUNC(G2022*(1-$K$7),2))</f>
        <v>24.59</v>
      </c>
      <c r="I2022" s="1776">
        <f t="shared" ref="I2022:I2024" si="287">TRUNC(H2022*F2022,2)</f>
        <v>9.83</v>
      </c>
      <c r="J2022" s="1768"/>
    </row>
    <row r="2023" spans="1:10">
      <c r="A2023" s="1770"/>
      <c r="B2023" s="1771"/>
      <c r="C2023" s="1771">
        <v>88316</v>
      </c>
      <c r="D2023" s="1772" t="s">
        <v>66</v>
      </c>
      <c r="E2023" s="1773" t="s">
        <v>57</v>
      </c>
      <c r="F2023" s="1782">
        <v>0.4</v>
      </c>
      <c r="G2023" s="1781">
        <v>19.45</v>
      </c>
      <c r="H2023" s="1775">
        <f>IF(E2023="H",G2023,TRUNC(G2023*(1-$K$7),2))</f>
        <v>19.45</v>
      </c>
      <c r="I2023" s="1776">
        <f t="shared" si="287"/>
        <v>7.78</v>
      </c>
      <c r="J2023" s="1768"/>
    </row>
    <row r="2024" spans="1:10" ht="24">
      <c r="A2024" s="1770"/>
      <c r="B2024" s="1771"/>
      <c r="C2024" s="1771">
        <v>37400</v>
      </c>
      <c r="D2024" s="1772" t="s">
        <v>1449</v>
      </c>
      <c r="E2024" s="1773" t="s">
        <v>55</v>
      </c>
      <c r="F2024" s="1779">
        <v>1</v>
      </c>
      <c r="G2024" s="1779">
        <v>67.44</v>
      </c>
      <c r="H2024" s="1775">
        <f>IF(E2024="H",G2024,TRUNC(G2024*(1-$K$7),2))</f>
        <v>67.03</v>
      </c>
      <c r="I2024" s="1776">
        <f t="shared" si="287"/>
        <v>67.03</v>
      </c>
      <c r="J2024" s="1768"/>
    </row>
    <row r="2025" spans="1:10">
      <c r="A2025" s="1917" t="s">
        <v>2408</v>
      </c>
      <c r="B2025" s="1918"/>
      <c r="C2025" s="1918"/>
      <c r="D2025" s="1918"/>
      <c r="E2025" s="1918"/>
      <c r="F2025" s="1918"/>
      <c r="G2025" s="1918"/>
      <c r="H2025" s="1919"/>
      <c r="I2025" s="1778">
        <f>SUM(I2022:I2024)</f>
        <v>84.64</v>
      </c>
      <c r="J2025" s="1768"/>
    </row>
    <row r="2026" spans="1:10">
      <c r="A2026" s="1920"/>
      <c r="B2026" s="1921"/>
      <c r="C2026" s="1921"/>
      <c r="D2026" s="1921"/>
      <c r="E2026" s="1921"/>
      <c r="F2026" s="1921"/>
      <c r="G2026" s="1921"/>
      <c r="H2026" s="1921"/>
      <c r="I2026" s="1922"/>
      <c r="J2026" s="1768"/>
    </row>
    <row r="2027" spans="1:10">
      <c r="A2027" s="1757" t="str">
        <f>'PLANILHA SEM DESON'!B306</f>
        <v>COMP 19</v>
      </c>
      <c r="B2027" s="1923" t="str">
        <f>VLOOKUP(A2027,'PLANILHA SEM DESON'!$B$17:$D$1699,2,FALSE)</f>
        <v>PORTA PAPEL TOALHA - POLIPROPELENO</v>
      </c>
      <c r="C2027" s="1924"/>
      <c r="D2027" s="1924"/>
      <c r="E2027" s="1924"/>
      <c r="F2027" s="1924"/>
      <c r="G2027" s="1924"/>
      <c r="H2027" s="1925"/>
      <c r="I2027" s="1758" t="str">
        <f>VLOOKUP(A2027,'PLANILHA SEM DESON'!$B$17:$D$1699,3,FALSE)</f>
        <v xml:space="preserve">un </v>
      </c>
      <c r="J2027" s="1759">
        <f>I2032</f>
        <v>84.64</v>
      </c>
    </row>
    <row r="2028" spans="1:10" ht="24">
      <c r="A2028" s="1761" t="s">
        <v>2401</v>
      </c>
      <c r="B2028" s="1762" t="s">
        <v>2402</v>
      </c>
      <c r="C2028" s="1763" t="s">
        <v>2399</v>
      </c>
      <c r="D2028" s="1764" t="s">
        <v>284</v>
      </c>
      <c r="E2028" s="1763" t="s">
        <v>193</v>
      </c>
      <c r="F2028" s="1765" t="s">
        <v>2403</v>
      </c>
      <c r="G2028" s="1763" t="s">
        <v>2404</v>
      </c>
      <c r="H2028" s="1766" t="s">
        <v>2405</v>
      </c>
      <c r="I2028" s="1767" t="s">
        <v>2406</v>
      </c>
      <c r="J2028" s="1768"/>
    </row>
    <row r="2029" spans="1:10">
      <c r="A2029" s="1770"/>
      <c r="B2029" s="1771"/>
      <c r="C2029" s="1771">
        <v>88309</v>
      </c>
      <c r="D2029" s="1772" t="s">
        <v>103</v>
      </c>
      <c r="E2029" s="1773" t="s">
        <v>57</v>
      </c>
      <c r="F2029" s="1782">
        <v>0.4</v>
      </c>
      <c r="G2029" s="1780">
        <v>24.59</v>
      </c>
      <c r="H2029" s="1775">
        <f>IF(E2029="H",G2029,TRUNC(G2029*(1-$K$7),2))</f>
        <v>24.59</v>
      </c>
      <c r="I2029" s="1776">
        <f t="shared" ref="I2029:I2031" si="288">TRUNC(H2029*F2029,2)</f>
        <v>9.83</v>
      </c>
      <c r="J2029" s="1768"/>
    </row>
    <row r="2030" spans="1:10">
      <c r="A2030" s="1770"/>
      <c r="B2030" s="1771"/>
      <c r="C2030" s="1771">
        <v>88316</v>
      </c>
      <c r="D2030" s="1772" t="s">
        <v>66</v>
      </c>
      <c r="E2030" s="1773" t="s">
        <v>57</v>
      </c>
      <c r="F2030" s="1782">
        <v>0.4</v>
      </c>
      <c r="G2030" s="1781">
        <v>19.45</v>
      </c>
      <c r="H2030" s="1775">
        <f>IF(E2030="H",G2030,TRUNC(G2030*(1-$K$7),2))</f>
        <v>19.45</v>
      </c>
      <c r="I2030" s="1776">
        <f t="shared" si="288"/>
        <v>7.78</v>
      </c>
      <c r="J2030" s="1768"/>
    </row>
    <row r="2031" spans="1:10" ht="24">
      <c r="A2031" s="1770"/>
      <c r="B2031" s="1771"/>
      <c r="C2031" s="1771">
        <v>37401</v>
      </c>
      <c r="D2031" s="1772" t="s">
        <v>1450</v>
      </c>
      <c r="E2031" s="1773" t="s">
        <v>55</v>
      </c>
      <c r="F2031" s="1779">
        <v>1</v>
      </c>
      <c r="G2031" s="1779">
        <v>67.44</v>
      </c>
      <c r="H2031" s="1775">
        <f>IF(E2031="H",G2031,TRUNC(G2031*(1-$K$7),2))</f>
        <v>67.03</v>
      </c>
      <c r="I2031" s="1776">
        <f t="shared" si="288"/>
        <v>67.03</v>
      </c>
      <c r="J2031" s="1768"/>
    </row>
    <row r="2032" spans="1:10">
      <c r="A2032" s="1917" t="s">
        <v>2408</v>
      </c>
      <c r="B2032" s="1918"/>
      <c r="C2032" s="1918"/>
      <c r="D2032" s="1918"/>
      <c r="E2032" s="1918"/>
      <c r="F2032" s="1918"/>
      <c r="G2032" s="1918"/>
      <c r="H2032" s="1919"/>
      <c r="I2032" s="1778">
        <f>SUM(I2029:I2031)</f>
        <v>84.64</v>
      </c>
      <c r="J2032" s="1768"/>
    </row>
    <row r="2033" spans="1:10">
      <c r="A2033" s="1920"/>
      <c r="B2033" s="1921"/>
      <c r="C2033" s="1921"/>
      <c r="D2033" s="1921"/>
      <c r="E2033" s="1921"/>
      <c r="F2033" s="1921"/>
      <c r="G2033" s="1921"/>
      <c r="H2033" s="1921"/>
      <c r="I2033" s="1922"/>
      <c r="J2033" s="1768"/>
    </row>
    <row r="2034" spans="1:10" ht="23.25" customHeight="1">
      <c r="A2034" s="1757">
        <f>'PLANILHA SEM DESON'!B310</f>
        <v>89707</v>
      </c>
      <c r="B2034" s="1923" t="str">
        <f>VLOOKUP(A2034,'PLANILHA SEM DESON'!$B$17:$D$1699,2,FALSE)</f>
        <v>CAIXA SIFONADA, PVC, DN 100 X 100 X 50 MM, JUNTA ELÁSTICA, FORNECIDA E INSTALADA EM RAMAL DE DESCARGA OU EM RAMAL DE ESGOTO SANITÁRIO. AF_08/2022</v>
      </c>
      <c r="C2034" s="1924"/>
      <c r="D2034" s="1924"/>
      <c r="E2034" s="1924"/>
      <c r="F2034" s="1924"/>
      <c r="G2034" s="1924"/>
      <c r="H2034" s="1925"/>
      <c r="I2034" s="1758" t="str">
        <f>VLOOKUP(A2034,'PLANILHA SEM DESON'!$B$17:$D$1699,3,FALSE)</f>
        <v xml:space="preserve">un </v>
      </c>
      <c r="J2034" s="1759">
        <f>I2042</f>
        <v>50.43</v>
      </c>
    </row>
    <row r="2035" spans="1:10" ht="24">
      <c r="A2035" s="1761" t="s">
        <v>2401</v>
      </c>
      <c r="B2035" s="1762" t="s">
        <v>2402</v>
      </c>
      <c r="C2035" s="1763" t="s">
        <v>2399</v>
      </c>
      <c r="D2035" s="1764" t="s">
        <v>284</v>
      </c>
      <c r="E2035" s="1763" t="s">
        <v>193</v>
      </c>
      <c r="F2035" s="1765" t="s">
        <v>2403</v>
      </c>
      <c r="G2035" s="1763" t="s">
        <v>2404</v>
      </c>
      <c r="H2035" s="1766" t="s">
        <v>2405</v>
      </c>
      <c r="I2035" s="1767" t="s">
        <v>2406</v>
      </c>
      <c r="J2035" s="1768"/>
    </row>
    <row r="2036" spans="1:10">
      <c r="A2036" s="1770" t="s">
        <v>2407</v>
      </c>
      <c r="B2036" s="1771" t="s">
        <v>2410</v>
      </c>
      <c r="C2036" s="1771">
        <v>122</v>
      </c>
      <c r="D2036" s="1772" t="s">
        <v>2663</v>
      </c>
      <c r="E2036" s="1773" t="s">
        <v>2432</v>
      </c>
      <c r="F2036" s="1780">
        <v>2.92E-2</v>
      </c>
      <c r="G2036" s="1774">
        <v>76.86</v>
      </c>
      <c r="H2036" s="1775">
        <f t="shared" ref="H2036:H2041" si="289">IF(E2036="H",G2036,TRUNC(G2036*(1-$K$7),2))</f>
        <v>76.39</v>
      </c>
      <c r="I2036" s="1776">
        <f t="shared" ref="I2036:I2041" si="290">TRUNC(H2036*F2036,2)</f>
        <v>2.23</v>
      </c>
      <c r="J2036" s="1768"/>
    </row>
    <row r="2037" spans="1:10" ht="24">
      <c r="A2037" s="1770" t="s">
        <v>2407</v>
      </c>
      <c r="B2037" s="1771" t="s">
        <v>2410</v>
      </c>
      <c r="C2037" s="1771">
        <v>5103</v>
      </c>
      <c r="D2037" s="1772" t="s">
        <v>2697</v>
      </c>
      <c r="E2037" s="1773" t="s">
        <v>2432</v>
      </c>
      <c r="F2037" s="1780">
        <v>1</v>
      </c>
      <c r="G2037" s="1774">
        <v>26.69</v>
      </c>
      <c r="H2037" s="1775">
        <f t="shared" si="289"/>
        <v>26.52</v>
      </c>
      <c r="I2037" s="1776">
        <f t="shared" si="290"/>
        <v>26.52</v>
      </c>
      <c r="J2037" s="1768"/>
    </row>
    <row r="2038" spans="1:10" ht="24">
      <c r="A2038" s="1770" t="s">
        <v>2407</v>
      </c>
      <c r="B2038" s="1771" t="s">
        <v>2410</v>
      </c>
      <c r="C2038" s="1771">
        <v>20083</v>
      </c>
      <c r="D2038" s="1772" t="s">
        <v>2537</v>
      </c>
      <c r="E2038" s="1773" t="s">
        <v>2432</v>
      </c>
      <c r="F2038" s="1780">
        <v>4.3999999999999997E-2</v>
      </c>
      <c r="G2038" s="1774">
        <v>87.08</v>
      </c>
      <c r="H2038" s="1775">
        <f t="shared" si="289"/>
        <v>86.55</v>
      </c>
      <c r="I2038" s="1776">
        <f t="shared" si="290"/>
        <v>3.8</v>
      </c>
      <c r="J2038" s="1768"/>
    </row>
    <row r="2039" spans="1:10">
      <c r="A2039" s="1770" t="s">
        <v>2407</v>
      </c>
      <c r="B2039" s="1771" t="s">
        <v>2410</v>
      </c>
      <c r="C2039" s="1771">
        <v>38383</v>
      </c>
      <c r="D2039" s="1772" t="s">
        <v>2538</v>
      </c>
      <c r="E2039" s="1773" t="s">
        <v>2432</v>
      </c>
      <c r="F2039" s="1780">
        <v>1.54E-2</v>
      </c>
      <c r="G2039" s="1774">
        <v>2.56</v>
      </c>
      <c r="H2039" s="1775">
        <f t="shared" si="289"/>
        <v>2.54</v>
      </c>
      <c r="I2039" s="1776">
        <f t="shared" si="290"/>
        <v>0.03</v>
      </c>
      <c r="J2039" s="1768"/>
    </row>
    <row r="2040" spans="1:10" ht="24">
      <c r="A2040" s="1770" t="s">
        <v>2407</v>
      </c>
      <c r="B2040" s="1771" t="s">
        <v>7</v>
      </c>
      <c r="C2040" s="1771">
        <v>88248</v>
      </c>
      <c r="D2040" s="1772" t="s">
        <v>101</v>
      </c>
      <c r="E2040" s="1773" t="s">
        <v>387</v>
      </c>
      <c r="F2040" s="1780">
        <v>0.3987</v>
      </c>
      <c r="G2040" s="1774">
        <v>20.16</v>
      </c>
      <c r="H2040" s="1775">
        <f t="shared" si="289"/>
        <v>20.16</v>
      </c>
      <c r="I2040" s="1776">
        <f t="shared" si="290"/>
        <v>8.0299999999999994</v>
      </c>
      <c r="J2040" s="1768"/>
    </row>
    <row r="2041" spans="1:10" ht="24">
      <c r="A2041" s="1770" t="s">
        <v>2407</v>
      </c>
      <c r="B2041" s="1771" t="s">
        <v>7</v>
      </c>
      <c r="C2041" s="1771">
        <v>88267</v>
      </c>
      <c r="D2041" s="1772" t="s">
        <v>102</v>
      </c>
      <c r="E2041" s="1773" t="s">
        <v>387</v>
      </c>
      <c r="F2041" s="1780">
        <v>0.3987</v>
      </c>
      <c r="G2041" s="1774">
        <v>24.64</v>
      </c>
      <c r="H2041" s="1775">
        <f t="shared" si="289"/>
        <v>24.64</v>
      </c>
      <c r="I2041" s="1776">
        <f t="shared" si="290"/>
        <v>9.82</v>
      </c>
      <c r="J2041" s="1768"/>
    </row>
    <row r="2042" spans="1:10">
      <c r="A2042" s="1917" t="s">
        <v>2408</v>
      </c>
      <c r="B2042" s="1918"/>
      <c r="C2042" s="1918"/>
      <c r="D2042" s="1918"/>
      <c r="E2042" s="1918"/>
      <c r="F2042" s="1918"/>
      <c r="G2042" s="1918"/>
      <c r="H2042" s="1919"/>
      <c r="I2042" s="1778">
        <f>SUM(I2036:I2041)</f>
        <v>50.43</v>
      </c>
      <c r="J2042" s="1768"/>
    </row>
    <row r="2043" spans="1:10">
      <c r="A2043" s="1920"/>
      <c r="B2043" s="1921"/>
      <c r="C2043" s="1921"/>
      <c r="D2043" s="1921"/>
      <c r="E2043" s="1921"/>
      <c r="F2043" s="1921"/>
      <c r="G2043" s="1921"/>
      <c r="H2043" s="1921"/>
      <c r="I2043" s="1922"/>
      <c r="J2043" s="1768"/>
    </row>
    <row r="2044" spans="1:10" ht="22.5" customHeight="1">
      <c r="A2044" s="1757" t="str">
        <f>'PLANILHA SEM DESON'!B311</f>
        <v>COMP HIDR 14</v>
      </c>
      <c r="B2044" s="1923" t="str">
        <f>VLOOKUP(A2044,'PLANILHA SEM DESON'!$B$17:$D$1699,2,FALSE)</f>
        <v>CAIXA SIFONADA, PVC, DN 150 X 150 X 50 MM, FORNECIDA E INSTALADA EM RAMAL DE DESCARGA OU EM RAMAL DE ESGOTO SANITÁRIO. AF_12/2014</v>
      </c>
      <c r="C2044" s="1924"/>
      <c r="D2044" s="1924"/>
      <c r="E2044" s="1924"/>
      <c r="F2044" s="1924"/>
      <c r="G2044" s="1924"/>
      <c r="H2044" s="1925"/>
      <c r="I2044" s="1758" t="str">
        <f>VLOOKUP(A2044,'PLANILHA SEM DESON'!$B$17:$D$1699,3,FALSE)</f>
        <v xml:space="preserve">un </v>
      </c>
      <c r="J2044" s="1759">
        <f>I2054</f>
        <v>66.669999999999987</v>
      </c>
    </row>
    <row r="2045" spans="1:10" ht="24">
      <c r="A2045" s="1761" t="s">
        <v>2401</v>
      </c>
      <c r="B2045" s="1762" t="s">
        <v>2402</v>
      </c>
      <c r="C2045" s="1763" t="s">
        <v>2399</v>
      </c>
      <c r="D2045" s="1764" t="s">
        <v>284</v>
      </c>
      <c r="E2045" s="1763" t="s">
        <v>193</v>
      </c>
      <c r="F2045" s="1765" t="s">
        <v>2403</v>
      </c>
      <c r="G2045" s="1763" t="s">
        <v>2404</v>
      </c>
      <c r="H2045" s="1766" t="s">
        <v>2405</v>
      </c>
      <c r="I2045" s="1767" t="s">
        <v>2406</v>
      </c>
      <c r="J2045" s="1768"/>
    </row>
    <row r="2046" spans="1:10" ht="24">
      <c r="A2046" s="1770"/>
      <c r="B2046" s="1771"/>
      <c r="C2046" s="1771" t="s">
        <v>430</v>
      </c>
      <c r="D2046" s="1772" t="s">
        <v>101</v>
      </c>
      <c r="E2046" s="1773" t="s">
        <v>57</v>
      </c>
      <c r="F2046" s="1790">
        <v>0.25</v>
      </c>
      <c r="G2046" s="1781">
        <v>20.16</v>
      </c>
      <c r="H2046" s="1775">
        <f t="shared" ref="H2046:H2053" si="291">IF(E2046="H",G2046,TRUNC(G2046*(1-$K$7),2))</f>
        <v>20.16</v>
      </c>
      <c r="I2046" s="1776">
        <f t="shared" ref="I2046:I2053" si="292">TRUNC(H2046*F2046,2)</f>
        <v>5.04</v>
      </c>
      <c r="J2046" s="1768"/>
    </row>
    <row r="2047" spans="1:10" ht="24">
      <c r="A2047" s="1770"/>
      <c r="B2047" s="1771"/>
      <c r="C2047" s="1771" t="s">
        <v>431</v>
      </c>
      <c r="D2047" s="1772" t="s">
        <v>102</v>
      </c>
      <c r="E2047" s="1773" t="s">
        <v>57</v>
      </c>
      <c r="F2047" s="1790">
        <v>0.25</v>
      </c>
      <c r="G2047" s="1781">
        <v>24.64</v>
      </c>
      <c r="H2047" s="1775">
        <f t="shared" si="291"/>
        <v>24.64</v>
      </c>
      <c r="I2047" s="1776">
        <f t="shared" si="292"/>
        <v>6.16</v>
      </c>
      <c r="J2047" s="1768"/>
    </row>
    <row r="2048" spans="1:10">
      <c r="A2048" s="1770"/>
      <c r="B2048" s="1771"/>
      <c r="C2048" s="1792">
        <v>122</v>
      </c>
      <c r="D2048" s="1772" t="s">
        <v>125</v>
      </c>
      <c r="E2048" s="1773" t="s">
        <v>55</v>
      </c>
      <c r="F2048" s="1787">
        <v>1.4800000000000001E-2</v>
      </c>
      <c r="G2048" s="1779">
        <v>76.86</v>
      </c>
      <c r="H2048" s="1775">
        <f t="shared" si="291"/>
        <v>76.39</v>
      </c>
      <c r="I2048" s="1776">
        <f t="shared" si="292"/>
        <v>1.1299999999999999</v>
      </c>
      <c r="J2048" s="1768"/>
    </row>
    <row r="2049" spans="1:10" ht="24">
      <c r="A2049" s="1770"/>
      <c r="B2049" s="1771"/>
      <c r="C2049" s="1792">
        <v>296</v>
      </c>
      <c r="D2049" s="1772" t="s">
        <v>456</v>
      </c>
      <c r="E2049" s="1773" t="s">
        <v>55</v>
      </c>
      <c r="F2049" s="1790">
        <v>1</v>
      </c>
      <c r="G2049" s="1779">
        <v>1.98</v>
      </c>
      <c r="H2049" s="1775">
        <f t="shared" si="291"/>
        <v>1.96</v>
      </c>
      <c r="I2049" s="1776">
        <f t="shared" ref="I2049" si="293">TRUNC(H2049*F2049,2)</f>
        <v>1.96</v>
      </c>
      <c r="J2049" s="1768"/>
    </row>
    <row r="2050" spans="1:10" ht="24">
      <c r="A2050" s="1770"/>
      <c r="B2050" s="1771"/>
      <c r="C2050" s="1771">
        <v>11712</v>
      </c>
      <c r="D2050" s="1772" t="s">
        <v>1914</v>
      </c>
      <c r="E2050" s="1773" t="s">
        <v>55</v>
      </c>
      <c r="F2050" s="1790">
        <v>1</v>
      </c>
      <c r="G2050" s="1779">
        <v>49.95</v>
      </c>
      <c r="H2050" s="1775">
        <f t="shared" si="291"/>
        <v>49.65</v>
      </c>
      <c r="I2050" s="1776">
        <f t="shared" si="292"/>
        <v>49.65</v>
      </c>
      <c r="J2050" s="1768"/>
    </row>
    <row r="2051" spans="1:10" ht="36">
      <c r="A2051" s="1770"/>
      <c r="B2051" s="1771"/>
      <c r="C2051" s="1771">
        <v>20078</v>
      </c>
      <c r="D2051" s="1772" t="s">
        <v>1915</v>
      </c>
      <c r="E2051" s="1773" t="s">
        <v>55</v>
      </c>
      <c r="F2051" s="1790">
        <v>0.02</v>
      </c>
      <c r="G2051" s="1779">
        <v>31.72</v>
      </c>
      <c r="H2051" s="1775">
        <f t="shared" si="291"/>
        <v>31.52</v>
      </c>
      <c r="I2051" s="1776">
        <f t="shared" si="292"/>
        <v>0.63</v>
      </c>
      <c r="J2051" s="1768"/>
    </row>
    <row r="2052" spans="1:10" ht="24">
      <c r="A2052" s="1770"/>
      <c r="B2052" s="1771"/>
      <c r="C2052" s="1771">
        <v>20083</v>
      </c>
      <c r="D2052" s="1772" t="s">
        <v>126</v>
      </c>
      <c r="E2052" s="1773" t="s">
        <v>55</v>
      </c>
      <c r="F2052" s="1787">
        <v>2.2499999999999999E-2</v>
      </c>
      <c r="G2052" s="1779">
        <v>87.08</v>
      </c>
      <c r="H2052" s="1775">
        <f t="shared" si="291"/>
        <v>86.55</v>
      </c>
      <c r="I2052" s="1776">
        <f t="shared" si="292"/>
        <v>1.94</v>
      </c>
      <c r="J2052" s="1768"/>
    </row>
    <row r="2053" spans="1:10">
      <c r="A2053" s="1770"/>
      <c r="B2053" s="1771"/>
      <c r="C2053" s="1771">
        <v>38383</v>
      </c>
      <c r="D2053" s="1772" t="s">
        <v>162</v>
      </c>
      <c r="E2053" s="1773" t="s">
        <v>55</v>
      </c>
      <c r="F2053" s="1790">
        <v>6.4000000000000001E-2</v>
      </c>
      <c r="G2053" s="1781">
        <v>2.5299999999999998</v>
      </c>
      <c r="H2053" s="1775">
        <f t="shared" si="291"/>
        <v>2.5099999999999998</v>
      </c>
      <c r="I2053" s="1776">
        <f t="shared" si="292"/>
        <v>0.16</v>
      </c>
      <c r="J2053" s="1768"/>
    </row>
    <row r="2054" spans="1:10">
      <c r="A2054" s="1917" t="s">
        <v>2408</v>
      </c>
      <c r="B2054" s="1918"/>
      <c r="C2054" s="1918"/>
      <c r="D2054" s="1918"/>
      <c r="E2054" s="1918"/>
      <c r="F2054" s="1918"/>
      <c r="G2054" s="1918"/>
      <c r="H2054" s="1919"/>
      <c r="I2054" s="1778">
        <f>SUM(I2046:I2053)</f>
        <v>66.669999999999987</v>
      </c>
      <c r="J2054" s="1768"/>
    </row>
    <row r="2055" spans="1:10">
      <c r="A2055" s="1920"/>
      <c r="B2055" s="1921"/>
      <c r="C2055" s="1921"/>
      <c r="D2055" s="1921"/>
      <c r="E2055" s="1921"/>
      <c r="F2055" s="1921"/>
      <c r="G2055" s="1921"/>
      <c r="H2055" s="1921"/>
      <c r="I2055" s="1922"/>
      <c r="J2055" s="1768"/>
    </row>
    <row r="2056" spans="1:10" ht="26.25" customHeight="1">
      <c r="A2056" s="1757">
        <f>'PLANILHA SEM DESON'!B312</f>
        <v>89732</v>
      </c>
      <c r="B2056" s="1923" t="str">
        <f>VLOOKUP(A2056,'PLANILHA SEM DESON'!$B$17:$D$1699,2,FALSE)</f>
        <v>JOELHO 45 GRAUS, PVC, SERIE NORMAL, ESGOTO PREDIAL, DN 50 MM, JUNTA ELÁSTICA, FORNECIDO E INSTALADO EM RAMAL DE DESCARGA OU RAMAL DE ESGOTO SANITÁRIO. AF_08/2022</v>
      </c>
      <c r="C2056" s="1924"/>
      <c r="D2056" s="1924"/>
      <c r="E2056" s="1924"/>
      <c r="F2056" s="1924"/>
      <c r="G2056" s="1924"/>
      <c r="H2056" s="1925"/>
      <c r="I2056" s="1758" t="str">
        <f>VLOOKUP(A2056,'PLANILHA SEM DESON'!$B$17:$D$1699,3,FALSE)</f>
        <v xml:space="preserve">un </v>
      </c>
      <c r="J2056" s="1759">
        <f>I2063</f>
        <v>16.09</v>
      </c>
    </row>
    <row r="2057" spans="1:10" ht="24">
      <c r="A2057" s="1761" t="s">
        <v>2401</v>
      </c>
      <c r="B2057" s="1762" t="s">
        <v>2402</v>
      </c>
      <c r="C2057" s="1763" t="s">
        <v>2399</v>
      </c>
      <c r="D2057" s="1764" t="s">
        <v>284</v>
      </c>
      <c r="E2057" s="1763" t="s">
        <v>193</v>
      </c>
      <c r="F2057" s="1765" t="s">
        <v>2403</v>
      </c>
      <c r="G2057" s="1763" t="s">
        <v>2404</v>
      </c>
      <c r="H2057" s="1766" t="s">
        <v>2405</v>
      </c>
      <c r="I2057" s="1767" t="s">
        <v>2406</v>
      </c>
      <c r="J2057" s="1768"/>
    </row>
    <row r="2058" spans="1:10" ht="24">
      <c r="A2058" s="1770" t="s">
        <v>2407</v>
      </c>
      <c r="B2058" s="1771" t="s">
        <v>2410</v>
      </c>
      <c r="C2058" s="1771">
        <v>296</v>
      </c>
      <c r="D2058" s="1772" t="s">
        <v>2698</v>
      </c>
      <c r="E2058" s="1773" t="s">
        <v>2432</v>
      </c>
      <c r="F2058" s="1780">
        <v>2</v>
      </c>
      <c r="G2058" s="1774">
        <v>1.98</v>
      </c>
      <c r="H2058" s="1775">
        <f>IF(E2058="H",G2058,TRUNC(G2058*(1-$K$7),2))</f>
        <v>1.96</v>
      </c>
      <c r="I2058" s="1776">
        <f t="shared" ref="I2058:I2062" si="294">TRUNC(H2058*F2058,2)</f>
        <v>3.92</v>
      </c>
      <c r="J2058" s="1768"/>
    </row>
    <row r="2059" spans="1:10" ht="24">
      <c r="A2059" s="1770" t="s">
        <v>2407</v>
      </c>
      <c r="B2059" s="1771" t="s">
        <v>2410</v>
      </c>
      <c r="C2059" s="1771">
        <v>3518</v>
      </c>
      <c r="D2059" s="1772" t="s">
        <v>2699</v>
      </c>
      <c r="E2059" s="1773" t="s">
        <v>2432</v>
      </c>
      <c r="F2059" s="1780">
        <v>1</v>
      </c>
      <c r="G2059" s="1774">
        <v>4.46</v>
      </c>
      <c r="H2059" s="1775">
        <f>IF(E2059="H",G2059,TRUNC(G2059*(1-$K$7),2))</f>
        <v>4.43</v>
      </c>
      <c r="I2059" s="1776">
        <f t="shared" si="294"/>
        <v>4.43</v>
      </c>
      <c r="J2059" s="1768"/>
    </row>
    <row r="2060" spans="1:10" ht="36">
      <c r="A2060" s="1770" t="s">
        <v>2407</v>
      </c>
      <c r="B2060" s="1771" t="s">
        <v>2410</v>
      </c>
      <c r="C2060" s="1771">
        <v>20078</v>
      </c>
      <c r="D2060" s="1772" t="s">
        <v>2700</v>
      </c>
      <c r="E2060" s="1773" t="s">
        <v>2432</v>
      </c>
      <c r="F2060" s="1780">
        <v>0.05</v>
      </c>
      <c r="G2060" s="1774">
        <v>31.72</v>
      </c>
      <c r="H2060" s="1775">
        <f>IF(E2060="H",G2060,TRUNC(G2060*(1-$K$7),2))</f>
        <v>31.52</v>
      </c>
      <c r="I2060" s="1776">
        <f t="shared" si="294"/>
        <v>1.57</v>
      </c>
      <c r="J2060" s="1768"/>
    </row>
    <row r="2061" spans="1:10" ht="24">
      <c r="A2061" s="1770" t="s">
        <v>2407</v>
      </c>
      <c r="B2061" s="1771" t="s">
        <v>7</v>
      </c>
      <c r="C2061" s="1771">
        <v>88248</v>
      </c>
      <c r="D2061" s="1772" t="s">
        <v>101</v>
      </c>
      <c r="E2061" s="1773" t="s">
        <v>387</v>
      </c>
      <c r="F2061" s="1780">
        <v>0.13789999999999999</v>
      </c>
      <c r="G2061" s="1774">
        <v>20.16</v>
      </c>
      <c r="H2061" s="1775">
        <f>IF(E2061="H",G2061,TRUNC(G2061*(1-$K$7),2))</f>
        <v>20.16</v>
      </c>
      <c r="I2061" s="1776">
        <f t="shared" si="294"/>
        <v>2.78</v>
      </c>
      <c r="J2061" s="1768"/>
    </row>
    <row r="2062" spans="1:10" ht="24">
      <c r="A2062" s="1770" t="s">
        <v>2407</v>
      </c>
      <c r="B2062" s="1771" t="s">
        <v>7</v>
      </c>
      <c r="C2062" s="1771">
        <v>88267</v>
      </c>
      <c r="D2062" s="1772" t="s">
        <v>102</v>
      </c>
      <c r="E2062" s="1773" t="s">
        <v>387</v>
      </c>
      <c r="F2062" s="1780">
        <v>0.13789999999999999</v>
      </c>
      <c r="G2062" s="1774">
        <v>24.64</v>
      </c>
      <c r="H2062" s="1775">
        <f>IF(E2062="H",G2062,TRUNC(G2062*(1-$K$7),2))</f>
        <v>24.64</v>
      </c>
      <c r="I2062" s="1776">
        <f t="shared" si="294"/>
        <v>3.39</v>
      </c>
      <c r="J2062" s="1768"/>
    </row>
    <row r="2063" spans="1:10">
      <c r="A2063" s="1917" t="s">
        <v>2408</v>
      </c>
      <c r="B2063" s="1918"/>
      <c r="C2063" s="1918"/>
      <c r="D2063" s="1918"/>
      <c r="E2063" s="1918"/>
      <c r="F2063" s="1918"/>
      <c r="G2063" s="1918"/>
      <c r="H2063" s="1919"/>
      <c r="I2063" s="1778">
        <f>SUM(I2058:I2062)</f>
        <v>16.09</v>
      </c>
      <c r="J2063" s="1768"/>
    </row>
    <row r="2064" spans="1:10">
      <c r="A2064" s="1920"/>
      <c r="B2064" s="1921"/>
      <c r="C2064" s="1921"/>
      <c r="D2064" s="1921"/>
      <c r="E2064" s="1921"/>
      <c r="F2064" s="1921"/>
      <c r="G2064" s="1921"/>
      <c r="H2064" s="1921"/>
      <c r="I2064" s="1922"/>
      <c r="J2064" s="1768"/>
    </row>
    <row r="2065" spans="1:10" ht="22.5" customHeight="1">
      <c r="A2065" s="1757">
        <f>'PLANILHA SEM DESON'!B313</f>
        <v>89746</v>
      </c>
      <c r="B2065" s="1923" t="str">
        <f>VLOOKUP(A2065,'PLANILHA SEM DESON'!$B$17:$D$1699,2,FALSE)</f>
        <v>JOELHO 45 GRAUS, PVC, SERIE NORMAL, ESGOTO PREDIAL, DN 100 MM, JUNTA ELÁSTICA, FORNECIDO E INSTALADO EM RAMAL DE DESCARGA OU RAMAL DE ESGOTO SANITÁRIO. AF_08/2022</v>
      </c>
      <c r="C2065" s="1924"/>
      <c r="D2065" s="1924"/>
      <c r="E2065" s="1924"/>
      <c r="F2065" s="1924"/>
      <c r="G2065" s="1924"/>
      <c r="H2065" s="1925"/>
      <c r="I2065" s="1758" t="str">
        <f>VLOOKUP(A2065,'PLANILHA SEM DESON'!$B$17:$D$1699,3,FALSE)</f>
        <v xml:space="preserve">un </v>
      </c>
      <c r="J2065" s="1759">
        <f>I2072</f>
        <v>30.86</v>
      </c>
    </row>
    <row r="2066" spans="1:10" ht="24">
      <c r="A2066" s="1761" t="s">
        <v>2401</v>
      </c>
      <c r="B2066" s="1762" t="s">
        <v>2402</v>
      </c>
      <c r="C2066" s="1763" t="s">
        <v>2399</v>
      </c>
      <c r="D2066" s="1764" t="s">
        <v>284</v>
      </c>
      <c r="E2066" s="1763" t="s">
        <v>193</v>
      </c>
      <c r="F2066" s="1765" t="s">
        <v>2403</v>
      </c>
      <c r="G2066" s="1763" t="s">
        <v>2404</v>
      </c>
      <c r="H2066" s="1766" t="s">
        <v>2405</v>
      </c>
      <c r="I2066" s="1767" t="s">
        <v>2406</v>
      </c>
      <c r="J2066" s="1768"/>
    </row>
    <row r="2067" spans="1:10" ht="24">
      <c r="A2067" s="1770" t="s">
        <v>2407</v>
      </c>
      <c r="B2067" s="1771" t="s">
        <v>2410</v>
      </c>
      <c r="C2067" s="1771">
        <v>301</v>
      </c>
      <c r="D2067" s="1772" t="s">
        <v>2701</v>
      </c>
      <c r="E2067" s="1773" t="s">
        <v>2432</v>
      </c>
      <c r="F2067" s="1780">
        <v>2</v>
      </c>
      <c r="G2067" s="1774">
        <v>3.5</v>
      </c>
      <c r="H2067" s="1775">
        <f>IF(E2067="H",G2067,TRUNC(G2067*(1-$K$7),2))</f>
        <v>3.47</v>
      </c>
      <c r="I2067" s="1776">
        <f t="shared" ref="I2067:I2071" si="295">TRUNC(H2067*F2067,2)</f>
        <v>6.94</v>
      </c>
      <c r="J2067" s="1768"/>
    </row>
    <row r="2068" spans="1:10" ht="24">
      <c r="A2068" s="1770" t="s">
        <v>2407</v>
      </c>
      <c r="B2068" s="1771" t="s">
        <v>2410</v>
      </c>
      <c r="C2068" s="1771">
        <v>3528</v>
      </c>
      <c r="D2068" s="1772" t="s">
        <v>2702</v>
      </c>
      <c r="E2068" s="1773" t="s">
        <v>2432</v>
      </c>
      <c r="F2068" s="1780">
        <v>1</v>
      </c>
      <c r="G2068" s="1774">
        <v>11.76</v>
      </c>
      <c r="H2068" s="1775">
        <f>IF(E2068="H",G2068,TRUNC(G2068*(1-$K$7),2))</f>
        <v>11.68</v>
      </c>
      <c r="I2068" s="1776">
        <f t="shared" si="295"/>
        <v>11.68</v>
      </c>
      <c r="J2068" s="1768"/>
    </row>
    <row r="2069" spans="1:10" ht="36">
      <c r="A2069" s="1770" t="s">
        <v>2407</v>
      </c>
      <c r="B2069" s="1771" t="s">
        <v>2410</v>
      </c>
      <c r="C2069" s="1771">
        <v>20078</v>
      </c>
      <c r="D2069" s="1772" t="s">
        <v>2700</v>
      </c>
      <c r="E2069" s="1773" t="s">
        <v>2432</v>
      </c>
      <c r="F2069" s="1780">
        <v>0.115</v>
      </c>
      <c r="G2069" s="1774">
        <v>31.72</v>
      </c>
      <c r="H2069" s="1775">
        <f>IF(E2069="H",G2069,TRUNC(G2069*(1-$K$7),2))</f>
        <v>31.52</v>
      </c>
      <c r="I2069" s="1776">
        <f t="shared" si="295"/>
        <v>3.62</v>
      </c>
      <c r="J2069" s="1768"/>
    </row>
    <row r="2070" spans="1:10" ht="24">
      <c r="A2070" s="1770" t="s">
        <v>2407</v>
      </c>
      <c r="B2070" s="1771" t="s">
        <v>7</v>
      </c>
      <c r="C2070" s="1771">
        <v>88248</v>
      </c>
      <c r="D2070" s="1772" t="s">
        <v>101</v>
      </c>
      <c r="E2070" s="1773" t="s">
        <v>387</v>
      </c>
      <c r="F2070" s="1780">
        <v>0.19259999999999999</v>
      </c>
      <c r="G2070" s="1774">
        <v>20.16</v>
      </c>
      <c r="H2070" s="1775">
        <f>IF(E2070="H",G2070,TRUNC(G2070*(1-$K$7),2))</f>
        <v>20.16</v>
      </c>
      <c r="I2070" s="1776">
        <f t="shared" si="295"/>
        <v>3.88</v>
      </c>
      <c r="J2070" s="1768"/>
    </row>
    <row r="2071" spans="1:10" ht="24">
      <c r="A2071" s="1770" t="s">
        <v>2407</v>
      </c>
      <c r="B2071" s="1771" t="s">
        <v>7</v>
      </c>
      <c r="C2071" s="1771">
        <v>88267</v>
      </c>
      <c r="D2071" s="1772" t="s">
        <v>102</v>
      </c>
      <c r="E2071" s="1773" t="s">
        <v>387</v>
      </c>
      <c r="F2071" s="1780">
        <v>0.19259999999999999</v>
      </c>
      <c r="G2071" s="1774">
        <v>24.64</v>
      </c>
      <c r="H2071" s="1775">
        <f>IF(E2071="H",G2071,TRUNC(G2071*(1-$K$7),2))</f>
        <v>24.64</v>
      </c>
      <c r="I2071" s="1776">
        <f t="shared" si="295"/>
        <v>4.74</v>
      </c>
      <c r="J2071" s="1768"/>
    </row>
    <row r="2072" spans="1:10">
      <c r="A2072" s="1917" t="s">
        <v>2408</v>
      </c>
      <c r="B2072" s="1918"/>
      <c r="C2072" s="1918"/>
      <c r="D2072" s="1918"/>
      <c r="E2072" s="1918"/>
      <c r="F2072" s="1918"/>
      <c r="G2072" s="1918"/>
      <c r="H2072" s="1919"/>
      <c r="I2072" s="1778">
        <f>SUM(I2067:I2071)</f>
        <v>30.86</v>
      </c>
      <c r="J2072" s="1768"/>
    </row>
    <row r="2073" spans="1:10">
      <c r="A2073" s="1920"/>
      <c r="B2073" s="1921"/>
      <c r="C2073" s="1921"/>
      <c r="D2073" s="1921"/>
      <c r="E2073" s="1921"/>
      <c r="F2073" s="1921"/>
      <c r="G2073" s="1921"/>
      <c r="H2073" s="1921"/>
      <c r="I2073" s="1922"/>
      <c r="J2073" s="1768"/>
    </row>
    <row r="2074" spans="1:10" ht="27" customHeight="1">
      <c r="A2074" s="1757">
        <f>'PLANILHA SEM DESON'!B314</f>
        <v>89737</v>
      </c>
      <c r="B2074" s="1923" t="str">
        <f>VLOOKUP(A2074,'PLANILHA SEM DESON'!$B$17:$D$1699,2,FALSE)</f>
        <v>JOELHO 90 GRAUS, PVC, SERIE NORMAL, ESGOTO PREDIAL, DN 75 MM, JUNTA ELÁSTICA, FORNECIDO E INSTALADO EM RAMAL DE DESCARGA OU RAMAL DE ESGOTO SANITÁRIO. AF_08/2022</v>
      </c>
      <c r="C2074" s="1924"/>
      <c r="D2074" s="1924"/>
      <c r="E2074" s="1924"/>
      <c r="F2074" s="1924"/>
      <c r="G2074" s="1924"/>
      <c r="H2074" s="1925"/>
      <c r="I2074" s="1758" t="str">
        <f>VLOOKUP(A2074,'PLANILHA SEM DESON'!$B$17:$D$1699,3,FALSE)</f>
        <v xml:space="preserve">un </v>
      </c>
      <c r="J2074" s="1759">
        <f>I2081</f>
        <v>24.79</v>
      </c>
    </row>
    <row r="2075" spans="1:10" ht="24">
      <c r="A2075" s="1761" t="s">
        <v>2401</v>
      </c>
      <c r="B2075" s="1762" t="s">
        <v>2402</v>
      </c>
      <c r="C2075" s="1763" t="s">
        <v>2399</v>
      </c>
      <c r="D2075" s="1764" t="s">
        <v>284</v>
      </c>
      <c r="E2075" s="1763" t="s">
        <v>193</v>
      </c>
      <c r="F2075" s="1765" t="s">
        <v>2403</v>
      </c>
      <c r="G2075" s="1763" t="s">
        <v>2404</v>
      </c>
      <c r="H2075" s="1766" t="s">
        <v>2405</v>
      </c>
      <c r="I2075" s="1767" t="s">
        <v>2406</v>
      </c>
      <c r="J2075" s="1768"/>
    </row>
    <row r="2076" spans="1:10" ht="24">
      <c r="A2076" s="1770" t="s">
        <v>2407</v>
      </c>
      <c r="B2076" s="1771" t="s">
        <v>2410</v>
      </c>
      <c r="C2076" s="1771">
        <v>297</v>
      </c>
      <c r="D2076" s="1772" t="s">
        <v>2703</v>
      </c>
      <c r="E2076" s="1773" t="s">
        <v>2432</v>
      </c>
      <c r="F2076" s="1780">
        <v>2</v>
      </c>
      <c r="G2076" s="1774">
        <v>2.91</v>
      </c>
      <c r="H2076" s="1775">
        <f>IF(E2076="H",G2076,TRUNC(G2076*(1-$K$7),2))</f>
        <v>2.89</v>
      </c>
      <c r="I2076" s="1776">
        <f t="shared" ref="I2076:I2080" si="296">TRUNC(H2076*F2076,2)</f>
        <v>5.78</v>
      </c>
      <c r="J2076" s="1768"/>
    </row>
    <row r="2077" spans="1:10" ht="24">
      <c r="A2077" s="1770" t="s">
        <v>2407</v>
      </c>
      <c r="B2077" s="1771" t="s">
        <v>2410</v>
      </c>
      <c r="C2077" s="1771">
        <v>3509</v>
      </c>
      <c r="D2077" s="1772" t="s">
        <v>2704</v>
      </c>
      <c r="E2077" s="1773" t="s">
        <v>2432</v>
      </c>
      <c r="F2077" s="1780">
        <v>1</v>
      </c>
      <c r="G2077" s="1774">
        <v>9.31</v>
      </c>
      <c r="H2077" s="1775">
        <f>IF(E2077="H",G2077,TRUNC(G2077*(1-$K$7),2))</f>
        <v>9.25</v>
      </c>
      <c r="I2077" s="1776">
        <f t="shared" si="296"/>
        <v>9.25</v>
      </c>
      <c r="J2077" s="1768"/>
    </row>
    <row r="2078" spans="1:10" ht="36">
      <c r="A2078" s="1770" t="s">
        <v>2407</v>
      </c>
      <c r="B2078" s="1771" t="s">
        <v>2410</v>
      </c>
      <c r="C2078" s="1771">
        <v>20078</v>
      </c>
      <c r="D2078" s="1772" t="s">
        <v>2700</v>
      </c>
      <c r="E2078" s="1773" t="s">
        <v>2432</v>
      </c>
      <c r="F2078" s="1780">
        <v>7.4999999999999997E-2</v>
      </c>
      <c r="G2078" s="1774">
        <v>31.72</v>
      </c>
      <c r="H2078" s="1775">
        <f>IF(E2078="H",G2078,TRUNC(G2078*(1-$K$7),2))</f>
        <v>31.52</v>
      </c>
      <c r="I2078" s="1776">
        <f t="shared" si="296"/>
        <v>2.36</v>
      </c>
      <c r="J2078" s="1768"/>
    </row>
    <row r="2079" spans="1:10" ht="24">
      <c r="A2079" s="1770" t="s">
        <v>2407</v>
      </c>
      <c r="B2079" s="1771" t="s">
        <v>7</v>
      </c>
      <c r="C2079" s="1771">
        <v>88248</v>
      </c>
      <c r="D2079" s="1772" t="s">
        <v>101</v>
      </c>
      <c r="E2079" s="1773" t="s">
        <v>387</v>
      </c>
      <c r="F2079" s="1780">
        <v>0.16520000000000001</v>
      </c>
      <c r="G2079" s="1774">
        <v>20.16</v>
      </c>
      <c r="H2079" s="1775">
        <f>IF(E2079="H",G2079,TRUNC(G2079*(1-$K$7),2))</f>
        <v>20.16</v>
      </c>
      <c r="I2079" s="1776">
        <f t="shared" si="296"/>
        <v>3.33</v>
      </c>
      <c r="J2079" s="1768"/>
    </row>
    <row r="2080" spans="1:10" ht="24">
      <c r="A2080" s="1770" t="s">
        <v>2407</v>
      </c>
      <c r="B2080" s="1771" t="s">
        <v>7</v>
      </c>
      <c r="C2080" s="1771">
        <v>88267</v>
      </c>
      <c r="D2080" s="1772" t="s">
        <v>102</v>
      </c>
      <c r="E2080" s="1773" t="s">
        <v>387</v>
      </c>
      <c r="F2080" s="1780">
        <v>0.16520000000000001</v>
      </c>
      <c r="G2080" s="1774">
        <v>24.64</v>
      </c>
      <c r="H2080" s="1775">
        <f>IF(E2080="H",G2080,TRUNC(G2080*(1-$K$7),2))</f>
        <v>24.64</v>
      </c>
      <c r="I2080" s="1776">
        <f t="shared" si="296"/>
        <v>4.07</v>
      </c>
      <c r="J2080" s="1768"/>
    </row>
    <row r="2081" spans="1:10">
      <c r="A2081" s="1917" t="s">
        <v>2408</v>
      </c>
      <c r="B2081" s="1918"/>
      <c r="C2081" s="1918"/>
      <c r="D2081" s="1918"/>
      <c r="E2081" s="1918"/>
      <c r="F2081" s="1918"/>
      <c r="G2081" s="1918"/>
      <c r="H2081" s="1919"/>
      <c r="I2081" s="1778">
        <f>SUM(I2076:I2080)</f>
        <v>24.79</v>
      </c>
      <c r="J2081" s="1768"/>
    </row>
    <row r="2082" spans="1:10">
      <c r="A2082" s="1920"/>
      <c r="B2082" s="1921"/>
      <c r="C2082" s="1921"/>
      <c r="D2082" s="1921"/>
      <c r="E2082" s="1921"/>
      <c r="F2082" s="1921"/>
      <c r="G2082" s="1921"/>
      <c r="H2082" s="1921"/>
      <c r="I2082" s="1922"/>
      <c r="J2082" s="1768"/>
    </row>
    <row r="2083" spans="1:10" ht="24.75" customHeight="1">
      <c r="A2083" s="1757">
        <f>'PLANILHA SEM DESON'!B315</f>
        <v>89724</v>
      </c>
      <c r="B2083" s="1923" t="str">
        <f>VLOOKUP(A2083,'PLANILHA SEM DESON'!$B$17:$D$1699,2,FALSE)</f>
        <v>JOELHO 90 GRAUS, PVC, SERIE NORMAL, ESGOTO PREDIAL, DN 40 MM, JUNTA SOLDÁVEL, FORNECIDO E INSTALADO EM RAMAL DE DESCARGA OU RAMAL DE ESGOTO SANITÁRIO. AF_08/2022</v>
      </c>
      <c r="C2083" s="1924"/>
      <c r="D2083" s="1924"/>
      <c r="E2083" s="1924"/>
      <c r="F2083" s="1924"/>
      <c r="G2083" s="1924"/>
      <c r="H2083" s="1925"/>
      <c r="I2083" s="1758" t="str">
        <f>VLOOKUP(A2083,'PLANILHA SEM DESON'!$B$17:$D$1699,3,FALSE)</f>
        <v xml:space="preserve">un </v>
      </c>
      <c r="J2083" s="1759">
        <f>I2091</f>
        <v>12.899999999999999</v>
      </c>
    </row>
    <row r="2084" spans="1:10" ht="24">
      <c r="A2084" s="1761" t="s">
        <v>2401</v>
      </c>
      <c r="B2084" s="1762" t="s">
        <v>2402</v>
      </c>
      <c r="C2084" s="1763" t="s">
        <v>2399</v>
      </c>
      <c r="D2084" s="1764" t="s">
        <v>284</v>
      </c>
      <c r="E2084" s="1763" t="s">
        <v>193</v>
      </c>
      <c r="F2084" s="1765" t="s">
        <v>2403</v>
      </c>
      <c r="G2084" s="1763" t="s">
        <v>2404</v>
      </c>
      <c r="H2084" s="1766" t="s">
        <v>2405</v>
      </c>
      <c r="I2084" s="1767" t="s">
        <v>2406</v>
      </c>
      <c r="J2084" s="1768"/>
    </row>
    <row r="2085" spans="1:10">
      <c r="A2085" s="1770" t="s">
        <v>2407</v>
      </c>
      <c r="B2085" s="1771" t="s">
        <v>2410</v>
      </c>
      <c r="C2085" s="1771">
        <v>122</v>
      </c>
      <c r="D2085" s="1772" t="s">
        <v>2663</v>
      </c>
      <c r="E2085" s="1773" t="s">
        <v>2432</v>
      </c>
      <c r="F2085" s="1780">
        <v>9.9000000000000008E-3</v>
      </c>
      <c r="G2085" s="1774">
        <v>76.86</v>
      </c>
      <c r="H2085" s="1775">
        <f t="shared" ref="H2085:H2090" si="297">IF(E2085="H",G2085,TRUNC(G2085*(1-$K$7),2))</f>
        <v>76.39</v>
      </c>
      <c r="I2085" s="1776">
        <f t="shared" ref="I2085:I2090" si="298">TRUNC(H2085*F2085,2)</f>
        <v>0.75</v>
      </c>
      <c r="J2085" s="1768"/>
    </row>
    <row r="2086" spans="1:10" ht="24">
      <c r="A2086" s="1770" t="s">
        <v>2407</v>
      </c>
      <c r="B2086" s="1771" t="s">
        <v>2410</v>
      </c>
      <c r="C2086" s="1771">
        <v>3517</v>
      </c>
      <c r="D2086" s="1772" t="s">
        <v>2705</v>
      </c>
      <c r="E2086" s="1773" t="s">
        <v>2432</v>
      </c>
      <c r="F2086" s="1780">
        <v>1</v>
      </c>
      <c r="G2086" s="1774">
        <v>5.21</v>
      </c>
      <c r="H2086" s="1775">
        <f t="shared" si="297"/>
        <v>5.17</v>
      </c>
      <c r="I2086" s="1776">
        <f t="shared" si="298"/>
        <v>5.17</v>
      </c>
      <c r="J2086" s="1768"/>
    </row>
    <row r="2087" spans="1:10" ht="24">
      <c r="A2087" s="1770" t="s">
        <v>2407</v>
      </c>
      <c r="B2087" s="1771" t="s">
        <v>2410</v>
      </c>
      <c r="C2087" s="1771">
        <v>20083</v>
      </c>
      <c r="D2087" s="1772" t="s">
        <v>2537</v>
      </c>
      <c r="E2087" s="1773" t="s">
        <v>2432</v>
      </c>
      <c r="F2087" s="1780">
        <v>1.4999999999999999E-2</v>
      </c>
      <c r="G2087" s="1774">
        <v>87.08</v>
      </c>
      <c r="H2087" s="1775">
        <f t="shared" si="297"/>
        <v>86.55</v>
      </c>
      <c r="I2087" s="1776">
        <f t="shared" si="298"/>
        <v>1.29</v>
      </c>
      <c r="J2087" s="1768"/>
    </row>
    <row r="2088" spans="1:10">
      <c r="A2088" s="1770" t="s">
        <v>2407</v>
      </c>
      <c r="B2088" s="1771" t="s">
        <v>2410</v>
      </c>
      <c r="C2088" s="1771">
        <v>38383</v>
      </c>
      <c r="D2088" s="1772" t="s">
        <v>2538</v>
      </c>
      <c r="E2088" s="1773" t="s">
        <v>2432</v>
      </c>
      <c r="F2088" s="1780">
        <v>7.1000000000000004E-3</v>
      </c>
      <c r="G2088" s="1774">
        <v>2.56</v>
      </c>
      <c r="H2088" s="1775">
        <f t="shared" si="297"/>
        <v>2.54</v>
      </c>
      <c r="I2088" s="1776">
        <f t="shared" si="298"/>
        <v>0.01</v>
      </c>
      <c r="J2088" s="1768"/>
    </row>
    <row r="2089" spans="1:10" ht="24">
      <c r="A2089" s="1770" t="s">
        <v>2407</v>
      </c>
      <c r="B2089" s="1771" t="s">
        <v>7</v>
      </c>
      <c r="C2089" s="1771">
        <v>88248</v>
      </c>
      <c r="D2089" s="1772" t="s">
        <v>101</v>
      </c>
      <c r="E2089" s="1773" t="s">
        <v>387</v>
      </c>
      <c r="F2089" s="1780">
        <v>0.127</v>
      </c>
      <c r="G2089" s="1774">
        <v>20.16</v>
      </c>
      <c r="H2089" s="1775">
        <f t="shared" si="297"/>
        <v>20.16</v>
      </c>
      <c r="I2089" s="1776">
        <f t="shared" si="298"/>
        <v>2.56</v>
      </c>
      <c r="J2089" s="1768"/>
    </row>
    <row r="2090" spans="1:10" ht="24">
      <c r="A2090" s="1770" t="s">
        <v>2407</v>
      </c>
      <c r="B2090" s="1771" t="s">
        <v>7</v>
      </c>
      <c r="C2090" s="1771">
        <v>88267</v>
      </c>
      <c r="D2090" s="1772" t="s">
        <v>102</v>
      </c>
      <c r="E2090" s="1773" t="s">
        <v>387</v>
      </c>
      <c r="F2090" s="1780">
        <v>0.127</v>
      </c>
      <c r="G2090" s="1774">
        <v>24.64</v>
      </c>
      <c r="H2090" s="1775">
        <f t="shared" si="297"/>
        <v>24.64</v>
      </c>
      <c r="I2090" s="1776">
        <f t="shared" si="298"/>
        <v>3.12</v>
      </c>
      <c r="J2090" s="1768"/>
    </row>
    <row r="2091" spans="1:10">
      <c r="A2091" s="1917" t="s">
        <v>2408</v>
      </c>
      <c r="B2091" s="1918"/>
      <c r="C2091" s="1918"/>
      <c r="D2091" s="1918"/>
      <c r="E2091" s="1918"/>
      <c r="F2091" s="1918"/>
      <c r="G2091" s="1918"/>
      <c r="H2091" s="1919"/>
      <c r="I2091" s="1778">
        <f>SUM(I2085:I2090)</f>
        <v>12.899999999999999</v>
      </c>
      <c r="J2091" s="1768"/>
    </row>
    <row r="2092" spans="1:10">
      <c r="A2092" s="1920"/>
      <c r="B2092" s="1921"/>
      <c r="C2092" s="1921"/>
      <c r="D2092" s="1921"/>
      <c r="E2092" s="1921"/>
      <c r="F2092" s="1921"/>
      <c r="G2092" s="1921"/>
      <c r="H2092" s="1921"/>
      <c r="I2092" s="1922"/>
      <c r="J2092" s="1768"/>
    </row>
    <row r="2093" spans="1:10" ht="26.25" customHeight="1">
      <c r="A2093" s="1757">
        <f>'PLANILHA SEM DESON'!B316</f>
        <v>89731</v>
      </c>
      <c r="B2093" s="1923" t="str">
        <f>VLOOKUP(A2093,'PLANILHA SEM DESON'!$B$17:$D$1699,2,FALSE)</f>
        <v>JOELHO 90 GRAUS, PVC, SERIE NORMAL, ESGOTO PREDIAL, DN 50 MM, JUNTA ELÁSTICA, FORNECIDO E INSTALADO EM RAMAL DE DESCARGA OU RAMAL DE ESGOTO SANITÁRIO. AF_08/2022</v>
      </c>
      <c r="C2093" s="1924"/>
      <c r="D2093" s="1924"/>
      <c r="E2093" s="1924"/>
      <c r="F2093" s="1924"/>
      <c r="G2093" s="1924"/>
      <c r="H2093" s="1925"/>
      <c r="I2093" s="1758" t="str">
        <f>VLOOKUP(A2093,'PLANILHA SEM DESON'!$B$17:$D$1699,3,FALSE)</f>
        <v xml:space="preserve">un </v>
      </c>
      <c r="J2093" s="1759">
        <f>I2100</f>
        <v>15.209999999999999</v>
      </c>
    </row>
    <row r="2094" spans="1:10" ht="24">
      <c r="A2094" s="1761" t="s">
        <v>2401</v>
      </c>
      <c r="B2094" s="1762" t="s">
        <v>2402</v>
      </c>
      <c r="C2094" s="1763" t="s">
        <v>2399</v>
      </c>
      <c r="D2094" s="1764" t="s">
        <v>284</v>
      </c>
      <c r="E2094" s="1763" t="s">
        <v>193</v>
      </c>
      <c r="F2094" s="1765" t="s">
        <v>2403</v>
      </c>
      <c r="G2094" s="1763" t="s">
        <v>2404</v>
      </c>
      <c r="H2094" s="1766" t="s">
        <v>2405</v>
      </c>
      <c r="I2094" s="1767" t="s">
        <v>2406</v>
      </c>
      <c r="J2094" s="1768"/>
    </row>
    <row r="2095" spans="1:10" ht="24">
      <c r="A2095" s="1770" t="s">
        <v>2407</v>
      </c>
      <c r="B2095" s="1771" t="s">
        <v>2410</v>
      </c>
      <c r="C2095" s="1771">
        <v>296</v>
      </c>
      <c r="D2095" s="1772" t="s">
        <v>2698</v>
      </c>
      <c r="E2095" s="1773" t="s">
        <v>2432</v>
      </c>
      <c r="F2095" s="1780">
        <v>2</v>
      </c>
      <c r="G2095" s="1774">
        <v>1.98</v>
      </c>
      <c r="H2095" s="1775">
        <f>IF(E2095="H",G2095,TRUNC(G2095*(1-$K$7),2))</f>
        <v>1.96</v>
      </c>
      <c r="I2095" s="1776">
        <f t="shared" ref="I2095:I2099" si="299">TRUNC(H2095*F2095,2)</f>
        <v>3.92</v>
      </c>
      <c r="J2095" s="1768"/>
    </row>
    <row r="2096" spans="1:10" ht="24">
      <c r="A2096" s="1770" t="s">
        <v>2407</v>
      </c>
      <c r="B2096" s="1771" t="s">
        <v>2410</v>
      </c>
      <c r="C2096" s="1771">
        <v>3526</v>
      </c>
      <c r="D2096" s="1772" t="s">
        <v>2706</v>
      </c>
      <c r="E2096" s="1773" t="s">
        <v>2432</v>
      </c>
      <c r="F2096" s="1780">
        <v>1</v>
      </c>
      <c r="G2096" s="1774">
        <v>3.58</v>
      </c>
      <c r="H2096" s="1775">
        <f>IF(E2096="H",G2096,TRUNC(G2096*(1-$K$7),2))</f>
        <v>3.55</v>
      </c>
      <c r="I2096" s="1776">
        <f t="shared" si="299"/>
        <v>3.55</v>
      </c>
      <c r="J2096" s="1768"/>
    </row>
    <row r="2097" spans="1:10" ht="36">
      <c r="A2097" s="1770" t="s">
        <v>2407</v>
      </c>
      <c r="B2097" s="1771" t="s">
        <v>2410</v>
      </c>
      <c r="C2097" s="1771">
        <v>20078</v>
      </c>
      <c r="D2097" s="1772" t="s">
        <v>2700</v>
      </c>
      <c r="E2097" s="1773" t="s">
        <v>2432</v>
      </c>
      <c r="F2097" s="1780">
        <v>0.05</v>
      </c>
      <c r="G2097" s="1774">
        <v>31.72</v>
      </c>
      <c r="H2097" s="1775">
        <f>IF(E2097="H",G2097,TRUNC(G2097*(1-$K$7),2))</f>
        <v>31.52</v>
      </c>
      <c r="I2097" s="1776">
        <f t="shared" si="299"/>
        <v>1.57</v>
      </c>
      <c r="J2097" s="1768"/>
    </row>
    <row r="2098" spans="1:10" ht="24">
      <c r="A2098" s="1770" t="s">
        <v>2407</v>
      </c>
      <c r="B2098" s="1771" t="s">
        <v>7</v>
      </c>
      <c r="C2098" s="1771">
        <v>88248</v>
      </c>
      <c r="D2098" s="1772" t="s">
        <v>101</v>
      </c>
      <c r="E2098" s="1773" t="s">
        <v>387</v>
      </c>
      <c r="F2098" s="1780">
        <v>0.13789999999999999</v>
      </c>
      <c r="G2098" s="1774">
        <v>20.16</v>
      </c>
      <c r="H2098" s="1775">
        <f>IF(E2098="H",G2098,TRUNC(G2098*(1-$K$7),2))</f>
        <v>20.16</v>
      </c>
      <c r="I2098" s="1776">
        <f t="shared" si="299"/>
        <v>2.78</v>
      </c>
      <c r="J2098" s="1768"/>
    </row>
    <row r="2099" spans="1:10" ht="24">
      <c r="A2099" s="1770" t="s">
        <v>2407</v>
      </c>
      <c r="B2099" s="1771" t="s">
        <v>7</v>
      </c>
      <c r="C2099" s="1771">
        <v>88267</v>
      </c>
      <c r="D2099" s="1772" t="s">
        <v>102</v>
      </c>
      <c r="E2099" s="1773" t="s">
        <v>387</v>
      </c>
      <c r="F2099" s="1780">
        <v>0.13789999999999999</v>
      </c>
      <c r="G2099" s="1774">
        <v>24.64</v>
      </c>
      <c r="H2099" s="1775">
        <f>IF(E2099="H",G2099,TRUNC(G2099*(1-$K$7),2))</f>
        <v>24.64</v>
      </c>
      <c r="I2099" s="1776">
        <f t="shared" si="299"/>
        <v>3.39</v>
      </c>
      <c r="J2099" s="1768"/>
    </row>
    <row r="2100" spans="1:10">
      <c r="A2100" s="1917" t="s">
        <v>2408</v>
      </c>
      <c r="B2100" s="1918"/>
      <c r="C2100" s="1918"/>
      <c r="D2100" s="1918"/>
      <c r="E2100" s="1918"/>
      <c r="F2100" s="1918"/>
      <c r="G2100" s="1918"/>
      <c r="H2100" s="1919"/>
      <c r="I2100" s="1778">
        <f>SUM(I2095:I2099)</f>
        <v>15.209999999999999</v>
      </c>
      <c r="J2100" s="1768"/>
    </row>
    <row r="2101" spans="1:10">
      <c r="A2101" s="1920"/>
      <c r="B2101" s="1921"/>
      <c r="C2101" s="1921"/>
      <c r="D2101" s="1921"/>
      <c r="E2101" s="1921"/>
      <c r="F2101" s="1921"/>
      <c r="G2101" s="1921"/>
      <c r="H2101" s="1921"/>
      <c r="I2101" s="1922"/>
      <c r="J2101" s="1768"/>
    </row>
    <row r="2102" spans="1:10" ht="24" customHeight="1">
      <c r="A2102" s="1757">
        <f>'PLANILHA SEM DESON'!B317</f>
        <v>89744</v>
      </c>
      <c r="B2102" s="1923" t="str">
        <f>VLOOKUP(A2102,'PLANILHA SEM DESON'!$B$17:$D$1699,2,FALSE)</f>
        <v>OELHO 90 GRAUS, PVC, SERIE NORMAL, ESGOTO PREDIAL, DN 100 MM, JUNTA ELÁSTICA, FORNECIDO E INSTALADO EM RAMAL DE DESCARGA OU RAMAL DE ESGOTO SANITÁRIO. AF_08/2022</v>
      </c>
      <c r="C2102" s="1924"/>
      <c r="D2102" s="1924"/>
      <c r="E2102" s="1924"/>
      <c r="F2102" s="1924"/>
      <c r="G2102" s="1924"/>
      <c r="H2102" s="1925"/>
      <c r="I2102" s="1758" t="str">
        <f>VLOOKUP(A2102,'PLANILHA SEM DESON'!$B$17:$D$1699,3,FALSE)</f>
        <v xml:space="preserve">un </v>
      </c>
      <c r="J2102" s="1759">
        <f>I2109</f>
        <v>30.939999999999998</v>
      </c>
    </row>
    <row r="2103" spans="1:10" ht="24">
      <c r="A2103" s="1761" t="s">
        <v>2401</v>
      </c>
      <c r="B2103" s="1762" t="s">
        <v>2402</v>
      </c>
      <c r="C2103" s="1763" t="s">
        <v>2399</v>
      </c>
      <c r="D2103" s="1764" t="s">
        <v>284</v>
      </c>
      <c r="E2103" s="1763" t="s">
        <v>193</v>
      </c>
      <c r="F2103" s="1765" t="s">
        <v>2403</v>
      </c>
      <c r="G2103" s="1763" t="s">
        <v>2404</v>
      </c>
      <c r="H2103" s="1766" t="s">
        <v>2405</v>
      </c>
      <c r="I2103" s="1767" t="s">
        <v>2406</v>
      </c>
      <c r="J2103" s="1768"/>
    </row>
    <row r="2104" spans="1:10" ht="24">
      <c r="A2104" s="1770" t="s">
        <v>2407</v>
      </c>
      <c r="B2104" s="1771" t="s">
        <v>2410</v>
      </c>
      <c r="C2104" s="1771">
        <v>301</v>
      </c>
      <c r="D2104" s="1772" t="s">
        <v>2701</v>
      </c>
      <c r="E2104" s="1773" t="s">
        <v>2432</v>
      </c>
      <c r="F2104" s="1780">
        <v>2</v>
      </c>
      <c r="G2104" s="1774">
        <v>3.5</v>
      </c>
      <c r="H2104" s="1775">
        <f>IF(E2104="H",G2104,TRUNC(G2104*(1-$K$7),2))</f>
        <v>3.47</v>
      </c>
      <c r="I2104" s="1776">
        <f t="shared" ref="I2104:I2108" si="300">TRUNC(H2104*F2104,2)</f>
        <v>6.94</v>
      </c>
      <c r="J2104" s="1768"/>
    </row>
    <row r="2105" spans="1:10" ht="24">
      <c r="A2105" s="1770" t="s">
        <v>2407</v>
      </c>
      <c r="B2105" s="1771" t="s">
        <v>2410</v>
      </c>
      <c r="C2105" s="1771">
        <v>3520</v>
      </c>
      <c r="D2105" s="1772" t="s">
        <v>2707</v>
      </c>
      <c r="E2105" s="1773" t="s">
        <v>2432</v>
      </c>
      <c r="F2105" s="1780">
        <v>1</v>
      </c>
      <c r="G2105" s="1774">
        <v>11.84</v>
      </c>
      <c r="H2105" s="1775">
        <f>IF(E2105="H",G2105,TRUNC(G2105*(1-$K$7),2))</f>
        <v>11.76</v>
      </c>
      <c r="I2105" s="1776">
        <f t="shared" si="300"/>
        <v>11.76</v>
      </c>
      <c r="J2105" s="1768"/>
    </row>
    <row r="2106" spans="1:10" ht="36">
      <c r="A2106" s="1770" t="s">
        <v>2407</v>
      </c>
      <c r="B2106" s="1771" t="s">
        <v>2410</v>
      </c>
      <c r="C2106" s="1771">
        <v>20078</v>
      </c>
      <c r="D2106" s="1772" t="s">
        <v>2700</v>
      </c>
      <c r="E2106" s="1773" t="s">
        <v>2432</v>
      </c>
      <c r="F2106" s="1780">
        <v>0.115</v>
      </c>
      <c r="G2106" s="1774">
        <v>31.72</v>
      </c>
      <c r="H2106" s="1775">
        <f>IF(E2106="H",G2106,TRUNC(G2106*(1-$K$7),2))</f>
        <v>31.52</v>
      </c>
      <c r="I2106" s="1776">
        <f t="shared" si="300"/>
        <v>3.62</v>
      </c>
      <c r="J2106" s="1768"/>
    </row>
    <row r="2107" spans="1:10" ht="24">
      <c r="A2107" s="1770" t="s">
        <v>2407</v>
      </c>
      <c r="B2107" s="1771" t="s">
        <v>7</v>
      </c>
      <c r="C2107" s="1771">
        <v>88248</v>
      </c>
      <c r="D2107" s="1772" t="s">
        <v>101</v>
      </c>
      <c r="E2107" s="1773" t="s">
        <v>387</v>
      </c>
      <c r="F2107" s="1780">
        <v>0.19259999999999999</v>
      </c>
      <c r="G2107" s="1774">
        <v>20.16</v>
      </c>
      <c r="H2107" s="1775">
        <f>IF(E2107="H",G2107,TRUNC(G2107*(1-$K$7),2))</f>
        <v>20.16</v>
      </c>
      <c r="I2107" s="1776">
        <f t="shared" si="300"/>
        <v>3.88</v>
      </c>
      <c r="J2107" s="1768"/>
    </row>
    <row r="2108" spans="1:10" ht="24">
      <c r="A2108" s="1770" t="s">
        <v>2407</v>
      </c>
      <c r="B2108" s="1771" t="s">
        <v>7</v>
      </c>
      <c r="C2108" s="1771">
        <v>88267</v>
      </c>
      <c r="D2108" s="1772" t="s">
        <v>102</v>
      </c>
      <c r="E2108" s="1773" t="s">
        <v>387</v>
      </c>
      <c r="F2108" s="1780">
        <v>0.19259999999999999</v>
      </c>
      <c r="G2108" s="1774">
        <v>24.64</v>
      </c>
      <c r="H2108" s="1775">
        <f>IF(E2108="H",G2108,TRUNC(G2108*(1-$K$7),2))</f>
        <v>24.64</v>
      </c>
      <c r="I2108" s="1776">
        <f t="shared" si="300"/>
        <v>4.74</v>
      </c>
      <c r="J2108" s="1768"/>
    </row>
    <row r="2109" spans="1:10">
      <c r="A2109" s="1917" t="s">
        <v>2408</v>
      </c>
      <c r="B2109" s="1918"/>
      <c r="C2109" s="1918"/>
      <c r="D2109" s="1918"/>
      <c r="E2109" s="1918"/>
      <c r="F2109" s="1918"/>
      <c r="G2109" s="1918"/>
      <c r="H2109" s="1919"/>
      <c r="I2109" s="1778">
        <f>SUM(I2104:I2108)</f>
        <v>30.939999999999998</v>
      </c>
      <c r="J2109" s="1768"/>
    </row>
    <row r="2110" spans="1:10">
      <c r="A2110" s="1920"/>
      <c r="B2110" s="1921"/>
      <c r="C2110" s="1921"/>
      <c r="D2110" s="1921"/>
      <c r="E2110" s="1921"/>
      <c r="F2110" s="1921"/>
      <c r="G2110" s="1921"/>
      <c r="H2110" s="1921"/>
      <c r="I2110" s="1922"/>
      <c r="J2110" s="1768"/>
    </row>
    <row r="2111" spans="1:10" ht="24.75" customHeight="1">
      <c r="A2111" s="1757" t="str">
        <f>'PLANILHA SEM DESON'!B318</f>
        <v>COMP HIDR 15</v>
      </c>
      <c r="B2111" s="1923" t="str">
        <f>VLOOKUP(A2111,'PLANILHA SEM DESON'!$B$17:$D$1699,2,FALSE)</f>
        <v>JOELHO DE REDUÇÃO 90 GRAUS 40MM X 11/2"</v>
      </c>
      <c r="C2111" s="1924"/>
      <c r="D2111" s="1924"/>
      <c r="E2111" s="1924"/>
      <c r="F2111" s="1924"/>
      <c r="G2111" s="1924"/>
      <c r="H2111" s="1925"/>
      <c r="I2111" s="1758" t="str">
        <f>VLOOKUP(A2111,'PLANILHA SEM DESON'!$B$17:$D$1699,3,FALSE)</f>
        <v xml:space="preserve">un </v>
      </c>
      <c r="J2111" s="1759">
        <f>I2117</f>
        <v>41.58</v>
      </c>
    </row>
    <row r="2112" spans="1:10" ht="24">
      <c r="A2112" s="1761" t="s">
        <v>2401</v>
      </c>
      <c r="B2112" s="1762" t="s">
        <v>2402</v>
      </c>
      <c r="C2112" s="1763" t="s">
        <v>2399</v>
      </c>
      <c r="D2112" s="1764" t="s">
        <v>284</v>
      </c>
      <c r="E2112" s="1763" t="s">
        <v>193</v>
      </c>
      <c r="F2112" s="1765" t="s">
        <v>2403</v>
      </c>
      <c r="G2112" s="1763" t="s">
        <v>2404</v>
      </c>
      <c r="H2112" s="1766" t="s">
        <v>2405</v>
      </c>
      <c r="I2112" s="1767" t="s">
        <v>2406</v>
      </c>
      <c r="J2112" s="1768"/>
    </row>
    <row r="2113" spans="1:10" ht="24">
      <c r="A2113" s="1770"/>
      <c r="B2113" s="1771"/>
      <c r="C2113" s="1771" t="s">
        <v>430</v>
      </c>
      <c r="D2113" s="1772" t="s">
        <v>101</v>
      </c>
      <c r="E2113" s="1773" t="s">
        <v>57</v>
      </c>
      <c r="F2113" s="1790">
        <v>0.2</v>
      </c>
      <c r="G2113" s="1781">
        <v>20.16</v>
      </c>
      <c r="H2113" s="1775">
        <f>IF(E2113="H",G2113,TRUNC(G2113*(1-$K$7),2))</f>
        <v>20.16</v>
      </c>
      <c r="I2113" s="1776">
        <f t="shared" ref="I2113:I2116" si="301">TRUNC(H2113*F2113,2)</f>
        <v>4.03</v>
      </c>
      <c r="J2113" s="1768"/>
    </row>
    <row r="2114" spans="1:10" ht="24">
      <c r="A2114" s="1770"/>
      <c r="B2114" s="1771"/>
      <c r="C2114" s="1771" t="s">
        <v>431</v>
      </c>
      <c r="D2114" s="1772" t="s">
        <v>102</v>
      </c>
      <c r="E2114" s="1773" t="s">
        <v>57</v>
      </c>
      <c r="F2114" s="1790">
        <v>0.2</v>
      </c>
      <c r="G2114" s="1781">
        <v>24.64</v>
      </c>
      <c r="H2114" s="1775">
        <f>IF(E2114="H",G2114,TRUNC(G2114*(1-$K$7),2))</f>
        <v>24.64</v>
      </c>
      <c r="I2114" s="1776">
        <f t="shared" si="301"/>
        <v>4.92</v>
      </c>
      <c r="J2114" s="1768"/>
    </row>
    <row r="2115" spans="1:10">
      <c r="A2115" s="1770"/>
      <c r="B2115" s="1771"/>
      <c r="C2115" s="1771">
        <v>3148</v>
      </c>
      <c r="D2115" s="1772" t="s">
        <v>446</v>
      </c>
      <c r="E2115" s="1773" t="s">
        <v>55</v>
      </c>
      <c r="F2115" s="1790">
        <v>0.31</v>
      </c>
      <c r="G2115" s="1779">
        <v>17.989999999999998</v>
      </c>
      <c r="H2115" s="1775">
        <f>IF(E2115="H",G2115,TRUNC(G2115*(1-$K$7),2))</f>
        <v>17.88</v>
      </c>
      <c r="I2115" s="1776">
        <f t="shared" si="301"/>
        <v>5.54</v>
      </c>
      <c r="J2115" s="1768"/>
    </row>
    <row r="2116" spans="1:10" ht="24">
      <c r="A2116" s="1770"/>
      <c r="B2116" s="1771"/>
      <c r="C2116" s="1771">
        <v>10836</v>
      </c>
      <c r="D2116" s="1772" t="s">
        <v>1932</v>
      </c>
      <c r="E2116" s="1773" t="s">
        <v>55</v>
      </c>
      <c r="F2116" s="1790">
        <v>1</v>
      </c>
      <c r="G2116" s="1779">
        <v>27.26</v>
      </c>
      <c r="H2116" s="1775">
        <f>IF(E2116="H",G2116,TRUNC(G2116*(1-$K$7),2))</f>
        <v>27.09</v>
      </c>
      <c r="I2116" s="1776">
        <f t="shared" si="301"/>
        <v>27.09</v>
      </c>
      <c r="J2116" s="1768"/>
    </row>
    <row r="2117" spans="1:10">
      <c r="A2117" s="1917" t="s">
        <v>2408</v>
      </c>
      <c r="B2117" s="1918"/>
      <c r="C2117" s="1918"/>
      <c r="D2117" s="1918"/>
      <c r="E2117" s="1918"/>
      <c r="F2117" s="1918"/>
      <c r="G2117" s="1918"/>
      <c r="H2117" s="1919"/>
      <c r="I2117" s="1778">
        <f>SUM(I2113:I2116)</f>
        <v>41.58</v>
      </c>
      <c r="J2117" s="1768"/>
    </row>
    <row r="2118" spans="1:10">
      <c r="A2118" s="1920"/>
      <c r="B2118" s="1921"/>
      <c r="C2118" s="1921"/>
      <c r="D2118" s="1921"/>
      <c r="E2118" s="1921"/>
      <c r="F2118" s="1921"/>
      <c r="G2118" s="1921"/>
      <c r="H2118" s="1921"/>
      <c r="I2118" s="1922"/>
      <c r="J2118" s="1768"/>
    </row>
    <row r="2119" spans="1:10" ht="24.75" customHeight="1">
      <c r="A2119" s="1757" t="str">
        <f>'PLANILHA SEM DESON'!B319</f>
        <v>COMP HIDR 16</v>
      </c>
      <c r="B2119" s="1923" t="str">
        <f>VLOOKUP(A2119,'PLANILHA SEM DESON'!$B$17:$D$1699,2,FALSE)</f>
        <v>JUNÇÃO SIMPLES, PVC, SERIE NORMAL, ESGOTO PREDIAL, DN 100 X 50 MM, JUNTA ELÁSTICA, FORNECIDO E INSTALADO EM RAMAL DE DESCARGA OU RAMAL DE ESGOTO SANITÁRIO. AF_12/2014</v>
      </c>
      <c r="C2119" s="1924"/>
      <c r="D2119" s="1924"/>
      <c r="E2119" s="1924"/>
      <c r="F2119" s="1924"/>
      <c r="G2119" s="1924"/>
      <c r="H2119" s="1925"/>
      <c r="I2119" s="1758" t="str">
        <f>VLOOKUP(A2119,'PLANILHA SEM DESON'!$B$17:$D$1699,3,FALSE)</f>
        <v xml:space="preserve">un </v>
      </c>
      <c r="J2119" s="1759">
        <f>I2127</f>
        <v>41.86</v>
      </c>
    </row>
    <row r="2120" spans="1:10" ht="24">
      <c r="A2120" s="1761" t="s">
        <v>2401</v>
      </c>
      <c r="B2120" s="1762" t="s">
        <v>2402</v>
      </c>
      <c r="C2120" s="1763" t="s">
        <v>2399</v>
      </c>
      <c r="D2120" s="1764" t="s">
        <v>284</v>
      </c>
      <c r="E2120" s="1763" t="s">
        <v>193</v>
      </c>
      <c r="F2120" s="1765" t="s">
        <v>2403</v>
      </c>
      <c r="G2120" s="1763" t="s">
        <v>2404</v>
      </c>
      <c r="H2120" s="1766" t="s">
        <v>2405</v>
      </c>
      <c r="I2120" s="1767" t="s">
        <v>2406</v>
      </c>
      <c r="J2120" s="1768"/>
    </row>
    <row r="2121" spans="1:10" ht="24">
      <c r="A2121" s="1770"/>
      <c r="B2121" s="1771"/>
      <c r="C2121" s="1771" t="s">
        <v>430</v>
      </c>
      <c r="D2121" s="1772" t="s">
        <v>101</v>
      </c>
      <c r="E2121" s="1773" t="s">
        <v>57</v>
      </c>
      <c r="F2121" s="1790">
        <v>0.185</v>
      </c>
      <c r="G2121" s="1781">
        <v>20.16</v>
      </c>
      <c r="H2121" s="1775">
        <f t="shared" ref="H2121:H2126" si="302">IF(E2121="H",G2121,TRUNC(G2121*(1-$K$7),2))</f>
        <v>20.16</v>
      </c>
      <c r="I2121" s="1776">
        <f t="shared" ref="I2121:I2126" si="303">TRUNC(H2121*F2121,2)</f>
        <v>3.72</v>
      </c>
      <c r="J2121" s="1768"/>
    </row>
    <row r="2122" spans="1:10" ht="24">
      <c r="A2122" s="1770"/>
      <c r="B2122" s="1771"/>
      <c r="C2122" s="1771" t="s">
        <v>431</v>
      </c>
      <c r="D2122" s="1772" t="s">
        <v>102</v>
      </c>
      <c r="E2122" s="1773" t="s">
        <v>57</v>
      </c>
      <c r="F2122" s="1790">
        <v>0.185</v>
      </c>
      <c r="G2122" s="1781">
        <v>24.64</v>
      </c>
      <c r="H2122" s="1775">
        <f t="shared" si="302"/>
        <v>24.64</v>
      </c>
      <c r="I2122" s="1776">
        <f t="shared" si="303"/>
        <v>4.55</v>
      </c>
      <c r="J2122" s="1768"/>
    </row>
    <row r="2123" spans="1:10" ht="24">
      <c r="A2123" s="1770"/>
      <c r="B2123" s="1771"/>
      <c r="C2123" s="1771">
        <v>20085</v>
      </c>
      <c r="D2123" s="1772" t="s">
        <v>1740</v>
      </c>
      <c r="E2123" s="1773" t="s">
        <v>55</v>
      </c>
      <c r="F2123" s="1790">
        <v>1</v>
      </c>
      <c r="G2123" s="1779">
        <v>2.59</v>
      </c>
      <c r="H2123" s="1775">
        <f t="shared" si="302"/>
        <v>2.57</v>
      </c>
      <c r="I2123" s="1776">
        <f t="shared" si="303"/>
        <v>2.57</v>
      </c>
      <c r="J2123" s="1768"/>
    </row>
    <row r="2124" spans="1:10" ht="24">
      <c r="A2124" s="1770"/>
      <c r="B2124" s="1771"/>
      <c r="C2124" s="1771">
        <v>301</v>
      </c>
      <c r="D2124" s="1772" t="s">
        <v>1934</v>
      </c>
      <c r="E2124" s="1773" t="s">
        <v>55</v>
      </c>
      <c r="F2124" s="1790">
        <v>1</v>
      </c>
      <c r="G2124" s="1779">
        <v>3.5</v>
      </c>
      <c r="H2124" s="1775">
        <f t="shared" si="302"/>
        <v>3.47</v>
      </c>
      <c r="I2124" s="1776">
        <f t="shared" si="303"/>
        <v>3.47</v>
      </c>
      <c r="J2124" s="1768"/>
    </row>
    <row r="2125" spans="1:10" ht="36">
      <c r="A2125" s="1770"/>
      <c r="B2125" s="1771"/>
      <c r="C2125" s="1771">
        <v>20078</v>
      </c>
      <c r="D2125" s="1772" t="s">
        <v>1739</v>
      </c>
      <c r="E2125" s="1773" t="s">
        <v>55</v>
      </c>
      <c r="F2125" s="1790">
        <v>9.1999999999999998E-2</v>
      </c>
      <c r="G2125" s="1779">
        <v>31.72</v>
      </c>
      <c r="H2125" s="1775">
        <f t="shared" si="302"/>
        <v>31.52</v>
      </c>
      <c r="I2125" s="1776">
        <f t="shared" si="303"/>
        <v>2.89</v>
      </c>
      <c r="J2125" s="1768"/>
    </row>
    <row r="2126" spans="1:10" ht="24">
      <c r="A2126" s="1770"/>
      <c r="B2126" s="1771"/>
      <c r="C2126" s="1771">
        <v>10908</v>
      </c>
      <c r="D2126" s="1772" t="s">
        <v>1935</v>
      </c>
      <c r="E2126" s="1773" t="s">
        <v>55</v>
      </c>
      <c r="F2126" s="1790">
        <v>1</v>
      </c>
      <c r="G2126" s="1779">
        <v>24.81</v>
      </c>
      <c r="H2126" s="1775">
        <f t="shared" si="302"/>
        <v>24.66</v>
      </c>
      <c r="I2126" s="1776">
        <f t="shared" si="303"/>
        <v>24.66</v>
      </c>
      <c r="J2126" s="1768"/>
    </row>
    <row r="2127" spans="1:10">
      <c r="A2127" s="1917" t="s">
        <v>2408</v>
      </c>
      <c r="B2127" s="1918"/>
      <c r="C2127" s="1918"/>
      <c r="D2127" s="1918"/>
      <c r="E2127" s="1918"/>
      <c r="F2127" s="1918"/>
      <c r="G2127" s="1918"/>
      <c r="H2127" s="1919"/>
      <c r="I2127" s="1778">
        <f>SUM(I2121:I2126)</f>
        <v>41.86</v>
      </c>
      <c r="J2127" s="1768"/>
    </row>
    <row r="2128" spans="1:10">
      <c r="A2128" s="1920"/>
      <c r="B2128" s="1921"/>
      <c r="C2128" s="1921"/>
      <c r="D2128" s="1921"/>
      <c r="E2128" s="1921"/>
      <c r="F2128" s="1921"/>
      <c r="G2128" s="1921"/>
      <c r="H2128" s="1921"/>
      <c r="I2128" s="1922"/>
      <c r="J2128" s="1768"/>
    </row>
    <row r="2129" spans="1:10" ht="24.75" customHeight="1">
      <c r="A2129" s="1757">
        <f>'PLANILHA SEM DESON'!B320</f>
        <v>89785</v>
      </c>
      <c r="B2129" s="1923" t="str">
        <f>VLOOKUP(A2129,'PLANILHA SEM DESON'!$B$17:$D$1699,2,FALSE)</f>
        <v>JUNÇÃO SIMPLES, PVC, SERIE NORMAL, ESGOTO PREDIAL, DN 50 X 50 MM, JUNTA ELÁSTICA, FORNECIDO E INSTALADO EM RAMAL DE DESCARGA OU RAMAL DE ESGOTO SANITÁRIO. AF_08/2022</v>
      </c>
      <c r="C2129" s="1924"/>
      <c r="D2129" s="1924"/>
      <c r="E2129" s="1924"/>
      <c r="F2129" s="1924"/>
      <c r="G2129" s="1924"/>
      <c r="H2129" s="1925"/>
      <c r="I2129" s="1758" t="str">
        <f>VLOOKUP(A2129,'PLANILHA SEM DESON'!$B$17:$D$1699,3,FALSE)</f>
        <v xml:space="preserve">un </v>
      </c>
      <c r="J2129" s="1759">
        <f>I2136</f>
        <v>28.99</v>
      </c>
    </row>
    <row r="2130" spans="1:10" ht="24">
      <c r="A2130" s="1761" t="s">
        <v>2401</v>
      </c>
      <c r="B2130" s="1762" t="s">
        <v>2402</v>
      </c>
      <c r="C2130" s="1763" t="s">
        <v>2399</v>
      </c>
      <c r="D2130" s="1764" t="s">
        <v>284</v>
      </c>
      <c r="E2130" s="1763" t="s">
        <v>193</v>
      </c>
      <c r="F2130" s="1765" t="s">
        <v>2403</v>
      </c>
      <c r="G2130" s="1763" t="s">
        <v>2404</v>
      </c>
      <c r="H2130" s="1766" t="s">
        <v>2405</v>
      </c>
      <c r="I2130" s="1767" t="s">
        <v>2406</v>
      </c>
      <c r="J2130" s="1768"/>
    </row>
    <row r="2131" spans="1:10" ht="24">
      <c r="A2131" s="1770" t="s">
        <v>2407</v>
      </c>
      <c r="B2131" s="1771" t="s">
        <v>2410</v>
      </c>
      <c r="C2131" s="1771">
        <v>296</v>
      </c>
      <c r="D2131" s="1772" t="s">
        <v>2698</v>
      </c>
      <c r="E2131" s="1773" t="s">
        <v>2432</v>
      </c>
      <c r="F2131" s="1780">
        <v>3</v>
      </c>
      <c r="G2131" s="1774">
        <v>1.98</v>
      </c>
      <c r="H2131" s="1775">
        <f>IF(E2131="H",G2131,TRUNC(G2131*(1-$K$7),2))</f>
        <v>1.96</v>
      </c>
      <c r="I2131" s="1776">
        <f t="shared" ref="I2131:I2135" si="304">TRUNC(H2131*F2131,2)</f>
        <v>5.88</v>
      </c>
      <c r="J2131" s="1768"/>
    </row>
    <row r="2132" spans="1:10" ht="24">
      <c r="A2132" s="1770" t="s">
        <v>2407</v>
      </c>
      <c r="B2132" s="1771" t="s">
        <v>2410</v>
      </c>
      <c r="C2132" s="1771">
        <v>3662</v>
      </c>
      <c r="D2132" s="1772" t="s">
        <v>2708</v>
      </c>
      <c r="E2132" s="1773" t="s">
        <v>2432</v>
      </c>
      <c r="F2132" s="1780">
        <v>1</v>
      </c>
      <c r="G2132" s="1774">
        <v>12.6</v>
      </c>
      <c r="H2132" s="1775">
        <f>IF(E2132="H",G2132,TRUNC(G2132*(1-$K$7),2))</f>
        <v>12.52</v>
      </c>
      <c r="I2132" s="1776">
        <f t="shared" si="304"/>
        <v>12.52</v>
      </c>
      <c r="J2132" s="1768"/>
    </row>
    <row r="2133" spans="1:10" ht="36">
      <c r="A2133" s="1770" t="s">
        <v>2407</v>
      </c>
      <c r="B2133" s="1771" t="s">
        <v>2410</v>
      </c>
      <c r="C2133" s="1771">
        <v>20078</v>
      </c>
      <c r="D2133" s="1772" t="s">
        <v>2700</v>
      </c>
      <c r="E2133" s="1773" t="s">
        <v>2432</v>
      </c>
      <c r="F2133" s="1780">
        <v>7.4999999999999997E-2</v>
      </c>
      <c r="G2133" s="1774">
        <v>31.72</v>
      </c>
      <c r="H2133" s="1775">
        <f>IF(E2133="H",G2133,TRUNC(G2133*(1-$K$7),2))</f>
        <v>31.52</v>
      </c>
      <c r="I2133" s="1776">
        <f t="shared" si="304"/>
        <v>2.36</v>
      </c>
      <c r="J2133" s="1768"/>
    </row>
    <row r="2134" spans="1:10" ht="24">
      <c r="A2134" s="1770" t="s">
        <v>2407</v>
      </c>
      <c r="B2134" s="1771" t="s">
        <v>7</v>
      </c>
      <c r="C2134" s="1771">
        <v>88248</v>
      </c>
      <c r="D2134" s="1772" t="s">
        <v>101</v>
      </c>
      <c r="E2134" s="1773" t="s">
        <v>387</v>
      </c>
      <c r="F2134" s="1780">
        <v>0.18390000000000001</v>
      </c>
      <c r="G2134" s="1774">
        <v>20.16</v>
      </c>
      <c r="H2134" s="1775">
        <f>IF(E2134="H",G2134,TRUNC(G2134*(1-$K$7),2))</f>
        <v>20.16</v>
      </c>
      <c r="I2134" s="1776">
        <f t="shared" si="304"/>
        <v>3.7</v>
      </c>
      <c r="J2134" s="1768"/>
    </row>
    <row r="2135" spans="1:10" ht="24">
      <c r="A2135" s="1770" t="s">
        <v>2407</v>
      </c>
      <c r="B2135" s="1771" t="s">
        <v>7</v>
      </c>
      <c r="C2135" s="1771">
        <v>88267</v>
      </c>
      <c r="D2135" s="1772" t="s">
        <v>102</v>
      </c>
      <c r="E2135" s="1773" t="s">
        <v>387</v>
      </c>
      <c r="F2135" s="1780">
        <v>0.18390000000000001</v>
      </c>
      <c r="G2135" s="1774">
        <v>24.64</v>
      </c>
      <c r="H2135" s="1775">
        <f>IF(E2135="H",G2135,TRUNC(G2135*(1-$K$7),2))</f>
        <v>24.64</v>
      </c>
      <c r="I2135" s="1776">
        <f t="shared" si="304"/>
        <v>4.53</v>
      </c>
      <c r="J2135" s="1768"/>
    </row>
    <row r="2136" spans="1:10">
      <c r="A2136" s="1917" t="s">
        <v>2408</v>
      </c>
      <c r="B2136" s="1918"/>
      <c r="C2136" s="1918"/>
      <c r="D2136" s="1918"/>
      <c r="E2136" s="1918"/>
      <c r="F2136" s="1918"/>
      <c r="G2136" s="1918"/>
      <c r="H2136" s="1919"/>
      <c r="I2136" s="1778">
        <f>SUM(I2131:I2135)</f>
        <v>28.99</v>
      </c>
      <c r="J2136" s="1768"/>
    </row>
    <row r="2137" spans="1:10">
      <c r="A2137" s="1920"/>
      <c r="B2137" s="1921"/>
      <c r="C2137" s="1921"/>
      <c r="D2137" s="1921"/>
      <c r="E2137" s="1921"/>
      <c r="F2137" s="1921"/>
      <c r="G2137" s="1921"/>
      <c r="H2137" s="1921"/>
      <c r="I2137" s="1922"/>
      <c r="J2137" s="1768"/>
    </row>
    <row r="2138" spans="1:10" ht="24" customHeight="1">
      <c r="A2138" s="1757">
        <f>'PLANILHA SEM DESON'!B321</f>
        <v>89797</v>
      </c>
      <c r="B2138" s="1923" t="str">
        <f>VLOOKUP(A2138,'PLANILHA SEM DESON'!$B$17:$D$1699,2,FALSE)</f>
        <v>JUNÇÃO SIMPLES, PVC, SERIE NORMAL, ESGOTO PREDIAL, DN 100 X 100 MM, JUNTA ELÁSTICA, FORNECIDO E INSTALADO EM RAMAL DE DESCARGA OU RAMAL DE ESGOTO SANITÁRIO. AF_08/2022</v>
      </c>
      <c r="C2138" s="1924"/>
      <c r="D2138" s="1924"/>
      <c r="E2138" s="1924"/>
      <c r="F2138" s="1924"/>
      <c r="G2138" s="1924"/>
      <c r="H2138" s="1925"/>
      <c r="I2138" s="1758" t="str">
        <f>VLOOKUP(A2138,'PLANILHA SEM DESON'!$B$17:$D$1699,3,FALSE)</f>
        <v xml:space="preserve">un </v>
      </c>
      <c r="J2138" s="1759">
        <f>I2145</f>
        <v>57.94</v>
      </c>
    </row>
    <row r="2139" spans="1:10" ht="24">
      <c r="A2139" s="1761" t="s">
        <v>2401</v>
      </c>
      <c r="B2139" s="1762" t="s">
        <v>2402</v>
      </c>
      <c r="C2139" s="1763" t="s">
        <v>2399</v>
      </c>
      <c r="D2139" s="1764" t="s">
        <v>284</v>
      </c>
      <c r="E2139" s="1763" t="s">
        <v>193</v>
      </c>
      <c r="F2139" s="1765" t="s">
        <v>2403</v>
      </c>
      <c r="G2139" s="1763" t="s">
        <v>2404</v>
      </c>
      <c r="H2139" s="1766" t="s">
        <v>2405</v>
      </c>
      <c r="I2139" s="1767" t="s">
        <v>2406</v>
      </c>
      <c r="J2139" s="1768"/>
    </row>
    <row r="2140" spans="1:10" ht="24">
      <c r="A2140" s="1770" t="s">
        <v>2407</v>
      </c>
      <c r="B2140" s="1771" t="s">
        <v>2410</v>
      </c>
      <c r="C2140" s="1771">
        <v>301</v>
      </c>
      <c r="D2140" s="1772" t="s">
        <v>2701</v>
      </c>
      <c r="E2140" s="1773" t="s">
        <v>2432</v>
      </c>
      <c r="F2140" s="1780">
        <v>3</v>
      </c>
      <c r="G2140" s="1774">
        <v>3.5</v>
      </c>
      <c r="H2140" s="1775">
        <f>IF(E2140="H",G2140,TRUNC(G2140*(1-$K$7),2))</f>
        <v>3.47</v>
      </c>
      <c r="I2140" s="1776">
        <f t="shared" ref="I2140:I2144" si="305">TRUNC(H2140*F2140,2)</f>
        <v>10.41</v>
      </c>
      <c r="J2140" s="1768"/>
    </row>
    <row r="2141" spans="1:10" ht="24">
      <c r="A2141" s="1770" t="s">
        <v>2407</v>
      </c>
      <c r="B2141" s="1771" t="s">
        <v>2410</v>
      </c>
      <c r="C2141" s="1771">
        <v>3670</v>
      </c>
      <c r="D2141" s="1772" t="s">
        <v>2436</v>
      </c>
      <c r="E2141" s="1773" t="s">
        <v>2432</v>
      </c>
      <c r="F2141" s="1780">
        <v>1</v>
      </c>
      <c r="G2141" s="1774">
        <v>30.8</v>
      </c>
      <c r="H2141" s="1775">
        <f>IF(E2141="H",G2141,TRUNC(G2141*(1-$K$7),2))</f>
        <v>30.61</v>
      </c>
      <c r="I2141" s="1776">
        <f t="shared" si="305"/>
        <v>30.61</v>
      </c>
      <c r="J2141" s="1768"/>
    </row>
    <row r="2142" spans="1:10" ht="36">
      <c r="A2142" s="1770" t="s">
        <v>2407</v>
      </c>
      <c r="B2142" s="1771" t="s">
        <v>2410</v>
      </c>
      <c r="C2142" s="1771">
        <v>20078</v>
      </c>
      <c r="D2142" s="1772" t="s">
        <v>2700</v>
      </c>
      <c r="E2142" s="1773" t="s">
        <v>2432</v>
      </c>
      <c r="F2142" s="1780">
        <v>0.17249999999999999</v>
      </c>
      <c r="G2142" s="1774">
        <v>31.72</v>
      </c>
      <c r="H2142" s="1775">
        <f>IF(E2142="H",G2142,TRUNC(G2142*(1-$K$7),2))</f>
        <v>31.52</v>
      </c>
      <c r="I2142" s="1776">
        <f t="shared" si="305"/>
        <v>5.43</v>
      </c>
      <c r="J2142" s="1768"/>
    </row>
    <row r="2143" spans="1:10" ht="24">
      <c r="A2143" s="1770" t="s">
        <v>2407</v>
      </c>
      <c r="B2143" s="1771" t="s">
        <v>7</v>
      </c>
      <c r="C2143" s="1771">
        <v>88248</v>
      </c>
      <c r="D2143" s="1772" t="s">
        <v>101</v>
      </c>
      <c r="E2143" s="1773" t="s">
        <v>387</v>
      </c>
      <c r="F2143" s="1780">
        <v>0.25679999999999997</v>
      </c>
      <c r="G2143" s="1774">
        <v>20.16</v>
      </c>
      <c r="H2143" s="1775">
        <f>IF(E2143="H",G2143,TRUNC(G2143*(1-$K$7),2))</f>
        <v>20.16</v>
      </c>
      <c r="I2143" s="1776">
        <f t="shared" si="305"/>
        <v>5.17</v>
      </c>
      <c r="J2143" s="1768"/>
    </row>
    <row r="2144" spans="1:10" ht="24">
      <c r="A2144" s="1770" t="s">
        <v>2407</v>
      </c>
      <c r="B2144" s="1771" t="s">
        <v>7</v>
      </c>
      <c r="C2144" s="1771">
        <v>88267</v>
      </c>
      <c r="D2144" s="1772" t="s">
        <v>102</v>
      </c>
      <c r="E2144" s="1773" t="s">
        <v>387</v>
      </c>
      <c r="F2144" s="1780">
        <v>0.25679999999999997</v>
      </c>
      <c r="G2144" s="1774">
        <v>24.64</v>
      </c>
      <c r="H2144" s="1775">
        <f>IF(E2144="H",G2144,TRUNC(G2144*(1-$K$7),2))</f>
        <v>24.64</v>
      </c>
      <c r="I2144" s="1776">
        <f t="shared" si="305"/>
        <v>6.32</v>
      </c>
      <c r="J2144" s="1768"/>
    </row>
    <row r="2145" spans="1:10">
      <c r="A2145" s="1917" t="s">
        <v>2408</v>
      </c>
      <c r="B2145" s="1918"/>
      <c r="C2145" s="1918"/>
      <c r="D2145" s="1918"/>
      <c r="E2145" s="1918"/>
      <c r="F2145" s="1918"/>
      <c r="G2145" s="1918"/>
      <c r="H2145" s="1919"/>
      <c r="I2145" s="1778">
        <f>SUM(I2140:I2144)</f>
        <v>57.94</v>
      </c>
      <c r="J2145" s="1768"/>
    </row>
    <row r="2146" spans="1:10">
      <c r="A2146" s="1920"/>
      <c r="B2146" s="1921"/>
      <c r="C2146" s="1921"/>
      <c r="D2146" s="1921"/>
      <c r="E2146" s="1921"/>
      <c r="F2146" s="1921"/>
      <c r="G2146" s="1921"/>
      <c r="H2146" s="1921"/>
      <c r="I2146" s="1922"/>
      <c r="J2146" s="1768"/>
    </row>
    <row r="2147" spans="1:10" ht="24.75" customHeight="1">
      <c r="A2147" s="1757">
        <f>'PLANILHA SEM DESON'!B322</f>
        <v>89711</v>
      </c>
      <c r="B2147" s="1923" t="str">
        <f>VLOOKUP(A2147,'PLANILHA SEM DESON'!$B$17:$D$1699,2,FALSE)</f>
        <v>TUBO PVC, SERIE NORMAL, ESGOTO PREDIAL, DN 40 MM, FORNECIDO E INSTALADO EM RAMAL DE DESCARGA OU RAMAL DE ESGOTO SANITÁRIO. AF_08/2022</v>
      </c>
      <c r="C2147" s="1924"/>
      <c r="D2147" s="1924"/>
      <c r="E2147" s="1924"/>
      <c r="F2147" s="1924"/>
      <c r="G2147" s="1924"/>
      <c r="H2147" s="1925"/>
      <c r="I2147" s="1758" t="str">
        <f>VLOOKUP(A2147,'PLANILHA SEM DESON'!$B$17:$D$1699,3,FALSE)</f>
        <v>m</v>
      </c>
      <c r="J2147" s="1759">
        <f>I2153</f>
        <v>21.01</v>
      </c>
    </row>
    <row r="2148" spans="1:10" ht="24">
      <c r="A2148" s="1761" t="s">
        <v>2401</v>
      </c>
      <c r="B2148" s="1762" t="s">
        <v>2402</v>
      </c>
      <c r="C2148" s="1763" t="s">
        <v>2399</v>
      </c>
      <c r="D2148" s="1764" t="s">
        <v>284</v>
      </c>
      <c r="E2148" s="1763" t="s">
        <v>193</v>
      </c>
      <c r="F2148" s="1765" t="s">
        <v>2403</v>
      </c>
      <c r="G2148" s="1763" t="s">
        <v>2404</v>
      </c>
      <c r="H2148" s="1766" t="s">
        <v>2405</v>
      </c>
      <c r="I2148" s="1767" t="s">
        <v>2406</v>
      </c>
      <c r="J2148" s="1768"/>
    </row>
    <row r="2149" spans="1:10" ht="24">
      <c r="A2149" s="1770" t="s">
        <v>2407</v>
      </c>
      <c r="B2149" s="1771" t="s">
        <v>2410</v>
      </c>
      <c r="C2149" s="1771">
        <v>9835</v>
      </c>
      <c r="D2149" s="1772" t="s">
        <v>2709</v>
      </c>
      <c r="E2149" s="1773" t="s">
        <v>158</v>
      </c>
      <c r="F2149" s="1780">
        <v>1.0548999999999999</v>
      </c>
      <c r="G2149" s="1774">
        <v>7.51</v>
      </c>
      <c r="H2149" s="1775">
        <f>IF(E2149="H",G2149,TRUNC(G2149*(1-$K$7),2))</f>
        <v>7.46</v>
      </c>
      <c r="I2149" s="1776">
        <f t="shared" ref="I2149:I2152" si="306">TRUNC(H2149*F2149,2)</f>
        <v>7.86</v>
      </c>
      <c r="J2149" s="1768"/>
    </row>
    <row r="2150" spans="1:10">
      <c r="A2150" s="1770" t="s">
        <v>2407</v>
      </c>
      <c r="B2150" s="1771" t="s">
        <v>2410</v>
      </c>
      <c r="C2150" s="1771">
        <v>38383</v>
      </c>
      <c r="D2150" s="1772" t="s">
        <v>2538</v>
      </c>
      <c r="E2150" s="1773" t="s">
        <v>2432</v>
      </c>
      <c r="F2150" s="1780">
        <v>1.6299999999999999E-2</v>
      </c>
      <c r="G2150" s="1774">
        <v>2.56</v>
      </c>
      <c r="H2150" s="1775">
        <f>IF(E2150="H",G2150,TRUNC(G2150*(1-$K$7),2))</f>
        <v>2.54</v>
      </c>
      <c r="I2150" s="1776">
        <f t="shared" si="306"/>
        <v>0.04</v>
      </c>
      <c r="J2150" s="1768"/>
    </row>
    <row r="2151" spans="1:10" ht="24">
      <c r="A2151" s="1770" t="s">
        <v>2407</v>
      </c>
      <c r="B2151" s="1771" t="s">
        <v>7</v>
      </c>
      <c r="C2151" s="1771">
        <v>88248</v>
      </c>
      <c r="D2151" s="1772" t="s">
        <v>101</v>
      </c>
      <c r="E2151" s="1773" t="s">
        <v>387</v>
      </c>
      <c r="F2151" s="1780">
        <v>0.29299999999999998</v>
      </c>
      <c r="G2151" s="1774">
        <v>20.16</v>
      </c>
      <c r="H2151" s="1775">
        <f>IF(E2151="H",G2151,TRUNC(G2151*(1-$K$7),2))</f>
        <v>20.16</v>
      </c>
      <c r="I2151" s="1776">
        <f t="shared" si="306"/>
        <v>5.9</v>
      </c>
      <c r="J2151" s="1768"/>
    </row>
    <row r="2152" spans="1:10" ht="24">
      <c r="A2152" s="1770" t="s">
        <v>2407</v>
      </c>
      <c r="B2152" s="1771" t="s">
        <v>7</v>
      </c>
      <c r="C2152" s="1771">
        <v>88267</v>
      </c>
      <c r="D2152" s="1772" t="s">
        <v>102</v>
      </c>
      <c r="E2152" s="1773" t="s">
        <v>387</v>
      </c>
      <c r="F2152" s="1780">
        <v>0.29299999999999998</v>
      </c>
      <c r="G2152" s="1774">
        <v>24.64</v>
      </c>
      <c r="H2152" s="1775">
        <f>IF(E2152="H",G2152,TRUNC(G2152*(1-$K$7),2))</f>
        <v>24.64</v>
      </c>
      <c r="I2152" s="1776">
        <f t="shared" si="306"/>
        <v>7.21</v>
      </c>
      <c r="J2152" s="1768"/>
    </row>
    <row r="2153" spans="1:10">
      <c r="A2153" s="1917" t="s">
        <v>2408</v>
      </c>
      <c r="B2153" s="1918"/>
      <c r="C2153" s="1918"/>
      <c r="D2153" s="1918"/>
      <c r="E2153" s="1918"/>
      <c r="F2153" s="1918"/>
      <c r="G2153" s="1918"/>
      <c r="H2153" s="1919"/>
      <c r="I2153" s="1778">
        <f>SUM(I2149:I2152)</f>
        <v>21.01</v>
      </c>
      <c r="J2153" s="1768"/>
    </row>
    <row r="2154" spans="1:10">
      <c r="A2154" s="1920"/>
      <c r="B2154" s="1921"/>
      <c r="C2154" s="1921"/>
      <c r="D2154" s="1921"/>
      <c r="E2154" s="1921"/>
      <c r="F2154" s="1921"/>
      <c r="G2154" s="1921"/>
      <c r="H2154" s="1921"/>
      <c r="I2154" s="1922"/>
      <c r="J2154" s="1768"/>
    </row>
    <row r="2155" spans="1:10" ht="25.5" customHeight="1">
      <c r="A2155" s="1757">
        <f>'PLANILHA SEM DESON'!B323</f>
        <v>89712</v>
      </c>
      <c r="B2155" s="1923" t="str">
        <f>VLOOKUP(A2155,'PLANILHA SEM DESON'!$B$17:$D$1699,2,FALSE)</f>
        <v>TUBO PVC, SERIE NORMAL, ESGOTO PREDIAL, DN 50 MM, FORNECIDO E INSTALADO EM RAMAL DE DESCARGA OU RAMAL DE ESGOTO SANITÁRIO. AF_08/2022</v>
      </c>
      <c r="C2155" s="1924"/>
      <c r="D2155" s="1924"/>
      <c r="E2155" s="1924"/>
      <c r="F2155" s="1924"/>
      <c r="G2155" s="1924"/>
      <c r="H2155" s="1925"/>
      <c r="I2155" s="1758" t="str">
        <f>VLOOKUP(A2155,'PLANILHA SEM DESON'!$B$17:$D$1699,3,FALSE)</f>
        <v>m</v>
      </c>
      <c r="J2155" s="1759">
        <f>I2161</f>
        <v>27.68</v>
      </c>
    </row>
    <row r="2156" spans="1:10" ht="24">
      <c r="A2156" s="1761" t="s">
        <v>2401</v>
      </c>
      <c r="B2156" s="1762" t="s">
        <v>2402</v>
      </c>
      <c r="C2156" s="1763" t="s">
        <v>2399</v>
      </c>
      <c r="D2156" s="1764" t="s">
        <v>284</v>
      </c>
      <c r="E2156" s="1763" t="s">
        <v>193</v>
      </c>
      <c r="F2156" s="1765" t="s">
        <v>2403</v>
      </c>
      <c r="G2156" s="1763" t="s">
        <v>2404</v>
      </c>
      <c r="H2156" s="1766" t="s">
        <v>2405</v>
      </c>
      <c r="I2156" s="1767" t="s">
        <v>2406</v>
      </c>
      <c r="J2156" s="1768"/>
    </row>
    <row r="2157" spans="1:10" ht="24">
      <c r="A2157" s="1770" t="s">
        <v>2407</v>
      </c>
      <c r="B2157" s="1771" t="s">
        <v>2410</v>
      </c>
      <c r="C2157" s="1771">
        <v>9838</v>
      </c>
      <c r="D2157" s="1772" t="s">
        <v>2710</v>
      </c>
      <c r="E2157" s="1773" t="s">
        <v>158</v>
      </c>
      <c r="F2157" s="1780">
        <v>1.0548999999999999</v>
      </c>
      <c r="G2157" s="1774">
        <v>12.78</v>
      </c>
      <c r="H2157" s="1775">
        <f>IF(E2157="H",G2157,TRUNC(G2157*(1-$K$7),2))</f>
        <v>12.7</v>
      </c>
      <c r="I2157" s="1776">
        <f t="shared" ref="I2157:I2160" si="307">TRUNC(H2157*F2157,2)</f>
        <v>13.39</v>
      </c>
      <c r="J2157" s="1768"/>
    </row>
    <row r="2158" spans="1:10">
      <c r="A2158" s="1770" t="s">
        <v>2407</v>
      </c>
      <c r="B2158" s="1771" t="s">
        <v>2410</v>
      </c>
      <c r="C2158" s="1771">
        <v>38383</v>
      </c>
      <c r="D2158" s="1772" t="s">
        <v>2538</v>
      </c>
      <c r="E2158" s="1773" t="s">
        <v>2432</v>
      </c>
      <c r="F2158" s="1780">
        <v>1.77E-2</v>
      </c>
      <c r="G2158" s="1774">
        <v>2.56</v>
      </c>
      <c r="H2158" s="1775">
        <f>IF(E2158="H",G2158,TRUNC(G2158*(1-$K$7),2))</f>
        <v>2.54</v>
      </c>
      <c r="I2158" s="1776">
        <f t="shared" si="307"/>
        <v>0.04</v>
      </c>
      <c r="J2158" s="1768"/>
    </row>
    <row r="2159" spans="1:10" ht="24">
      <c r="A2159" s="1770" t="s">
        <v>2407</v>
      </c>
      <c r="B2159" s="1771" t="s">
        <v>7</v>
      </c>
      <c r="C2159" s="1771">
        <v>88248</v>
      </c>
      <c r="D2159" s="1772" t="s">
        <v>101</v>
      </c>
      <c r="E2159" s="1773" t="s">
        <v>387</v>
      </c>
      <c r="F2159" s="1780">
        <v>0.31819999999999998</v>
      </c>
      <c r="G2159" s="1774">
        <v>20.16</v>
      </c>
      <c r="H2159" s="1775">
        <f>IF(E2159="H",G2159,TRUNC(G2159*(1-$K$7),2))</f>
        <v>20.16</v>
      </c>
      <c r="I2159" s="1776">
        <f t="shared" si="307"/>
        <v>6.41</v>
      </c>
      <c r="J2159" s="1768"/>
    </row>
    <row r="2160" spans="1:10" ht="24">
      <c r="A2160" s="1770" t="s">
        <v>2407</v>
      </c>
      <c r="B2160" s="1771" t="s">
        <v>7</v>
      </c>
      <c r="C2160" s="1771">
        <v>88267</v>
      </c>
      <c r="D2160" s="1772" t="s">
        <v>102</v>
      </c>
      <c r="E2160" s="1773" t="s">
        <v>387</v>
      </c>
      <c r="F2160" s="1780">
        <v>0.31819999999999998</v>
      </c>
      <c r="G2160" s="1774">
        <v>24.64</v>
      </c>
      <c r="H2160" s="1775">
        <f>IF(E2160="H",G2160,TRUNC(G2160*(1-$K$7),2))</f>
        <v>24.64</v>
      </c>
      <c r="I2160" s="1776">
        <f t="shared" si="307"/>
        <v>7.84</v>
      </c>
      <c r="J2160" s="1768"/>
    </row>
    <row r="2161" spans="1:10">
      <c r="A2161" s="1917" t="s">
        <v>2408</v>
      </c>
      <c r="B2161" s="1918"/>
      <c r="C2161" s="1918"/>
      <c r="D2161" s="1918"/>
      <c r="E2161" s="1918"/>
      <c r="F2161" s="1918"/>
      <c r="G2161" s="1918"/>
      <c r="H2161" s="1919"/>
      <c r="I2161" s="1778">
        <f>SUM(I2157:I2160)</f>
        <v>27.68</v>
      </c>
      <c r="J2161" s="1768"/>
    </row>
    <row r="2162" spans="1:10">
      <c r="A2162" s="1920"/>
      <c r="B2162" s="1921"/>
      <c r="C2162" s="1921"/>
      <c r="D2162" s="1921"/>
      <c r="E2162" s="1921"/>
      <c r="F2162" s="1921"/>
      <c r="G2162" s="1921"/>
      <c r="H2162" s="1921"/>
      <c r="I2162" s="1922"/>
      <c r="J2162" s="1768"/>
    </row>
    <row r="2163" spans="1:10" ht="24.75" customHeight="1">
      <c r="A2163" s="1757">
        <f>'PLANILHA SEM DESON'!B324</f>
        <v>89714</v>
      </c>
      <c r="B2163" s="1923" t="str">
        <f>VLOOKUP(A2163,'PLANILHA SEM DESON'!$B$17:$D$1699,2,FALSE)</f>
        <v>TUBO PVC, SERIE NORMAL, ESGOTO PREDIAL, DN 100 MM, FORNECIDO E INSTALADO EM RAMAL DE DESCARGA OU RAMAL DE ESGOTO SANITÁRIO. AF_08/2022</v>
      </c>
      <c r="C2163" s="1924"/>
      <c r="D2163" s="1924"/>
      <c r="E2163" s="1924"/>
      <c r="F2163" s="1924"/>
      <c r="G2163" s="1924"/>
      <c r="H2163" s="1925"/>
      <c r="I2163" s="1758" t="str">
        <f>VLOOKUP(A2163,'PLANILHA SEM DESON'!$B$17:$D$1699,3,FALSE)</f>
        <v>m</v>
      </c>
      <c r="J2163" s="1759">
        <f>I2169</f>
        <v>41.78</v>
      </c>
    </row>
    <row r="2164" spans="1:10" ht="24">
      <c r="A2164" s="1761" t="s">
        <v>2401</v>
      </c>
      <c r="B2164" s="1762" t="s">
        <v>2402</v>
      </c>
      <c r="C2164" s="1763" t="s">
        <v>2399</v>
      </c>
      <c r="D2164" s="1764" t="s">
        <v>284</v>
      </c>
      <c r="E2164" s="1763" t="s">
        <v>193</v>
      </c>
      <c r="F2164" s="1765" t="s">
        <v>2403</v>
      </c>
      <c r="G2164" s="1763" t="s">
        <v>2404</v>
      </c>
      <c r="H2164" s="1766" t="s">
        <v>2405</v>
      </c>
      <c r="I2164" s="1767" t="s">
        <v>2406</v>
      </c>
      <c r="J2164" s="1768"/>
    </row>
    <row r="2165" spans="1:10" ht="24">
      <c r="A2165" s="1770" t="s">
        <v>2407</v>
      </c>
      <c r="B2165" s="1771" t="s">
        <v>2410</v>
      </c>
      <c r="C2165" s="1771">
        <v>9836</v>
      </c>
      <c r="D2165" s="1772" t="s">
        <v>2711</v>
      </c>
      <c r="E2165" s="1773" t="s">
        <v>158</v>
      </c>
      <c r="F2165" s="1780">
        <v>1.0548999999999999</v>
      </c>
      <c r="G2165" s="1774">
        <v>20.82</v>
      </c>
      <c r="H2165" s="1775">
        <f>IF(E2165="H",G2165,TRUNC(G2165*(1-$K$7),2))</f>
        <v>20.69</v>
      </c>
      <c r="I2165" s="1776">
        <f t="shared" ref="I2165:I2168" si="308">TRUNC(H2165*F2165,2)</f>
        <v>21.82</v>
      </c>
      <c r="J2165" s="1768"/>
    </row>
    <row r="2166" spans="1:10">
      <c r="A2166" s="1770" t="s">
        <v>2407</v>
      </c>
      <c r="B2166" s="1771" t="s">
        <v>2410</v>
      </c>
      <c r="C2166" s="1771">
        <v>38383</v>
      </c>
      <c r="D2166" s="1772" t="s">
        <v>2538</v>
      </c>
      <c r="E2166" s="1773" t="s">
        <v>2432</v>
      </c>
      <c r="F2166" s="1780">
        <v>2.47E-2</v>
      </c>
      <c r="G2166" s="1774">
        <v>2.56</v>
      </c>
      <c r="H2166" s="1775">
        <f>IF(E2166="H",G2166,TRUNC(G2166*(1-$K$7),2))</f>
        <v>2.54</v>
      </c>
      <c r="I2166" s="1776">
        <f t="shared" si="308"/>
        <v>0.06</v>
      </c>
      <c r="J2166" s="1768"/>
    </row>
    <row r="2167" spans="1:10" ht="24">
      <c r="A2167" s="1770" t="s">
        <v>2407</v>
      </c>
      <c r="B2167" s="1771" t="s">
        <v>7</v>
      </c>
      <c r="C2167" s="1771">
        <v>88248</v>
      </c>
      <c r="D2167" s="1772" t="s">
        <v>101</v>
      </c>
      <c r="E2167" s="1773" t="s">
        <v>387</v>
      </c>
      <c r="F2167" s="1780">
        <v>0.44440000000000002</v>
      </c>
      <c r="G2167" s="1774">
        <v>20.16</v>
      </c>
      <c r="H2167" s="1775">
        <f>IF(E2167="H",G2167,TRUNC(G2167*(1-$K$7),2))</f>
        <v>20.16</v>
      </c>
      <c r="I2167" s="1776">
        <f t="shared" si="308"/>
        <v>8.9499999999999993</v>
      </c>
      <c r="J2167" s="1768"/>
    </row>
    <row r="2168" spans="1:10" ht="24">
      <c r="A2168" s="1770" t="s">
        <v>2407</v>
      </c>
      <c r="B2168" s="1771" t="s">
        <v>7</v>
      </c>
      <c r="C2168" s="1771">
        <v>88267</v>
      </c>
      <c r="D2168" s="1772" t="s">
        <v>102</v>
      </c>
      <c r="E2168" s="1773" t="s">
        <v>387</v>
      </c>
      <c r="F2168" s="1780">
        <v>0.44440000000000002</v>
      </c>
      <c r="G2168" s="1774">
        <v>24.64</v>
      </c>
      <c r="H2168" s="1775">
        <f>IF(E2168="H",G2168,TRUNC(G2168*(1-$K$7),2))</f>
        <v>24.64</v>
      </c>
      <c r="I2168" s="1776">
        <f t="shared" si="308"/>
        <v>10.95</v>
      </c>
      <c r="J2168" s="1768"/>
    </row>
    <row r="2169" spans="1:10">
      <c r="A2169" s="1917" t="s">
        <v>2408</v>
      </c>
      <c r="B2169" s="1918"/>
      <c r="C2169" s="1918"/>
      <c r="D2169" s="1918"/>
      <c r="E2169" s="1918"/>
      <c r="F2169" s="1918"/>
      <c r="G2169" s="1918"/>
      <c r="H2169" s="1919"/>
      <c r="I2169" s="1778">
        <f>SUM(I2165:I2168)</f>
        <v>41.78</v>
      </c>
      <c r="J2169" s="1768"/>
    </row>
    <row r="2170" spans="1:10">
      <c r="A2170" s="1920"/>
      <c r="B2170" s="1921"/>
      <c r="C2170" s="1921"/>
      <c r="D2170" s="1921"/>
      <c r="E2170" s="1921"/>
      <c r="F2170" s="1921"/>
      <c r="G2170" s="1921"/>
      <c r="H2170" s="1921"/>
      <c r="I2170" s="1922"/>
      <c r="J2170" s="1768"/>
    </row>
    <row r="2171" spans="1:10" ht="35.25" customHeight="1">
      <c r="A2171" s="1757">
        <f>'PLANILHA SEM DESON'!B325</f>
        <v>91794</v>
      </c>
      <c r="B2171" s="1923" t="str">
        <f>VLOOKUP(A2171,'PLANILHA SEM DESON'!$B$17:$D$1699,2,FALSE)</f>
        <v>COMPOSIÇÃO REPRESENTATIVA) DO SERVIÇO DE INST. TUBO PVC, SÉRIE N, ESGOTO PREDIAL, DN 75 MM, (INST. EM RAMAL DE DESCARGA, RAMAL DE ESG. SANITÁRIO, PRUMADA DE ESG. SANITÁRIO OU VENTILAÇÃO), INCL. CONEXÕES, CORTES E FIXAÇÕES, P/ PRÉDIOS. AF_10/2015</v>
      </c>
      <c r="C2171" s="1924"/>
      <c r="D2171" s="1924"/>
      <c r="E2171" s="1924"/>
      <c r="F2171" s="1924"/>
      <c r="G2171" s="1924"/>
      <c r="H2171" s="1925"/>
      <c r="I2171" s="1758" t="str">
        <f>VLOOKUP(A2171,'PLANILHA SEM DESON'!$B$17:$D$1699,3,FALSE)</f>
        <v>m</v>
      </c>
      <c r="J2171" s="1759">
        <f>I2189</f>
        <v>49.73</v>
      </c>
    </row>
    <row r="2172" spans="1:10" ht="24">
      <c r="A2172" s="1761" t="s">
        <v>2401</v>
      </c>
      <c r="B2172" s="1762" t="s">
        <v>2402</v>
      </c>
      <c r="C2172" s="1763" t="s">
        <v>2399</v>
      </c>
      <c r="D2172" s="1764" t="s">
        <v>284</v>
      </c>
      <c r="E2172" s="1763" t="s">
        <v>193</v>
      </c>
      <c r="F2172" s="1765" t="s">
        <v>2403</v>
      </c>
      <c r="G2172" s="1763" t="s">
        <v>2404</v>
      </c>
      <c r="H2172" s="1766" t="s">
        <v>2405</v>
      </c>
      <c r="I2172" s="1767" t="s">
        <v>2406</v>
      </c>
      <c r="J2172" s="1768"/>
    </row>
    <row r="2173" spans="1:10" ht="36">
      <c r="A2173" s="1770" t="s">
        <v>2407</v>
      </c>
      <c r="B2173" s="1771" t="s">
        <v>7</v>
      </c>
      <c r="C2173" s="1771">
        <v>89713</v>
      </c>
      <c r="D2173" s="1772" t="s">
        <v>2712</v>
      </c>
      <c r="E2173" s="1773" t="s">
        <v>158</v>
      </c>
      <c r="F2173" s="1780">
        <v>0.1099</v>
      </c>
      <c r="G2173" s="1774">
        <v>36.58</v>
      </c>
      <c r="H2173" s="1775">
        <f t="shared" ref="H2173:H2188" si="309">IF(E2173="H",G2173,TRUNC(G2173*(1-$K$7),2))</f>
        <v>36.36</v>
      </c>
      <c r="I2173" s="1776">
        <f t="shared" ref="I2173:I2188" si="310">TRUNC(H2173*F2173,2)</f>
        <v>3.99</v>
      </c>
      <c r="J2173" s="1768"/>
    </row>
    <row r="2174" spans="1:10" ht="48">
      <c r="A2174" s="1770" t="s">
        <v>2407</v>
      </c>
      <c r="B2174" s="1771" t="s">
        <v>7</v>
      </c>
      <c r="C2174" s="1771">
        <v>89737</v>
      </c>
      <c r="D2174" s="1772" t="s">
        <v>2713</v>
      </c>
      <c r="E2174" s="1773" t="s">
        <v>2432</v>
      </c>
      <c r="F2174" s="1780">
        <v>6.3500000000000001E-2</v>
      </c>
      <c r="G2174" s="1774">
        <v>24.9</v>
      </c>
      <c r="H2174" s="1775">
        <f t="shared" si="309"/>
        <v>24.75</v>
      </c>
      <c r="I2174" s="1776">
        <f t="shared" ref="I2174:I2182" si="311">TRUNC(H2174*F2174,2)</f>
        <v>1.57</v>
      </c>
      <c r="J2174" s="1768"/>
    </row>
    <row r="2175" spans="1:10" ht="48">
      <c r="A2175" s="1770" t="s">
        <v>2407</v>
      </c>
      <c r="B2175" s="1771" t="s">
        <v>7</v>
      </c>
      <c r="C2175" s="1771">
        <v>89739</v>
      </c>
      <c r="D2175" s="1772" t="s">
        <v>2714</v>
      </c>
      <c r="E2175" s="1773" t="s">
        <v>2432</v>
      </c>
      <c r="F2175" s="1780">
        <v>7.2099999999999997E-2</v>
      </c>
      <c r="G2175" s="1774">
        <v>26.15</v>
      </c>
      <c r="H2175" s="1775">
        <f t="shared" si="309"/>
        <v>25.99</v>
      </c>
      <c r="I2175" s="1776">
        <f t="shared" si="311"/>
        <v>1.87</v>
      </c>
      <c r="J2175" s="1768"/>
    </row>
    <row r="2176" spans="1:10" ht="48">
      <c r="A2176" s="1770" t="s">
        <v>2407</v>
      </c>
      <c r="B2176" s="1771" t="s">
        <v>7</v>
      </c>
      <c r="C2176" s="1771">
        <v>89774</v>
      </c>
      <c r="D2176" s="1772" t="s">
        <v>2715</v>
      </c>
      <c r="E2176" s="1773" t="s">
        <v>2432</v>
      </c>
      <c r="F2176" s="1780">
        <v>4.2200000000000001E-2</v>
      </c>
      <c r="G2176" s="1774">
        <v>16.36</v>
      </c>
      <c r="H2176" s="1775">
        <f t="shared" si="309"/>
        <v>16.260000000000002</v>
      </c>
      <c r="I2176" s="1776">
        <f t="shared" si="311"/>
        <v>0.68</v>
      </c>
      <c r="J2176" s="1768"/>
    </row>
    <row r="2177" spans="1:10" ht="48">
      <c r="A2177" s="1770" t="s">
        <v>2407</v>
      </c>
      <c r="B2177" s="1771" t="s">
        <v>7</v>
      </c>
      <c r="C2177" s="1771">
        <v>89786</v>
      </c>
      <c r="D2177" s="1772" t="s">
        <v>2716</v>
      </c>
      <c r="E2177" s="1773" t="s">
        <v>2432</v>
      </c>
      <c r="F2177" s="1780">
        <v>2.0400000000000001E-2</v>
      </c>
      <c r="G2177" s="1774">
        <v>42.32</v>
      </c>
      <c r="H2177" s="1775">
        <f t="shared" si="309"/>
        <v>42.06</v>
      </c>
      <c r="I2177" s="1776">
        <f t="shared" si="311"/>
        <v>0.85</v>
      </c>
      <c r="J2177" s="1768"/>
    </row>
    <row r="2178" spans="1:10" ht="48">
      <c r="A2178" s="1770" t="s">
        <v>2407</v>
      </c>
      <c r="B2178" s="1771" t="s">
        <v>7</v>
      </c>
      <c r="C2178" s="1771">
        <v>89795</v>
      </c>
      <c r="D2178" s="1772" t="s">
        <v>2717</v>
      </c>
      <c r="E2178" s="1773" t="s">
        <v>2432</v>
      </c>
      <c r="F2178" s="1780">
        <v>2.7799999999999998E-2</v>
      </c>
      <c r="G2178" s="1774">
        <v>45.75</v>
      </c>
      <c r="H2178" s="1775">
        <f t="shared" si="309"/>
        <v>45.47</v>
      </c>
      <c r="I2178" s="1776">
        <f t="shared" si="311"/>
        <v>1.26</v>
      </c>
      <c r="J2178" s="1768"/>
    </row>
    <row r="2179" spans="1:10" ht="36">
      <c r="A2179" s="1770" t="s">
        <v>2407</v>
      </c>
      <c r="B2179" s="1771" t="s">
        <v>7</v>
      </c>
      <c r="C2179" s="1771">
        <v>89799</v>
      </c>
      <c r="D2179" s="1772" t="s">
        <v>2718</v>
      </c>
      <c r="E2179" s="1773" t="s">
        <v>158</v>
      </c>
      <c r="F2179" s="1780">
        <v>0.8901</v>
      </c>
      <c r="G2179" s="1774">
        <v>26.3</v>
      </c>
      <c r="H2179" s="1775">
        <f t="shared" si="309"/>
        <v>26.14</v>
      </c>
      <c r="I2179" s="1776">
        <f t="shared" si="311"/>
        <v>23.26</v>
      </c>
      <c r="J2179" s="1768"/>
    </row>
    <row r="2180" spans="1:10" ht="48">
      <c r="A2180" s="1770" t="s">
        <v>2407</v>
      </c>
      <c r="B2180" s="1771" t="s">
        <v>7</v>
      </c>
      <c r="C2180" s="1771">
        <v>89806</v>
      </c>
      <c r="D2180" s="1772" t="s">
        <v>2719</v>
      </c>
      <c r="E2180" s="1773" t="s">
        <v>2432</v>
      </c>
      <c r="F2180" s="1780">
        <v>2.4199999999999999E-2</v>
      </c>
      <c r="G2180" s="1774">
        <v>24.37</v>
      </c>
      <c r="H2180" s="1775">
        <f t="shared" si="309"/>
        <v>24.22</v>
      </c>
      <c r="I2180" s="1776">
        <f t="shared" si="311"/>
        <v>0.57999999999999996</v>
      </c>
      <c r="J2180" s="1768"/>
    </row>
    <row r="2181" spans="1:10" ht="48">
      <c r="A2181" s="1770" t="s">
        <v>2407</v>
      </c>
      <c r="B2181" s="1771" t="s">
        <v>7</v>
      </c>
      <c r="C2181" s="1771">
        <v>89807</v>
      </c>
      <c r="D2181" s="1772" t="s">
        <v>2720</v>
      </c>
      <c r="E2181" s="1773" t="s">
        <v>2432</v>
      </c>
      <c r="F2181" s="1780">
        <v>6.4999999999999997E-3</v>
      </c>
      <c r="G2181" s="1774">
        <v>41.05</v>
      </c>
      <c r="H2181" s="1775">
        <f t="shared" si="309"/>
        <v>40.799999999999997</v>
      </c>
      <c r="I2181" s="1776">
        <f t="shared" si="311"/>
        <v>0.26</v>
      </c>
      <c r="J2181" s="1768"/>
    </row>
    <row r="2182" spans="1:10" ht="48">
      <c r="A2182" s="1770" t="s">
        <v>2407</v>
      </c>
      <c r="B2182" s="1771" t="s">
        <v>7</v>
      </c>
      <c r="C2182" s="1771">
        <v>89817</v>
      </c>
      <c r="D2182" s="1772" t="s">
        <v>2721</v>
      </c>
      <c r="E2182" s="1773" t="s">
        <v>2432</v>
      </c>
      <c r="F2182" s="1780">
        <v>0.2329</v>
      </c>
      <c r="G2182" s="1774">
        <v>15.13</v>
      </c>
      <c r="H2182" s="1775">
        <f t="shared" si="309"/>
        <v>15.03</v>
      </c>
      <c r="I2182" s="1776">
        <f t="shared" si="311"/>
        <v>3.5</v>
      </c>
      <c r="J2182" s="1768"/>
    </row>
    <row r="2183" spans="1:10" ht="48">
      <c r="A2183" s="1770" t="s">
        <v>2407</v>
      </c>
      <c r="B2183" s="1771" t="s">
        <v>7</v>
      </c>
      <c r="C2183" s="1771">
        <v>89829</v>
      </c>
      <c r="D2183" s="1772" t="s">
        <v>2722</v>
      </c>
      <c r="E2183" s="1773" t="s">
        <v>2432</v>
      </c>
      <c r="F2183" s="1780">
        <v>3.9899999999999998E-2</v>
      </c>
      <c r="G2183" s="1774">
        <v>39.950000000000003</v>
      </c>
      <c r="H2183" s="1775">
        <f t="shared" si="309"/>
        <v>39.71</v>
      </c>
      <c r="I2183" s="1776">
        <f t="shared" si="310"/>
        <v>1.58</v>
      </c>
      <c r="J2183" s="1768"/>
    </row>
    <row r="2184" spans="1:10" ht="48">
      <c r="A2184" s="1770" t="s">
        <v>2407</v>
      </c>
      <c r="B2184" s="1771" t="s">
        <v>7</v>
      </c>
      <c r="C2184" s="1771">
        <v>89830</v>
      </c>
      <c r="D2184" s="1772" t="s">
        <v>2723</v>
      </c>
      <c r="E2184" s="1773" t="s">
        <v>2432</v>
      </c>
      <c r="F2184" s="1780">
        <v>0.126</v>
      </c>
      <c r="G2184" s="1774">
        <v>43.38</v>
      </c>
      <c r="H2184" s="1775">
        <f t="shared" si="309"/>
        <v>43.11</v>
      </c>
      <c r="I2184" s="1776">
        <f t="shared" si="310"/>
        <v>5.43</v>
      </c>
      <c r="J2184" s="1768"/>
    </row>
    <row r="2185" spans="1:10" ht="24">
      <c r="A2185" s="1770" t="s">
        <v>2407</v>
      </c>
      <c r="B2185" s="1771" t="s">
        <v>7</v>
      </c>
      <c r="C2185" s="1771">
        <v>90437</v>
      </c>
      <c r="D2185" s="1772" t="s">
        <v>2724</v>
      </c>
      <c r="E2185" s="1773" t="s">
        <v>2432</v>
      </c>
      <c r="F2185" s="1780">
        <v>9.8400000000000001E-2</v>
      </c>
      <c r="G2185" s="1774">
        <v>33.32</v>
      </c>
      <c r="H2185" s="1775">
        <f t="shared" si="309"/>
        <v>33.119999999999997</v>
      </c>
      <c r="I2185" s="1776">
        <f t="shared" si="310"/>
        <v>3.25</v>
      </c>
      <c r="J2185" s="1768"/>
    </row>
    <row r="2186" spans="1:10" ht="36">
      <c r="A2186" s="1770" t="s">
        <v>2407</v>
      </c>
      <c r="B2186" s="1771" t="s">
        <v>7</v>
      </c>
      <c r="C2186" s="1771">
        <v>90454</v>
      </c>
      <c r="D2186" s="1772" t="s">
        <v>2725</v>
      </c>
      <c r="E2186" s="1773" t="s">
        <v>2432</v>
      </c>
      <c r="F2186" s="1780">
        <v>0.1661</v>
      </c>
      <c r="G2186" s="1774">
        <v>5.68</v>
      </c>
      <c r="H2186" s="1775">
        <f t="shared" si="309"/>
        <v>5.64</v>
      </c>
      <c r="I2186" s="1776">
        <f t="shared" si="310"/>
        <v>0.93</v>
      </c>
      <c r="J2186" s="1768"/>
    </row>
    <row r="2187" spans="1:10" ht="60">
      <c r="A2187" s="1770" t="s">
        <v>2407</v>
      </c>
      <c r="B2187" s="1771" t="s">
        <v>7</v>
      </c>
      <c r="C2187" s="1771">
        <v>91186</v>
      </c>
      <c r="D2187" s="1772" t="s">
        <v>2726</v>
      </c>
      <c r="E2187" s="1773" t="s">
        <v>158</v>
      </c>
      <c r="F2187" s="1780">
        <v>3.8199999999999998E-2</v>
      </c>
      <c r="G2187" s="1774">
        <v>5.67</v>
      </c>
      <c r="H2187" s="1775">
        <f t="shared" si="309"/>
        <v>5.63</v>
      </c>
      <c r="I2187" s="1776">
        <f t="shared" si="310"/>
        <v>0.21</v>
      </c>
      <c r="J2187" s="1768"/>
    </row>
    <row r="2188" spans="1:10" ht="24">
      <c r="A2188" s="1770" t="s">
        <v>2407</v>
      </c>
      <c r="B2188" s="1771" t="s">
        <v>7</v>
      </c>
      <c r="C2188" s="1771">
        <v>91191</v>
      </c>
      <c r="D2188" s="1772" t="s">
        <v>2727</v>
      </c>
      <c r="E2188" s="1773" t="s">
        <v>2432</v>
      </c>
      <c r="F2188" s="1780">
        <v>9.8400000000000001E-2</v>
      </c>
      <c r="G2188" s="1774">
        <v>5.3</v>
      </c>
      <c r="H2188" s="1775">
        <f t="shared" si="309"/>
        <v>5.26</v>
      </c>
      <c r="I2188" s="1776">
        <f t="shared" si="310"/>
        <v>0.51</v>
      </c>
      <c r="J2188" s="1768"/>
    </row>
    <row r="2189" spans="1:10">
      <c r="A2189" s="1917" t="s">
        <v>2408</v>
      </c>
      <c r="B2189" s="1918"/>
      <c r="C2189" s="1918"/>
      <c r="D2189" s="1918"/>
      <c r="E2189" s="1918"/>
      <c r="F2189" s="1918"/>
      <c r="G2189" s="1918"/>
      <c r="H2189" s="1919"/>
      <c r="I2189" s="1778">
        <f>SUM(I2173:I2188)</f>
        <v>49.73</v>
      </c>
      <c r="J2189" s="1768"/>
    </row>
    <row r="2190" spans="1:10">
      <c r="A2190" s="1920"/>
      <c r="B2190" s="1921"/>
      <c r="C2190" s="1921"/>
      <c r="D2190" s="1921"/>
      <c r="E2190" s="1921"/>
      <c r="F2190" s="1921"/>
      <c r="G2190" s="1921"/>
      <c r="H2190" s="1921"/>
      <c r="I2190" s="1922"/>
      <c r="J2190" s="1768"/>
    </row>
    <row r="2191" spans="1:10" ht="24" customHeight="1">
      <c r="A2191" s="1757">
        <f>'PLANILHA SEM DESON'!B326</f>
        <v>89784</v>
      </c>
      <c r="B2191" s="1923" t="str">
        <f>VLOOKUP(A2191,'PLANILHA SEM DESON'!$B$17:$D$1699,2,FALSE)</f>
        <v>TE, PVC, SERIE NORMAL, ESGOTO PREDIAL, DN 50 X 50 MM, JUNTA ELÁSTICA, FORNECIDO E INSTALADO EM RAMAL DE DESCARGA OU RAMAL DE ESGOTO SANITÁRIO. AF_08/2022</v>
      </c>
      <c r="C2191" s="1924"/>
      <c r="D2191" s="1924"/>
      <c r="E2191" s="1924"/>
      <c r="F2191" s="1924"/>
      <c r="G2191" s="1924"/>
      <c r="H2191" s="1925"/>
      <c r="I2191" s="1758" t="str">
        <f>VLOOKUP(A2191,'PLANILHA SEM DESON'!$B$17:$D$1699,3,FALSE)</f>
        <v xml:space="preserve">un </v>
      </c>
      <c r="J2191" s="1759">
        <f>I2198</f>
        <v>26.5</v>
      </c>
    </row>
    <row r="2192" spans="1:10" ht="24">
      <c r="A2192" s="1761" t="s">
        <v>2401</v>
      </c>
      <c r="B2192" s="1762" t="s">
        <v>2402</v>
      </c>
      <c r="C2192" s="1763" t="s">
        <v>2399</v>
      </c>
      <c r="D2192" s="1764" t="s">
        <v>284</v>
      </c>
      <c r="E2192" s="1763" t="s">
        <v>193</v>
      </c>
      <c r="F2192" s="1765" t="s">
        <v>2403</v>
      </c>
      <c r="G2192" s="1763" t="s">
        <v>2404</v>
      </c>
      <c r="H2192" s="1766" t="s">
        <v>2405</v>
      </c>
      <c r="I2192" s="1767" t="s">
        <v>2406</v>
      </c>
      <c r="J2192" s="1768"/>
    </row>
    <row r="2193" spans="1:10" ht="24">
      <c r="A2193" s="1770" t="s">
        <v>2407</v>
      </c>
      <c r="B2193" s="1771" t="s">
        <v>2410</v>
      </c>
      <c r="C2193" s="1771">
        <v>296</v>
      </c>
      <c r="D2193" s="1772" t="s">
        <v>2698</v>
      </c>
      <c r="E2193" s="1773" t="s">
        <v>2432</v>
      </c>
      <c r="F2193" s="1780">
        <v>3</v>
      </c>
      <c r="G2193" s="1774">
        <v>1.98</v>
      </c>
      <c r="H2193" s="1775">
        <f>IF(E2193="H",G2193,TRUNC(G2193*(1-$K$7),2))</f>
        <v>1.96</v>
      </c>
      <c r="I2193" s="1776">
        <f t="shared" ref="I2193:I2197" si="312">TRUNC(H2193*F2193,2)</f>
        <v>5.88</v>
      </c>
      <c r="J2193" s="1768"/>
    </row>
    <row r="2194" spans="1:10" ht="24">
      <c r="A2194" s="1770" t="s">
        <v>2407</v>
      </c>
      <c r="B2194" s="1771" t="s">
        <v>2410</v>
      </c>
      <c r="C2194" s="1771">
        <v>7097</v>
      </c>
      <c r="D2194" s="1772" t="s">
        <v>2728</v>
      </c>
      <c r="E2194" s="1773" t="s">
        <v>2432</v>
      </c>
      <c r="F2194" s="1780">
        <v>1</v>
      </c>
      <c r="G2194" s="1774">
        <v>10.1</v>
      </c>
      <c r="H2194" s="1775">
        <f>IF(E2194="H",G2194,TRUNC(G2194*(1-$K$7),2))</f>
        <v>10.029999999999999</v>
      </c>
      <c r="I2194" s="1776">
        <f t="shared" si="312"/>
        <v>10.029999999999999</v>
      </c>
      <c r="J2194" s="1768"/>
    </row>
    <row r="2195" spans="1:10" ht="36">
      <c r="A2195" s="1770" t="s">
        <v>2407</v>
      </c>
      <c r="B2195" s="1771" t="s">
        <v>2410</v>
      </c>
      <c r="C2195" s="1771">
        <v>20078</v>
      </c>
      <c r="D2195" s="1772" t="s">
        <v>2700</v>
      </c>
      <c r="E2195" s="1773" t="s">
        <v>2432</v>
      </c>
      <c r="F2195" s="1780">
        <v>7.4999999999999997E-2</v>
      </c>
      <c r="G2195" s="1774">
        <v>31.72</v>
      </c>
      <c r="H2195" s="1775">
        <f>IF(E2195="H",G2195,TRUNC(G2195*(1-$K$7),2))</f>
        <v>31.52</v>
      </c>
      <c r="I2195" s="1776">
        <f t="shared" si="312"/>
        <v>2.36</v>
      </c>
      <c r="J2195" s="1768"/>
    </row>
    <row r="2196" spans="1:10" ht="24">
      <c r="A2196" s="1770" t="s">
        <v>2407</v>
      </c>
      <c r="B2196" s="1771" t="s">
        <v>7</v>
      </c>
      <c r="C2196" s="1771">
        <v>88248</v>
      </c>
      <c r="D2196" s="1772" t="s">
        <v>101</v>
      </c>
      <c r="E2196" s="1773" t="s">
        <v>387</v>
      </c>
      <c r="F2196" s="1780">
        <v>0.18390000000000001</v>
      </c>
      <c r="G2196" s="1774">
        <v>20.16</v>
      </c>
      <c r="H2196" s="1775">
        <f>IF(E2196="H",G2196,TRUNC(G2196*(1-$K$7),2))</f>
        <v>20.16</v>
      </c>
      <c r="I2196" s="1776">
        <f t="shared" si="312"/>
        <v>3.7</v>
      </c>
      <c r="J2196" s="1768"/>
    </row>
    <row r="2197" spans="1:10" ht="24">
      <c r="A2197" s="1770" t="s">
        <v>2407</v>
      </c>
      <c r="B2197" s="1771" t="s">
        <v>7</v>
      </c>
      <c r="C2197" s="1771">
        <v>88267</v>
      </c>
      <c r="D2197" s="1772" t="s">
        <v>102</v>
      </c>
      <c r="E2197" s="1773" t="s">
        <v>387</v>
      </c>
      <c r="F2197" s="1780">
        <v>0.18390000000000001</v>
      </c>
      <c r="G2197" s="1774">
        <v>24.64</v>
      </c>
      <c r="H2197" s="1775">
        <f>IF(E2197="H",G2197,TRUNC(G2197*(1-$K$7),2))</f>
        <v>24.64</v>
      </c>
      <c r="I2197" s="1776">
        <f t="shared" si="312"/>
        <v>4.53</v>
      </c>
      <c r="J2197" s="1768"/>
    </row>
    <row r="2198" spans="1:10">
      <c r="A2198" s="1917" t="s">
        <v>2408</v>
      </c>
      <c r="B2198" s="1918"/>
      <c r="C2198" s="1918"/>
      <c r="D2198" s="1918"/>
      <c r="E2198" s="1918"/>
      <c r="F2198" s="1918"/>
      <c r="G2198" s="1918"/>
      <c r="H2198" s="1919"/>
      <c r="I2198" s="1778">
        <f>SUM(I2193:I2197)</f>
        <v>26.5</v>
      </c>
      <c r="J2198" s="1768"/>
    </row>
    <row r="2199" spans="1:10">
      <c r="A2199" s="1920"/>
      <c r="B2199" s="1921"/>
      <c r="C2199" s="1921"/>
      <c r="D2199" s="1921"/>
      <c r="E2199" s="1921"/>
      <c r="F2199" s="1921"/>
      <c r="G2199" s="1921"/>
      <c r="H2199" s="1921"/>
      <c r="I2199" s="1922"/>
      <c r="J2199" s="1768"/>
    </row>
    <row r="2200" spans="1:10" ht="24.75" customHeight="1">
      <c r="A2200" s="1757" t="str">
        <f>'PLANILHA SEM DESON'!B327</f>
        <v>COMP HIDR 17</v>
      </c>
      <c r="B2200" s="1923" t="str">
        <f>VLOOKUP(A2200,'PLANILHA SEM DESON'!$B$17:$D$1699,2,FALSE)</f>
        <v xml:space="preserve">TE DE REDUÇÃO, PVC, SOLDÁVEL, DN 100MM X 75MM,FORNECIMENTO E INSTALAÇÃO. </v>
      </c>
      <c r="C2200" s="1924"/>
      <c r="D2200" s="1924"/>
      <c r="E2200" s="1924"/>
      <c r="F2200" s="1924"/>
      <c r="G2200" s="1924"/>
      <c r="H2200" s="1925"/>
      <c r="I2200" s="1758" t="str">
        <f>VLOOKUP(A2200,'PLANILHA SEM DESON'!$B$17:$D$1699,3,FALSE)</f>
        <v xml:space="preserve">un </v>
      </c>
      <c r="J2200" s="1759">
        <f>I2207</f>
        <v>63.29</v>
      </c>
    </row>
    <row r="2201" spans="1:10" ht="24">
      <c r="A2201" s="1761" t="s">
        <v>2401</v>
      </c>
      <c r="B2201" s="1762" t="s">
        <v>2402</v>
      </c>
      <c r="C2201" s="1763" t="s">
        <v>2399</v>
      </c>
      <c r="D2201" s="1764" t="s">
        <v>284</v>
      </c>
      <c r="E2201" s="1763" t="s">
        <v>193</v>
      </c>
      <c r="F2201" s="1765" t="s">
        <v>2403</v>
      </c>
      <c r="G2201" s="1763" t="s">
        <v>2404</v>
      </c>
      <c r="H2201" s="1766" t="s">
        <v>2405</v>
      </c>
      <c r="I2201" s="1767" t="s">
        <v>2406</v>
      </c>
      <c r="J2201" s="1768"/>
    </row>
    <row r="2202" spans="1:10" ht="24">
      <c r="A2202" s="1770"/>
      <c r="B2202" s="1771"/>
      <c r="C2202" s="1771" t="s">
        <v>430</v>
      </c>
      <c r="D2202" s="1772" t="s">
        <v>101</v>
      </c>
      <c r="E2202" s="1773" t="s">
        <v>57</v>
      </c>
      <c r="F2202" s="1790">
        <v>0.55000000000000004</v>
      </c>
      <c r="G2202" s="1781">
        <v>20.16</v>
      </c>
      <c r="H2202" s="1775">
        <f>IF(E2202="H",G2202,TRUNC(G2202*(1-$K$7),2))</f>
        <v>20.16</v>
      </c>
      <c r="I2202" s="1776">
        <f t="shared" ref="I2202:I2206" si="313">TRUNC(H2202*F2202,2)</f>
        <v>11.08</v>
      </c>
      <c r="J2202" s="1768"/>
    </row>
    <row r="2203" spans="1:10" ht="24">
      <c r="A2203" s="1770"/>
      <c r="B2203" s="1771"/>
      <c r="C2203" s="1771" t="s">
        <v>431</v>
      </c>
      <c r="D2203" s="1772" t="s">
        <v>102</v>
      </c>
      <c r="E2203" s="1773" t="s">
        <v>57</v>
      </c>
      <c r="F2203" s="1790">
        <v>0.55000000000000004</v>
      </c>
      <c r="G2203" s="1781">
        <v>24.64</v>
      </c>
      <c r="H2203" s="1775">
        <f>IF(E2203="H",G2203,TRUNC(G2203*(1-$K$7),2))</f>
        <v>24.64</v>
      </c>
      <c r="I2203" s="1776">
        <f t="shared" si="313"/>
        <v>13.55</v>
      </c>
      <c r="J2203" s="1768"/>
    </row>
    <row r="2204" spans="1:10">
      <c r="A2204" s="1770"/>
      <c r="B2204" s="1771"/>
      <c r="C2204" s="1771">
        <v>122</v>
      </c>
      <c r="D2204" s="1772" t="s">
        <v>125</v>
      </c>
      <c r="E2204" s="1773" t="s">
        <v>100</v>
      </c>
      <c r="F2204" s="1790">
        <v>7.6999999999999999E-2</v>
      </c>
      <c r="G2204" s="1779">
        <v>76.86</v>
      </c>
      <c r="H2204" s="1775">
        <f>IF(E2204="H",G2204,TRUNC(G2204*(1-$K$7),2))</f>
        <v>76.39</v>
      </c>
      <c r="I2204" s="1776">
        <f t="shared" si="313"/>
        <v>5.88</v>
      </c>
      <c r="J2204" s="1768"/>
    </row>
    <row r="2205" spans="1:10" ht="24">
      <c r="A2205" s="1770"/>
      <c r="B2205" s="1771"/>
      <c r="C2205" s="1771">
        <v>20083</v>
      </c>
      <c r="D2205" s="1772" t="s">
        <v>126</v>
      </c>
      <c r="E2205" s="1773" t="s">
        <v>424</v>
      </c>
      <c r="F2205" s="1790">
        <v>0.11799999999999999</v>
      </c>
      <c r="G2205" s="1779">
        <v>87.08</v>
      </c>
      <c r="H2205" s="1775">
        <f>IF(E2205="H",G2205,TRUNC(G2205*(1-$K$7),2))</f>
        <v>86.55</v>
      </c>
      <c r="I2205" s="1776">
        <f t="shared" si="313"/>
        <v>10.210000000000001</v>
      </c>
      <c r="J2205" s="1768"/>
    </row>
    <row r="2206" spans="1:10" ht="24">
      <c r="A2206" s="1770"/>
      <c r="B2206" s="1771"/>
      <c r="C2206" s="1771">
        <v>11656</v>
      </c>
      <c r="D2206" s="1772" t="s">
        <v>1939</v>
      </c>
      <c r="E2206" s="1773" t="s">
        <v>55</v>
      </c>
      <c r="F2206" s="1790">
        <v>1</v>
      </c>
      <c r="G2206" s="1779">
        <v>22.71</v>
      </c>
      <c r="H2206" s="1775">
        <f>IF(E2206="H",G2206,TRUNC(G2206*(1-$K$7),2))</f>
        <v>22.57</v>
      </c>
      <c r="I2206" s="1776">
        <f t="shared" si="313"/>
        <v>22.57</v>
      </c>
      <c r="J2206" s="1768"/>
    </row>
    <row r="2207" spans="1:10">
      <c r="A2207" s="1917" t="s">
        <v>2408</v>
      </c>
      <c r="B2207" s="1918"/>
      <c r="C2207" s="1918"/>
      <c r="D2207" s="1918"/>
      <c r="E2207" s="1918"/>
      <c r="F2207" s="1918"/>
      <c r="G2207" s="1918"/>
      <c r="H2207" s="1919"/>
      <c r="I2207" s="1778">
        <f>SUM(I2202:I2206)</f>
        <v>63.29</v>
      </c>
      <c r="J2207" s="1768"/>
    </row>
    <row r="2208" spans="1:10">
      <c r="A2208" s="1920"/>
      <c r="B2208" s="1921"/>
      <c r="C2208" s="1921"/>
      <c r="D2208" s="1921"/>
      <c r="E2208" s="1921"/>
      <c r="F2208" s="1921"/>
      <c r="G2208" s="1921"/>
      <c r="H2208" s="1921"/>
      <c r="I2208" s="1922"/>
      <c r="J2208" s="1768"/>
    </row>
    <row r="2209" spans="1:10" ht="24" customHeight="1">
      <c r="A2209" s="1757" t="str">
        <f>'PLANILHA SEM DESON'!B328</f>
        <v>COMP HIDR 20</v>
      </c>
      <c r="B2209" s="1923" t="str">
        <f>VLOOKUP(A2209,'PLANILHA SEM DESON'!$B$17:$D$1699,2,FALSE)</f>
        <v>TERMINAL DE VENTILACAO, 50 MM, SERIE NORMAL, ESGOTO PREDIAL</v>
      </c>
      <c r="C2209" s="1924"/>
      <c r="D2209" s="1924"/>
      <c r="E2209" s="1924"/>
      <c r="F2209" s="1924"/>
      <c r="G2209" s="1924"/>
      <c r="H2209" s="1925"/>
      <c r="I2209" s="1758" t="str">
        <f>VLOOKUP(A2209,'PLANILHA SEM DESON'!$B$17:$D$1699,3,FALSE)</f>
        <v xml:space="preserve">un </v>
      </c>
      <c r="J2209" s="1759">
        <f>I2216</f>
        <v>14.4</v>
      </c>
    </row>
    <row r="2210" spans="1:10" ht="24">
      <c r="A2210" s="1761" t="s">
        <v>2401</v>
      </c>
      <c r="B2210" s="1762" t="s">
        <v>2402</v>
      </c>
      <c r="C2210" s="1763" t="s">
        <v>2399</v>
      </c>
      <c r="D2210" s="1764" t="s">
        <v>284</v>
      </c>
      <c r="E2210" s="1763" t="s">
        <v>193</v>
      </c>
      <c r="F2210" s="1765" t="s">
        <v>2403</v>
      </c>
      <c r="G2210" s="1763" t="s">
        <v>2404</v>
      </c>
      <c r="H2210" s="1766" t="s">
        <v>2405</v>
      </c>
      <c r="I2210" s="1767" t="s">
        <v>2406</v>
      </c>
      <c r="J2210" s="1768"/>
    </row>
    <row r="2211" spans="1:10" ht="24">
      <c r="A2211" s="1770"/>
      <c r="B2211" s="1771"/>
      <c r="C2211" s="1771" t="s">
        <v>430</v>
      </c>
      <c r="D2211" s="1772" t="s">
        <v>101</v>
      </c>
      <c r="E2211" s="1773" t="s">
        <v>57</v>
      </c>
      <c r="F2211" s="1787">
        <v>7.0000000000000007E-2</v>
      </c>
      <c r="G2211" s="1781">
        <v>20.16</v>
      </c>
      <c r="H2211" s="1775">
        <f>IF(E2211="H",G2211,TRUNC(G2211*(1-$K$7),2))</f>
        <v>20.16</v>
      </c>
      <c r="I2211" s="1776">
        <f t="shared" ref="I2211:I2215" si="314">TRUNC(H2211*F2211,2)</f>
        <v>1.41</v>
      </c>
      <c r="J2211" s="1768"/>
    </row>
    <row r="2212" spans="1:10" ht="24">
      <c r="A2212" s="1770"/>
      <c r="B2212" s="1771"/>
      <c r="C2212" s="1771" t="s">
        <v>431</v>
      </c>
      <c r="D2212" s="1772" t="s">
        <v>102</v>
      </c>
      <c r="E2212" s="1773" t="s">
        <v>57</v>
      </c>
      <c r="F2212" s="1787">
        <v>7.0000000000000007E-2</v>
      </c>
      <c r="G2212" s="1781">
        <v>24.64</v>
      </c>
      <c r="H2212" s="1775">
        <f>IF(E2212="H",G2212,TRUNC(G2212*(1-$K$7),2))</f>
        <v>24.64</v>
      </c>
      <c r="I2212" s="1776">
        <f t="shared" si="314"/>
        <v>1.72</v>
      </c>
      <c r="J2212" s="1768"/>
    </row>
    <row r="2213" spans="1:10">
      <c r="A2213" s="1770"/>
      <c r="B2213" s="1771"/>
      <c r="C2213" s="1771">
        <v>122</v>
      </c>
      <c r="D2213" s="1772" t="s">
        <v>125</v>
      </c>
      <c r="E2213" s="1773" t="s">
        <v>100</v>
      </c>
      <c r="F2213" s="1790">
        <v>8.0000000000000002E-3</v>
      </c>
      <c r="G2213" s="1779">
        <v>76.86</v>
      </c>
      <c r="H2213" s="1775">
        <f>IF(E2213="H",G2213,TRUNC(G2213*(1-$K$7),2))</f>
        <v>76.39</v>
      </c>
      <c r="I2213" s="1776">
        <f t="shared" si="314"/>
        <v>0.61</v>
      </c>
      <c r="J2213" s="1768"/>
    </row>
    <row r="2214" spans="1:10" ht="24">
      <c r="A2214" s="1770"/>
      <c r="B2214" s="1771"/>
      <c r="C2214" s="1771">
        <v>20083</v>
      </c>
      <c r="D2214" s="1772" t="s">
        <v>126</v>
      </c>
      <c r="E2214" s="1773" t="s">
        <v>424</v>
      </c>
      <c r="F2214" s="1790">
        <v>1.0999999999999999E-2</v>
      </c>
      <c r="G2214" s="1779">
        <v>87.08</v>
      </c>
      <c r="H2214" s="1775">
        <f>IF(E2214="H",G2214,TRUNC(G2214*(1-$K$7),2))</f>
        <v>86.55</v>
      </c>
      <c r="I2214" s="1776">
        <f t="shared" si="314"/>
        <v>0.95</v>
      </c>
      <c r="J2214" s="1768"/>
    </row>
    <row r="2215" spans="1:10" ht="24">
      <c r="A2215" s="1770"/>
      <c r="B2215" s="1771"/>
      <c r="C2215" s="1771">
        <v>39319</v>
      </c>
      <c r="D2215" s="1772" t="s">
        <v>1945</v>
      </c>
      <c r="E2215" s="1773" t="s">
        <v>55</v>
      </c>
      <c r="F2215" s="1790">
        <v>1</v>
      </c>
      <c r="G2215" s="1779">
        <v>9.77</v>
      </c>
      <c r="H2215" s="1775">
        <f>IF(E2215="H",G2215,TRUNC(G2215*(1-$K$7),2))</f>
        <v>9.7100000000000009</v>
      </c>
      <c r="I2215" s="1776">
        <f t="shared" si="314"/>
        <v>9.7100000000000009</v>
      </c>
      <c r="J2215" s="1768"/>
    </row>
    <row r="2216" spans="1:10">
      <c r="A2216" s="1917" t="s">
        <v>2408</v>
      </c>
      <c r="B2216" s="1918"/>
      <c r="C2216" s="1918"/>
      <c r="D2216" s="1918"/>
      <c r="E2216" s="1918"/>
      <c r="F2216" s="1918"/>
      <c r="G2216" s="1918"/>
      <c r="H2216" s="1919"/>
      <c r="I2216" s="1778">
        <f>SUM(I2211:I2215)</f>
        <v>14.4</v>
      </c>
      <c r="J2216" s="1768"/>
    </row>
    <row r="2217" spans="1:10">
      <c r="A2217" s="1920"/>
      <c r="B2217" s="1921"/>
      <c r="C2217" s="1921"/>
      <c r="D2217" s="1921"/>
      <c r="E2217" s="1921"/>
      <c r="F2217" s="1921"/>
      <c r="G2217" s="1921"/>
      <c r="H2217" s="1921"/>
      <c r="I2217" s="1922"/>
      <c r="J2217" s="1768"/>
    </row>
    <row r="2218" spans="1:10" ht="24" customHeight="1">
      <c r="A2218" s="1757" t="str">
        <f>'PLANILHA SEM DESON'!B329</f>
        <v>COMP HIDR 21</v>
      </c>
      <c r="B2218" s="1923" t="str">
        <f>VLOOKUP(A2218,'PLANILHA SEM DESON'!$B$17:$D$1699,2,FALSE)</f>
        <v>TERMINAL DE VENTILACAO, 75 MM, SERIE NORMAL, ESGOTO PREDIAL</v>
      </c>
      <c r="C2218" s="1924"/>
      <c r="D2218" s="1924"/>
      <c r="E2218" s="1924"/>
      <c r="F2218" s="1924"/>
      <c r="G2218" s="1924"/>
      <c r="H2218" s="1925"/>
      <c r="I2218" s="1758" t="str">
        <f>VLOOKUP(A2218,'PLANILHA SEM DESON'!$B$17:$D$1699,3,FALSE)</f>
        <v xml:space="preserve">un </v>
      </c>
      <c r="J2218" s="1759">
        <f>I2225</f>
        <v>20.839999999999996</v>
      </c>
    </row>
    <row r="2219" spans="1:10" ht="24">
      <c r="A2219" s="1761" t="s">
        <v>2401</v>
      </c>
      <c r="B2219" s="1762" t="s">
        <v>2402</v>
      </c>
      <c r="C2219" s="1763" t="s">
        <v>2399</v>
      </c>
      <c r="D2219" s="1764" t="s">
        <v>284</v>
      </c>
      <c r="E2219" s="1763" t="s">
        <v>193</v>
      </c>
      <c r="F2219" s="1765" t="s">
        <v>2403</v>
      </c>
      <c r="G2219" s="1763" t="s">
        <v>2404</v>
      </c>
      <c r="H2219" s="1766" t="s">
        <v>2405</v>
      </c>
      <c r="I2219" s="1767" t="s">
        <v>2406</v>
      </c>
      <c r="J2219" s="1768"/>
    </row>
    <row r="2220" spans="1:10" ht="24">
      <c r="A2220" s="1770"/>
      <c r="B2220" s="1771"/>
      <c r="C2220" s="1771" t="s">
        <v>430</v>
      </c>
      <c r="D2220" s="1772" t="s">
        <v>101</v>
      </c>
      <c r="E2220" s="1773" t="s">
        <v>57</v>
      </c>
      <c r="F2220" s="1787">
        <v>7.0000000000000007E-2</v>
      </c>
      <c r="G2220" s="1781">
        <v>20.16</v>
      </c>
      <c r="H2220" s="1775">
        <f>IF(E2220="H",G2220,TRUNC(G2220*(1-$K$7),2))</f>
        <v>20.16</v>
      </c>
      <c r="I2220" s="1776">
        <f t="shared" ref="I2220:I2224" si="315">TRUNC(H2220*F2220,2)</f>
        <v>1.41</v>
      </c>
      <c r="J2220" s="1768"/>
    </row>
    <row r="2221" spans="1:10" ht="24">
      <c r="A2221" s="1770"/>
      <c r="B2221" s="1771"/>
      <c r="C2221" s="1771" t="s">
        <v>431</v>
      </c>
      <c r="D2221" s="1772" t="s">
        <v>102</v>
      </c>
      <c r="E2221" s="1773" t="s">
        <v>57</v>
      </c>
      <c r="F2221" s="1787">
        <v>7.0000000000000007E-2</v>
      </c>
      <c r="G2221" s="1781">
        <v>24.64</v>
      </c>
      <c r="H2221" s="1775">
        <f>IF(E2221="H",G2221,TRUNC(G2221*(1-$K$7),2))</f>
        <v>24.64</v>
      </c>
      <c r="I2221" s="1776">
        <f t="shared" si="315"/>
        <v>1.72</v>
      </c>
      <c r="J2221" s="1768"/>
    </row>
    <row r="2222" spans="1:10">
      <c r="A2222" s="1770"/>
      <c r="B2222" s="1771"/>
      <c r="C2222" s="1771">
        <v>122</v>
      </c>
      <c r="D2222" s="1772" t="s">
        <v>125</v>
      </c>
      <c r="E2222" s="1773" t="s">
        <v>100</v>
      </c>
      <c r="F2222" s="1790">
        <v>8.0000000000000002E-3</v>
      </c>
      <c r="G2222" s="1779">
        <v>76.86</v>
      </c>
      <c r="H2222" s="1775">
        <f>IF(E2222="H",G2222,TRUNC(G2222*(1-$K$7),2))</f>
        <v>76.39</v>
      </c>
      <c r="I2222" s="1776">
        <f t="shared" si="315"/>
        <v>0.61</v>
      </c>
      <c r="J2222" s="1768"/>
    </row>
    <row r="2223" spans="1:10" ht="24">
      <c r="A2223" s="1770"/>
      <c r="B2223" s="1771"/>
      <c r="C2223" s="1771">
        <v>20083</v>
      </c>
      <c r="D2223" s="1772" t="s">
        <v>126</v>
      </c>
      <c r="E2223" s="1773" t="s">
        <v>424</v>
      </c>
      <c r="F2223" s="1790">
        <v>1.0999999999999999E-2</v>
      </c>
      <c r="G2223" s="1779">
        <v>87.08</v>
      </c>
      <c r="H2223" s="1775">
        <f>IF(E2223="H",G2223,TRUNC(G2223*(1-$K$7),2))</f>
        <v>86.55</v>
      </c>
      <c r="I2223" s="1776">
        <f t="shared" si="315"/>
        <v>0.95</v>
      </c>
      <c r="J2223" s="1768"/>
    </row>
    <row r="2224" spans="1:10" ht="24">
      <c r="A2224" s="1770"/>
      <c r="B2224" s="1771"/>
      <c r="C2224" s="1771">
        <v>39319</v>
      </c>
      <c r="D2224" s="1772" t="s">
        <v>1945</v>
      </c>
      <c r="E2224" s="1773" t="s">
        <v>55</v>
      </c>
      <c r="F2224" s="1790">
        <v>1</v>
      </c>
      <c r="G2224" s="1779">
        <v>16.25</v>
      </c>
      <c r="H2224" s="1775">
        <f>IF(E2224="H",G2224,TRUNC(G2224*(1-$K$7),2))</f>
        <v>16.149999999999999</v>
      </c>
      <c r="I2224" s="1776">
        <f t="shared" si="315"/>
        <v>16.149999999999999</v>
      </c>
      <c r="J2224" s="1768"/>
    </row>
    <row r="2225" spans="1:10">
      <c r="A2225" s="1917" t="s">
        <v>2408</v>
      </c>
      <c r="B2225" s="1918"/>
      <c r="C2225" s="1918"/>
      <c r="D2225" s="1918"/>
      <c r="E2225" s="1918"/>
      <c r="F2225" s="1918"/>
      <c r="G2225" s="1918"/>
      <c r="H2225" s="1919"/>
      <c r="I2225" s="1778">
        <f>SUM(I2220:I2224)</f>
        <v>20.839999999999996</v>
      </c>
      <c r="J2225" s="1768"/>
    </row>
    <row r="2226" spans="1:10">
      <c r="A2226" s="1920"/>
      <c r="B2226" s="1921"/>
      <c r="C2226" s="1921"/>
      <c r="D2226" s="1921"/>
      <c r="E2226" s="1921"/>
      <c r="F2226" s="1921"/>
      <c r="G2226" s="1921"/>
      <c r="H2226" s="1921"/>
      <c r="I2226" s="1922"/>
      <c r="J2226" s="1768"/>
    </row>
    <row r="2227" spans="1:10" ht="24" customHeight="1">
      <c r="A2227" s="1757" t="str">
        <f>'PLANILHA SEM DESON'!B330</f>
        <v>COMP HIDR 22</v>
      </c>
      <c r="B2227" s="1923" t="str">
        <f>VLOOKUP(A2227,'PLANILHA SEM DESON'!$B$17:$D$1699,2,FALSE)</f>
        <v>CAIXA DE INSPEÇÃO EM PVC, DIAMETRO MINIMO 300 MM,  COM TAMPA</v>
      </c>
      <c r="C2227" s="1924"/>
      <c r="D2227" s="1924"/>
      <c r="E2227" s="1924"/>
      <c r="F2227" s="1924"/>
      <c r="G2227" s="1924"/>
      <c r="H2227" s="1925"/>
      <c r="I2227" s="1758" t="str">
        <f>VLOOKUP(A2227,'PLANILHA SEM DESON'!$B$17:$D$1699,3,FALSE)</f>
        <v xml:space="preserve">un </v>
      </c>
      <c r="J2227" s="1759">
        <f>I2232</f>
        <v>443.78</v>
      </c>
    </row>
    <row r="2228" spans="1:10" ht="24">
      <c r="A2228" s="1761" t="s">
        <v>2401</v>
      </c>
      <c r="B2228" s="1762" t="s">
        <v>2402</v>
      </c>
      <c r="C2228" s="1763" t="s">
        <v>2399</v>
      </c>
      <c r="D2228" s="1764" t="s">
        <v>284</v>
      </c>
      <c r="E2228" s="1763" t="s">
        <v>193</v>
      </c>
      <c r="F2228" s="1765" t="s">
        <v>2403</v>
      </c>
      <c r="G2228" s="1763" t="s">
        <v>2404</v>
      </c>
      <c r="H2228" s="1766" t="s">
        <v>2405</v>
      </c>
      <c r="I2228" s="1767" t="s">
        <v>2406</v>
      </c>
      <c r="J2228" s="1768"/>
    </row>
    <row r="2229" spans="1:10" ht="24">
      <c r="A2229" s="1770"/>
      <c r="B2229" s="1771"/>
      <c r="C2229" s="1771" t="s">
        <v>430</v>
      </c>
      <c r="D2229" s="1772" t="s">
        <v>101</v>
      </c>
      <c r="E2229" s="1773" t="s">
        <v>57</v>
      </c>
      <c r="F2229" s="1787">
        <v>0.55000000000000004</v>
      </c>
      <c r="G2229" s="1781">
        <v>20.16</v>
      </c>
      <c r="H2229" s="1775">
        <f>IF(E2229="H",G2229,TRUNC(G2229*(1-$K$7),2))</f>
        <v>20.16</v>
      </c>
      <c r="I2229" s="1776">
        <f t="shared" ref="I2229:I2231" si="316">TRUNC(H2229*F2229,2)</f>
        <v>11.08</v>
      </c>
      <c r="J2229" s="1768"/>
    </row>
    <row r="2230" spans="1:10" ht="24">
      <c r="A2230" s="1770"/>
      <c r="B2230" s="1771"/>
      <c r="C2230" s="1771" t="s">
        <v>431</v>
      </c>
      <c r="D2230" s="1772" t="s">
        <v>102</v>
      </c>
      <c r="E2230" s="1773" t="s">
        <v>57</v>
      </c>
      <c r="F2230" s="1787">
        <v>0.55000000000000004</v>
      </c>
      <c r="G2230" s="1781">
        <v>24.64</v>
      </c>
      <c r="H2230" s="1775">
        <f>IF(E2230="H",G2230,TRUNC(G2230*(1-$K$7),2))</f>
        <v>24.64</v>
      </c>
      <c r="I2230" s="1776">
        <f t="shared" si="316"/>
        <v>13.55</v>
      </c>
      <c r="J2230" s="1768"/>
    </row>
    <row r="2231" spans="1:10" ht="24">
      <c r="A2231" s="1770"/>
      <c r="B2231" s="1771"/>
      <c r="C2231" s="1771">
        <v>35277</v>
      </c>
      <c r="D2231" s="1772" t="s">
        <v>1948</v>
      </c>
      <c r="E2231" s="1773" t="s">
        <v>55</v>
      </c>
      <c r="F2231" s="1790">
        <v>1</v>
      </c>
      <c r="G2231" s="1779">
        <v>421.69</v>
      </c>
      <c r="H2231" s="1775">
        <f>IF(E2231="H",G2231,TRUNC(G2231*(1-$K$7),2))</f>
        <v>419.15</v>
      </c>
      <c r="I2231" s="1776">
        <f t="shared" si="316"/>
        <v>419.15</v>
      </c>
      <c r="J2231" s="1768"/>
    </row>
    <row r="2232" spans="1:10">
      <c r="A2232" s="1917" t="s">
        <v>2408</v>
      </c>
      <c r="B2232" s="1918"/>
      <c r="C2232" s="1918"/>
      <c r="D2232" s="1918"/>
      <c r="E2232" s="1918"/>
      <c r="F2232" s="1918"/>
      <c r="G2232" s="1918"/>
      <c r="H2232" s="1919"/>
      <c r="I2232" s="1778">
        <f>SUM(I2229:I2231)</f>
        <v>443.78</v>
      </c>
      <c r="J2232" s="1768"/>
    </row>
    <row r="2233" spans="1:10">
      <c r="A2233" s="1920"/>
      <c r="B2233" s="1921"/>
      <c r="C2233" s="1921"/>
      <c r="D2233" s="1921"/>
      <c r="E2233" s="1921"/>
      <c r="F2233" s="1921"/>
      <c r="G2233" s="1921"/>
      <c r="H2233" s="1921"/>
      <c r="I2233" s="1922"/>
      <c r="J2233" s="1768"/>
    </row>
    <row r="2234" spans="1:10" ht="31.5" customHeight="1">
      <c r="A2234" s="1757">
        <f>'PLANILHA SEM DESON'!B331</f>
        <v>98110</v>
      </c>
      <c r="B2234" s="1923" t="str">
        <f>VLOOKUP(A2234,'PLANILHA SEM DESON'!$B$17:$D$1699,2,FALSE)</f>
        <v>CAIXA DE GORDURA PEQUENA (CAPACIDADE: 19 L), CIRCULAR, EM PVC, DIÂMETRO INTERNO= 0,3 M. AF_12/2020</v>
      </c>
      <c r="C2234" s="1924"/>
      <c r="D2234" s="1924"/>
      <c r="E2234" s="1924"/>
      <c r="F2234" s="1924"/>
      <c r="G2234" s="1924"/>
      <c r="H2234" s="1925"/>
      <c r="I2234" s="1758" t="str">
        <f>VLOOKUP(A2234,'PLANILHA SEM DESON'!$B$17:$D$1699,3,FALSE)</f>
        <v xml:space="preserve">un </v>
      </c>
      <c r="J2234" s="1759">
        <f>I2240</f>
        <v>433.95</v>
      </c>
    </row>
    <row r="2235" spans="1:10" ht="24">
      <c r="A2235" s="1761" t="s">
        <v>2401</v>
      </c>
      <c r="B2235" s="1762" t="s">
        <v>2402</v>
      </c>
      <c r="C2235" s="1763" t="s">
        <v>2399</v>
      </c>
      <c r="D2235" s="1764" t="s">
        <v>284</v>
      </c>
      <c r="E2235" s="1763" t="s">
        <v>193</v>
      </c>
      <c r="F2235" s="1765" t="s">
        <v>2403</v>
      </c>
      <c r="G2235" s="1763" t="s">
        <v>2404</v>
      </c>
      <c r="H2235" s="1766" t="s">
        <v>2405</v>
      </c>
      <c r="I2235" s="1767" t="s">
        <v>2406</v>
      </c>
      <c r="J2235" s="1768"/>
    </row>
    <row r="2236" spans="1:10" ht="36">
      <c r="A2236" s="1770" t="s">
        <v>2407</v>
      </c>
      <c r="B2236" s="1771" t="s">
        <v>2410</v>
      </c>
      <c r="C2236" s="1771">
        <v>35277</v>
      </c>
      <c r="D2236" s="1772" t="s">
        <v>2729</v>
      </c>
      <c r="E2236" s="1773" t="s">
        <v>2432</v>
      </c>
      <c r="F2236" s="1780">
        <v>1</v>
      </c>
      <c r="G2236" s="1774">
        <v>421.69</v>
      </c>
      <c r="H2236" s="1775">
        <f>IF(E2236="H",G2236,TRUNC(G2236*(1-$K$7),2))</f>
        <v>419.15</v>
      </c>
      <c r="I2236" s="1776">
        <f t="shared" ref="I2236:I2239" si="317">TRUNC(H2236*F2236,2)</f>
        <v>419.15</v>
      </c>
      <c r="J2236" s="1768"/>
    </row>
    <row r="2237" spans="1:10">
      <c r="A2237" s="1770" t="s">
        <v>2407</v>
      </c>
      <c r="B2237" s="1771" t="s">
        <v>7</v>
      </c>
      <c r="C2237" s="1771">
        <v>88309</v>
      </c>
      <c r="D2237" s="1772" t="s">
        <v>103</v>
      </c>
      <c r="E2237" s="1773" t="s">
        <v>387</v>
      </c>
      <c r="F2237" s="1780">
        <v>0.28399999999999997</v>
      </c>
      <c r="G2237" s="1774">
        <v>24.59</v>
      </c>
      <c r="H2237" s="1775">
        <f>IF(E2237="H",G2237,TRUNC(G2237*(1-$K$7),2))</f>
        <v>24.59</v>
      </c>
      <c r="I2237" s="1776">
        <f t="shared" si="317"/>
        <v>6.98</v>
      </c>
      <c r="J2237" s="1768"/>
    </row>
    <row r="2238" spans="1:10">
      <c r="A2238" s="1770" t="s">
        <v>2407</v>
      </c>
      <c r="B2238" s="1771" t="s">
        <v>7</v>
      </c>
      <c r="C2238" s="1771">
        <v>88316</v>
      </c>
      <c r="D2238" s="1772" t="s">
        <v>66</v>
      </c>
      <c r="E2238" s="1773" t="s">
        <v>387</v>
      </c>
      <c r="F2238" s="1780">
        <v>0.22309999999999999</v>
      </c>
      <c r="G2238" s="1774">
        <v>19.45</v>
      </c>
      <c r="H2238" s="1775">
        <f>IF(E2238="H",G2238,TRUNC(G2238*(1-$K$7),2))</f>
        <v>19.45</v>
      </c>
      <c r="I2238" s="1776">
        <f t="shared" si="317"/>
        <v>4.33</v>
      </c>
      <c r="J2238" s="1768"/>
    </row>
    <row r="2239" spans="1:10" ht="36">
      <c r="A2239" s="1770" t="s">
        <v>2407</v>
      </c>
      <c r="B2239" s="1771" t="s">
        <v>7</v>
      </c>
      <c r="C2239" s="1771">
        <v>101618</v>
      </c>
      <c r="D2239" s="1772" t="s">
        <v>2657</v>
      </c>
      <c r="E2239" s="1773" t="s">
        <v>1132</v>
      </c>
      <c r="F2239" s="1780">
        <v>1.41E-2</v>
      </c>
      <c r="G2239" s="1774">
        <v>249.32</v>
      </c>
      <c r="H2239" s="1775">
        <f>IF(E2239="H",G2239,TRUNC(G2239*(1-$K$7),2))</f>
        <v>247.82</v>
      </c>
      <c r="I2239" s="1776">
        <f t="shared" si="317"/>
        <v>3.49</v>
      </c>
      <c r="J2239" s="1768"/>
    </row>
    <row r="2240" spans="1:10">
      <c r="A2240" s="1917" t="s">
        <v>2408</v>
      </c>
      <c r="B2240" s="1918"/>
      <c r="C2240" s="1918"/>
      <c r="D2240" s="1918"/>
      <c r="E2240" s="1918"/>
      <c r="F2240" s="1918"/>
      <c r="G2240" s="1918"/>
      <c r="H2240" s="1919"/>
      <c r="I2240" s="1778">
        <f>SUM(I2236:I2239)</f>
        <v>433.95</v>
      </c>
      <c r="J2240" s="1768"/>
    </row>
    <row r="2241" spans="1:10">
      <c r="A2241" s="1920"/>
      <c r="B2241" s="1921"/>
      <c r="C2241" s="1921"/>
      <c r="D2241" s="1921"/>
      <c r="E2241" s="1921"/>
      <c r="F2241" s="1921"/>
      <c r="G2241" s="1921"/>
      <c r="H2241" s="1921"/>
      <c r="I2241" s="1922"/>
      <c r="J2241" s="1768"/>
    </row>
    <row r="2242" spans="1:10" ht="24" customHeight="1">
      <c r="A2242" s="1757" t="str">
        <f>'PLANILHA SEM DESON'!B332</f>
        <v>COMP HIDR 18</v>
      </c>
      <c r="B2242" s="1923" t="str">
        <f>VLOOKUP(A2242,'PLANILHA SEM DESON'!$B$17:$D$1699,2,FALSE)</f>
        <v>SIFÃO DO TIPO FLEXÍVEL EM PVC  2" -  FORNECIMENTO E INSTALAÇÃO.</v>
      </c>
      <c r="C2242" s="1924"/>
      <c r="D2242" s="1924"/>
      <c r="E2242" s="1924"/>
      <c r="F2242" s="1924"/>
      <c r="G2242" s="1924"/>
      <c r="H2242" s="1925"/>
      <c r="I2242" s="1758" t="str">
        <f>VLOOKUP(A2242,'PLANILHA SEM DESON'!$B$17:$D$1699,3,FALSE)</f>
        <v xml:space="preserve">un </v>
      </c>
      <c r="J2242" s="1759">
        <f>I2248</f>
        <v>50.66</v>
      </c>
    </row>
    <row r="2243" spans="1:10" ht="24">
      <c r="A2243" s="1761" t="s">
        <v>2401</v>
      </c>
      <c r="B2243" s="1762" t="s">
        <v>2402</v>
      </c>
      <c r="C2243" s="1763" t="s">
        <v>2399</v>
      </c>
      <c r="D2243" s="1764" t="s">
        <v>284</v>
      </c>
      <c r="E2243" s="1763" t="s">
        <v>193</v>
      </c>
      <c r="F2243" s="1765" t="s">
        <v>2403</v>
      </c>
      <c r="G2243" s="1763" t="s">
        <v>2404</v>
      </c>
      <c r="H2243" s="1766" t="s">
        <v>2405</v>
      </c>
      <c r="I2243" s="1767" t="s">
        <v>2406</v>
      </c>
      <c r="J2243" s="1768"/>
    </row>
    <row r="2244" spans="1:10" ht="24">
      <c r="A2244" s="1770"/>
      <c r="B2244" s="1771"/>
      <c r="C2244" s="1771" t="s">
        <v>430</v>
      </c>
      <c r="D2244" s="1772" t="s">
        <v>101</v>
      </c>
      <c r="E2244" s="1773" t="s">
        <v>57</v>
      </c>
      <c r="F2244" s="1787">
        <v>0.25</v>
      </c>
      <c r="G2244" s="1781">
        <v>20.16</v>
      </c>
      <c r="H2244" s="1775">
        <f>IF(E2244="H",G2244,TRUNC(G2244*(1-$K$7),2))</f>
        <v>20.16</v>
      </c>
      <c r="I2244" s="1776">
        <f t="shared" ref="I2244:I2247" si="318">TRUNC(H2244*F2244,2)</f>
        <v>5.04</v>
      </c>
      <c r="J2244" s="1768"/>
    </row>
    <row r="2245" spans="1:10" ht="24">
      <c r="A2245" s="1770"/>
      <c r="B2245" s="1771"/>
      <c r="C2245" s="1771" t="s">
        <v>431</v>
      </c>
      <c r="D2245" s="1772" t="s">
        <v>102</v>
      </c>
      <c r="E2245" s="1773" t="s">
        <v>57</v>
      </c>
      <c r="F2245" s="1787">
        <v>0.25</v>
      </c>
      <c r="G2245" s="1781">
        <v>24.64</v>
      </c>
      <c r="H2245" s="1775">
        <f>IF(E2245="H",G2245,TRUNC(G2245*(1-$K$7),2))</f>
        <v>24.64</v>
      </c>
      <c r="I2245" s="1776">
        <f t="shared" si="318"/>
        <v>6.16</v>
      </c>
      <c r="J2245" s="1768"/>
    </row>
    <row r="2246" spans="1:10">
      <c r="A2246" s="1770"/>
      <c r="B2246" s="1771"/>
      <c r="C2246" s="1771">
        <v>3148</v>
      </c>
      <c r="D2246" s="1772" t="s">
        <v>446</v>
      </c>
      <c r="E2246" s="1773" t="s">
        <v>55</v>
      </c>
      <c r="F2246" s="1790">
        <v>0.94</v>
      </c>
      <c r="G2246" s="1779">
        <v>17.989999999999998</v>
      </c>
      <c r="H2246" s="1775">
        <f>IF(E2246="H",G2246,TRUNC(G2246*(1-$K$7),2))</f>
        <v>17.88</v>
      </c>
      <c r="I2246" s="1776">
        <f t="shared" si="318"/>
        <v>16.8</v>
      </c>
      <c r="J2246" s="1768"/>
    </row>
    <row r="2247" spans="1:10">
      <c r="A2247" s="1770"/>
      <c r="B2247" s="1771"/>
      <c r="C2247" s="1771">
        <v>20262</v>
      </c>
      <c r="D2247" s="1772" t="s">
        <v>1942</v>
      </c>
      <c r="E2247" s="1773" t="s">
        <v>55</v>
      </c>
      <c r="F2247" s="1790">
        <v>1</v>
      </c>
      <c r="G2247" s="1779">
        <v>22.8</v>
      </c>
      <c r="H2247" s="1775">
        <f>IF(E2247="H",G2247,TRUNC(G2247*(1-$K$7),2))</f>
        <v>22.66</v>
      </c>
      <c r="I2247" s="1776">
        <f t="shared" si="318"/>
        <v>22.66</v>
      </c>
      <c r="J2247" s="1768"/>
    </row>
    <row r="2248" spans="1:10">
      <c r="A2248" s="1917" t="s">
        <v>2408</v>
      </c>
      <c r="B2248" s="1918"/>
      <c r="C2248" s="1918"/>
      <c r="D2248" s="1918"/>
      <c r="E2248" s="1918"/>
      <c r="F2248" s="1918"/>
      <c r="G2248" s="1918"/>
      <c r="H2248" s="1919"/>
      <c r="I2248" s="1778">
        <f>SUM(I2244:I2247)</f>
        <v>50.66</v>
      </c>
      <c r="J2248" s="1768"/>
    </row>
    <row r="2249" spans="1:10">
      <c r="A2249" s="1920"/>
      <c r="B2249" s="1921"/>
      <c r="C2249" s="1921"/>
      <c r="D2249" s="1921"/>
      <c r="E2249" s="1921"/>
      <c r="F2249" s="1921"/>
      <c r="G2249" s="1921"/>
      <c r="H2249" s="1921"/>
      <c r="I2249" s="1922"/>
      <c r="J2249" s="1768"/>
    </row>
    <row r="2250" spans="1:10">
      <c r="A2250" s="1757">
        <f>'PLANILHA SEM DESON'!B333</f>
        <v>86883</v>
      </c>
      <c r="B2250" s="1923" t="str">
        <f>VLOOKUP(A2250,'PLANILHA SEM DESON'!$B$17:$D$1699,2,FALSE)</f>
        <v>SIFÃO DO TIPO FLEXÍVEL EM PVC 1 X 1.1/2 - FORNECIMENTO E INSTALAÇÃO. AF_01/2020</v>
      </c>
      <c r="C2250" s="1924"/>
      <c r="D2250" s="1924"/>
      <c r="E2250" s="1924"/>
      <c r="F2250" s="1924"/>
      <c r="G2250" s="1924"/>
      <c r="H2250" s="1925"/>
      <c r="I2250" s="1758" t="str">
        <f>VLOOKUP(A2250,'PLANILHA SEM DESON'!$B$17:$D$1699,3,FALSE)</f>
        <v xml:space="preserve">un </v>
      </c>
      <c r="J2250" s="1759">
        <f>I2256</f>
        <v>15.12</v>
      </c>
    </row>
    <row r="2251" spans="1:10" ht="24">
      <c r="A2251" s="1761" t="s">
        <v>2401</v>
      </c>
      <c r="B2251" s="1762" t="s">
        <v>2402</v>
      </c>
      <c r="C2251" s="1763" t="s">
        <v>2399</v>
      </c>
      <c r="D2251" s="1764" t="s">
        <v>284</v>
      </c>
      <c r="E2251" s="1763" t="s">
        <v>193</v>
      </c>
      <c r="F2251" s="1765" t="s">
        <v>2403</v>
      </c>
      <c r="G2251" s="1763" t="s">
        <v>2404</v>
      </c>
      <c r="H2251" s="1766" t="s">
        <v>2405</v>
      </c>
      <c r="I2251" s="1767" t="s">
        <v>2406</v>
      </c>
      <c r="J2251" s="1768"/>
    </row>
    <row r="2252" spans="1:10">
      <c r="A2252" s="1770" t="s">
        <v>2407</v>
      </c>
      <c r="B2252" s="1771" t="s">
        <v>2410</v>
      </c>
      <c r="C2252" s="1771">
        <v>3146</v>
      </c>
      <c r="D2252" s="1772" t="s">
        <v>2679</v>
      </c>
      <c r="E2252" s="1773" t="s">
        <v>2432</v>
      </c>
      <c r="F2252" s="1780">
        <v>3.32E-2</v>
      </c>
      <c r="G2252" s="1774">
        <v>4.88</v>
      </c>
      <c r="H2252" s="1775">
        <f>IF(E2252="H",G2252,TRUNC(G2252*(1-$K$7),2))</f>
        <v>4.8499999999999996</v>
      </c>
      <c r="I2252" s="1776">
        <f t="shared" ref="I2252:I2255" si="319">TRUNC(H2252*F2252,2)</f>
        <v>0.16</v>
      </c>
      <c r="J2252" s="1768"/>
    </row>
    <row r="2253" spans="1:10" ht="36">
      <c r="A2253" s="1770" t="s">
        <v>2407</v>
      </c>
      <c r="B2253" s="1771" t="s">
        <v>2410</v>
      </c>
      <c r="C2253" s="1771">
        <v>44945</v>
      </c>
      <c r="D2253" s="1772" t="s">
        <v>2730</v>
      </c>
      <c r="E2253" s="1773" t="s">
        <v>2442</v>
      </c>
      <c r="F2253" s="1780">
        <v>1</v>
      </c>
      <c r="G2253" s="1774">
        <v>12.45</v>
      </c>
      <c r="H2253" s="1775">
        <f>IF(E2253="H",G2253,TRUNC(G2253*(1-$K$7),2))</f>
        <v>12.37</v>
      </c>
      <c r="I2253" s="1776">
        <f t="shared" si="319"/>
        <v>12.37</v>
      </c>
      <c r="J2253" s="1768"/>
    </row>
    <row r="2254" spans="1:10" ht="24">
      <c r="A2254" s="1770" t="s">
        <v>2407</v>
      </c>
      <c r="B2254" s="1771" t="s">
        <v>7</v>
      </c>
      <c r="C2254" s="1771">
        <v>88267</v>
      </c>
      <c r="D2254" s="1772" t="s">
        <v>102</v>
      </c>
      <c r="E2254" s="1773" t="s">
        <v>387</v>
      </c>
      <c r="F2254" s="1780">
        <v>8.4500000000000006E-2</v>
      </c>
      <c r="G2254" s="1774">
        <v>24.64</v>
      </c>
      <c r="H2254" s="1775">
        <f>IF(E2254="H",G2254,TRUNC(G2254*(1-$K$7),2))</f>
        <v>24.64</v>
      </c>
      <c r="I2254" s="1776">
        <f t="shared" si="319"/>
        <v>2.08</v>
      </c>
      <c r="J2254" s="1768"/>
    </row>
    <row r="2255" spans="1:10">
      <c r="A2255" s="1770" t="s">
        <v>2407</v>
      </c>
      <c r="B2255" s="1771" t="s">
        <v>7</v>
      </c>
      <c r="C2255" s="1771">
        <v>88316</v>
      </c>
      <c r="D2255" s="1772" t="s">
        <v>66</v>
      </c>
      <c r="E2255" s="1773" t="s">
        <v>387</v>
      </c>
      <c r="F2255" s="1780">
        <v>2.6599999999999999E-2</v>
      </c>
      <c r="G2255" s="1774">
        <v>19.45</v>
      </c>
      <c r="H2255" s="1775">
        <f>IF(E2255="H",G2255,TRUNC(G2255*(1-$K$7),2))</f>
        <v>19.45</v>
      </c>
      <c r="I2255" s="1776">
        <f t="shared" si="319"/>
        <v>0.51</v>
      </c>
      <c r="J2255" s="1768"/>
    </row>
    <row r="2256" spans="1:10">
      <c r="A2256" s="1917" t="s">
        <v>2408</v>
      </c>
      <c r="B2256" s="1918"/>
      <c r="C2256" s="1918"/>
      <c r="D2256" s="1918"/>
      <c r="E2256" s="1918"/>
      <c r="F2256" s="1918"/>
      <c r="G2256" s="1918"/>
      <c r="H2256" s="1919"/>
      <c r="I2256" s="1778">
        <f>SUM(I2252:I2255)</f>
        <v>15.12</v>
      </c>
      <c r="J2256" s="1768"/>
    </row>
    <row r="2257" spans="1:10">
      <c r="A2257" s="1920"/>
      <c r="B2257" s="1921"/>
      <c r="C2257" s="1921"/>
      <c r="D2257" s="1921"/>
      <c r="E2257" s="1921"/>
      <c r="F2257" s="1921"/>
      <c r="G2257" s="1921"/>
      <c r="H2257" s="1921"/>
      <c r="I2257" s="1922"/>
      <c r="J2257" s="1768"/>
    </row>
    <row r="2258" spans="1:10" ht="24" customHeight="1">
      <c r="A2258" s="1757" t="str">
        <f>'PLANILHA SEM DESON'!B334</f>
        <v>COMP HIDR 19</v>
      </c>
      <c r="B2258" s="1923" t="str">
        <f>VLOOKUP(A2258,'PLANILHA SEM DESON'!$B$17:$D$1699,2,FALSE)</f>
        <v>BOLSA DE LIGACAO EM PVC FLEXIVEL PARA VASO SANITARIO 1.1/2 " (40 MM)</v>
      </c>
      <c r="C2258" s="1924"/>
      <c r="D2258" s="1924"/>
      <c r="E2258" s="1924"/>
      <c r="F2258" s="1924"/>
      <c r="G2258" s="1924"/>
      <c r="H2258" s="1925"/>
      <c r="I2258" s="1758" t="str">
        <f>VLOOKUP(A2258,'PLANILHA SEM DESON'!$B$17:$D$1699,3,FALSE)</f>
        <v xml:space="preserve">un </v>
      </c>
      <c r="J2258" s="1759">
        <f>I2263</f>
        <v>11.01</v>
      </c>
    </row>
    <row r="2259" spans="1:10" ht="24">
      <c r="A2259" s="1761" t="s">
        <v>2401</v>
      </c>
      <c r="B2259" s="1762" t="s">
        <v>2402</v>
      </c>
      <c r="C2259" s="1763" t="s">
        <v>2399</v>
      </c>
      <c r="D2259" s="1764" t="s">
        <v>284</v>
      </c>
      <c r="E2259" s="1763" t="s">
        <v>193</v>
      </c>
      <c r="F2259" s="1765" t="s">
        <v>2403</v>
      </c>
      <c r="G2259" s="1763" t="s">
        <v>2404</v>
      </c>
      <c r="H2259" s="1766" t="s">
        <v>2405</v>
      </c>
      <c r="I2259" s="1767" t="s">
        <v>2406</v>
      </c>
      <c r="J2259" s="1768"/>
    </row>
    <row r="2260" spans="1:10" ht="24">
      <c r="A2260" s="1770"/>
      <c r="B2260" s="1771"/>
      <c r="C2260" s="1771" t="s">
        <v>430</v>
      </c>
      <c r="D2260" s="1772" t="s">
        <v>101</v>
      </c>
      <c r="E2260" s="1773" t="s">
        <v>57</v>
      </c>
      <c r="F2260" s="1790">
        <v>0.14000000000000001</v>
      </c>
      <c r="G2260" s="1781">
        <v>20.16</v>
      </c>
      <c r="H2260" s="1775">
        <f>IF(E2260="H",G2260,TRUNC(G2260*(1-$K$7),2))</f>
        <v>20.16</v>
      </c>
      <c r="I2260" s="1776">
        <f t="shared" ref="I2260:I2262" si="320">TRUNC(H2260*F2260,2)</f>
        <v>2.82</v>
      </c>
      <c r="J2260" s="1768"/>
    </row>
    <row r="2261" spans="1:10" ht="24">
      <c r="A2261" s="1770"/>
      <c r="B2261" s="1771"/>
      <c r="C2261" s="1771" t="s">
        <v>431</v>
      </c>
      <c r="D2261" s="1772" t="s">
        <v>102</v>
      </c>
      <c r="E2261" s="1773" t="s">
        <v>57</v>
      </c>
      <c r="F2261" s="1790">
        <v>0.14000000000000001</v>
      </c>
      <c r="G2261" s="1781">
        <v>24.64</v>
      </c>
      <c r="H2261" s="1775">
        <f>IF(E2261="H",G2261,TRUNC(G2261*(1-$K$7),2))</f>
        <v>24.64</v>
      </c>
      <c r="I2261" s="1776">
        <f t="shared" si="320"/>
        <v>3.44</v>
      </c>
      <c r="J2261" s="1768"/>
    </row>
    <row r="2262" spans="1:10" ht="24">
      <c r="A2262" s="1770"/>
      <c r="B2262" s="1771"/>
      <c r="C2262" s="1771">
        <v>6140</v>
      </c>
      <c r="D2262" s="1772" t="s">
        <v>1944</v>
      </c>
      <c r="E2262" s="1773" t="s">
        <v>55</v>
      </c>
      <c r="F2262" s="1790">
        <v>1</v>
      </c>
      <c r="G2262" s="1779">
        <v>4.78</v>
      </c>
      <c r="H2262" s="1775">
        <f>IF(E2262="H",G2262,TRUNC(G2262*(1-$K$7),2))</f>
        <v>4.75</v>
      </c>
      <c r="I2262" s="1776">
        <f t="shared" si="320"/>
        <v>4.75</v>
      </c>
      <c r="J2262" s="1768"/>
    </row>
    <row r="2263" spans="1:10">
      <c r="A2263" s="1917" t="s">
        <v>2408</v>
      </c>
      <c r="B2263" s="1918"/>
      <c r="C2263" s="1918"/>
      <c r="D2263" s="1918"/>
      <c r="E2263" s="1918"/>
      <c r="F2263" s="1918"/>
      <c r="G2263" s="1918"/>
      <c r="H2263" s="1919"/>
      <c r="I2263" s="1778">
        <f>SUM(I2260:I2262)</f>
        <v>11.01</v>
      </c>
      <c r="J2263" s="1768"/>
    </row>
    <row r="2264" spans="1:10">
      <c r="A2264" s="1920"/>
      <c r="B2264" s="1921"/>
      <c r="C2264" s="1921"/>
      <c r="D2264" s="1921"/>
      <c r="E2264" s="1921"/>
      <c r="F2264" s="1921"/>
      <c r="G2264" s="1921"/>
      <c r="H2264" s="1921"/>
      <c r="I2264" s="1922"/>
      <c r="J2264" s="1768"/>
    </row>
    <row r="2265" spans="1:10" ht="25.5" customHeight="1">
      <c r="A2265" s="1757">
        <f>'PLANILHA SEM DESON'!B335</f>
        <v>86879</v>
      </c>
      <c r="B2265" s="1923" t="str">
        <f>VLOOKUP(A2265,'PLANILHA SEM DESON'!$B$17:$D$1699,2,FALSE)</f>
        <v>VÁLVULA EM PLÁSTICO 1" PARA PIA, TANQUE OU LAVATÓRIO, COM OU SEM LADRÃO - FORNECIMENTO E INSTALAÇÃO. AF_01/2020</v>
      </c>
      <c r="C2265" s="1924"/>
      <c r="D2265" s="1924"/>
      <c r="E2265" s="1924"/>
      <c r="F2265" s="1924"/>
      <c r="G2265" s="1924"/>
      <c r="H2265" s="1925"/>
      <c r="I2265" s="1758" t="str">
        <f>VLOOKUP(A2265,'PLANILHA SEM DESON'!$B$17:$D$1699,3,FALSE)</f>
        <v xml:space="preserve">un </v>
      </c>
      <c r="J2265" s="1759">
        <f>I2271</f>
        <v>11.209999999999999</v>
      </c>
    </row>
    <row r="2266" spans="1:10" ht="24">
      <c r="A2266" s="1761" t="s">
        <v>2401</v>
      </c>
      <c r="B2266" s="1762" t="s">
        <v>2402</v>
      </c>
      <c r="C2266" s="1763" t="s">
        <v>2399</v>
      </c>
      <c r="D2266" s="1764" t="s">
        <v>284</v>
      </c>
      <c r="E2266" s="1763" t="s">
        <v>193</v>
      </c>
      <c r="F2266" s="1765" t="s">
        <v>2403</v>
      </c>
      <c r="G2266" s="1763" t="s">
        <v>2404</v>
      </c>
      <c r="H2266" s="1766" t="s">
        <v>2405</v>
      </c>
      <c r="I2266" s="1767" t="s">
        <v>2406</v>
      </c>
      <c r="J2266" s="1768"/>
    </row>
    <row r="2267" spans="1:10">
      <c r="A2267" s="1770" t="s">
        <v>2407</v>
      </c>
      <c r="B2267" s="1771" t="s">
        <v>2410</v>
      </c>
      <c r="C2267" s="1771">
        <v>3146</v>
      </c>
      <c r="D2267" s="1772" t="s">
        <v>2679</v>
      </c>
      <c r="E2267" s="1773" t="s">
        <v>2432</v>
      </c>
      <c r="F2267" s="1780">
        <v>3.32E-2</v>
      </c>
      <c r="G2267" s="1774">
        <v>4.88</v>
      </c>
      <c r="H2267" s="1775">
        <f>IF(E2267="H",G2267,TRUNC(G2267*(1-$K$7),2))</f>
        <v>4.8499999999999996</v>
      </c>
      <c r="I2267" s="1776">
        <f t="shared" ref="I2267:I2270" si="321">TRUNC(H2267*F2267,2)</f>
        <v>0.16</v>
      </c>
      <c r="J2267" s="1768"/>
    </row>
    <row r="2268" spans="1:10" ht="24">
      <c r="A2268" s="1770" t="s">
        <v>2407</v>
      </c>
      <c r="B2268" s="1771" t="s">
        <v>2410</v>
      </c>
      <c r="C2268" s="1771">
        <v>6153</v>
      </c>
      <c r="D2268" s="1772" t="s">
        <v>2731</v>
      </c>
      <c r="E2268" s="1773" t="s">
        <v>2432</v>
      </c>
      <c r="F2268" s="1780">
        <v>1</v>
      </c>
      <c r="G2268" s="1774">
        <v>7.32</v>
      </c>
      <c r="H2268" s="1775">
        <f>IF(E2268="H",G2268,TRUNC(G2268*(1-$K$7),2))</f>
        <v>7.27</v>
      </c>
      <c r="I2268" s="1776">
        <f t="shared" si="321"/>
        <v>7.27</v>
      </c>
      <c r="J2268" s="1768"/>
    </row>
    <row r="2269" spans="1:10" ht="24">
      <c r="A2269" s="1770" t="s">
        <v>2407</v>
      </c>
      <c r="B2269" s="1771" t="s">
        <v>7</v>
      </c>
      <c r="C2269" s="1771">
        <v>88267</v>
      </c>
      <c r="D2269" s="1772" t="s">
        <v>102</v>
      </c>
      <c r="E2269" s="1773" t="s">
        <v>387</v>
      </c>
      <c r="F2269" s="1780">
        <v>0.1232</v>
      </c>
      <c r="G2269" s="1774">
        <v>24.64</v>
      </c>
      <c r="H2269" s="1775">
        <f>IF(E2269="H",G2269,TRUNC(G2269*(1-$K$7),2))</f>
        <v>24.64</v>
      </c>
      <c r="I2269" s="1776">
        <f t="shared" si="321"/>
        <v>3.03</v>
      </c>
      <c r="J2269" s="1768"/>
    </row>
    <row r="2270" spans="1:10">
      <c r="A2270" s="1770" t="s">
        <v>2407</v>
      </c>
      <c r="B2270" s="1771" t="s">
        <v>7</v>
      </c>
      <c r="C2270" s="1771">
        <v>88316</v>
      </c>
      <c r="D2270" s="1772" t="s">
        <v>66</v>
      </c>
      <c r="E2270" s="1773" t="s">
        <v>387</v>
      </c>
      <c r="F2270" s="1780">
        <v>3.8800000000000001E-2</v>
      </c>
      <c r="G2270" s="1774">
        <v>19.45</v>
      </c>
      <c r="H2270" s="1775">
        <f>IF(E2270="H",G2270,TRUNC(G2270*(1-$K$7),2))</f>
        <v>19.45</v>
      </c>
      <c r="I2270" s="1776">
        <f t="shared" si="321"/>
        <v>0.75</v>
      </c>
      <c r="J2270" s="1768"/>
    </row>
    <row r="2271" spans="1:10">
      <c r="A2271" s="1917" t="s">
        <v>2408</v>
      </c>
      <c r="B2271" s="1918"/>
      <c r="C2271" s="1918"/>
      <c r="D2271" s="1918"/>
      <c r="E2271" s="1918"/>
      <c r="F2271" s="1918"/>
      <c r="G2271" s="1918"/>
      <c r="H2271" s="1919"/>
      <c r="I2271" s="1778">
        <f>SUM(I2267:I2270)</f>
        <v>11.209999999999999</v>
      </c>
      <c r="J2271" s="1768"/>
    </row>
    <row r="2272" spans="1:10">
      <c r="A2272" s="1920"/>
      <c r="B2272" s="1921"/>
      <c r="C2272" s="1921"/>
      <c r="D2272" s="1921"/>
      <c r="E2272" s="1921"/>
      <c r="F2272" s="1921"/>
      <c r="G2272" s="1921"/>
      <c r="H2272" s="1921"/>
      <c r="I2272" s="1922"/>
      <c r="J2272" s="1768"/>
    </row>
    <row r="2273" spans="1:10">
      <c r="A2273" s="1757">
        <f>'PLANILHA SEM DESON'!B339</f>
        <v>96522</v>
      </c>
      <c r="B2273" s="1923" t="str">
        <f>VLOOKUP(A2273,'PLANILHA SEM DESON'!$B$17:$D$1699,2,FALSE)</f>
        <v>ESCAVAÇÃO MANUAL PARA BLOCO DE COROAMENTO OU SAPATA, SEM PREVISÃO DE FÔRMA. AF_06/2017</v>
      </c>
      <c r="C2273" s="1924"/>
      <c r="D2273" s="1924"/>
      <c r="E2273" s="1924"/>
      <c r="F2273" s="1924"/>
      <c r="G2273" s="1924"/>
      <c r="H2273" s="1925"/>
      <c r="I2273" s="1758" t="str">
        <f>VLOOKUP(A2273,'PLANILHA SEM DESON'!$B$17:$D$1699,3,FALSE)</f>
        <v>m³</v>
      </c>
      <c r="J2273" s="1759">
        <f>I2277</f>
        <v>138.69999999999999</v>
      </c>
    </row>
    <row r="2274" spans="1:10" ht="24">
      <c r="A2274" s="1761" t="s">
        <v>2401</v>
      </c>
      <c r="B2274" s="1762" t="s">
        <v>2402</v>
      </c>
      <c r="C2274" s="1763" t="s">
        <v>2399</v>
      </c>
      <c r="D2274" s="1764" t="s">
        <v>284</v>
      </c>
      <c r="E2274" s="1763" t="s">
        <v>193</v>
      </c>
      <c r="F2274" s="1765" t="s">
        <v>2403</v>
      </c>
      <c r="G2274" s="1763" t="s">
        <v>2404</v>
      </c>
      <c r="H2274" s="1766" t="s">
        <v>2405</v>
      </c>
      <c r="I2274" s="1767" t="s">
        <v>2406</v>
      </c>
      <c r="J2274" s="1768"/>
    </row>
    <row r="2275" spans="1:10">
      <c r="A2275" s="1770" t="s">
        <v>2407</v>
      </c>
      <c r="B2275" s="1771" t="s">
        <v>7</v>
      </c>
      <c r="C2275" s="1771">
        <v>88309</v>
      </c>
      <c r="D2275" s="1772" t="s">
        <v>103</v>
      </c>
      <c r="E2275" s="1773" t="s">
        <v>387</v>
      </c>
      <c r="F2275" s="1780">
        <v>2.3610000000000002</v>
      </c>
      <c r="G2275" s="1774">
        <v>24.59</v>
      </c>
      <c r="H2275" s="1775">
        <f>IF(E2275="H",G2275,TRUNC(G2275*(1-$K$7),2))</f>
        <v>24.59</v>
      </c>
      <c r="I2275" s="1776">
        <f t="shared" ref="I2275:I2276" si="322">TRUNC(H2275*F2275,2)</f>
        <v>58.05</v>
      </c>
      <c r="J2275" s="1768"/>
    </row>
    <row r="2276" spans="1:10">
      <c r="A2276" s="1770" t="s">
        <v>2407</v>
      </c>
      <c r="B2276" s="1771" t="s">
        <v>7</v>
      </c>
      <c r="C2276" s="1771">
        <v>88316</v>
      </c>
      <c r="D2276" s="1772" t="s">
        <v>66</v>
      </c>
      <c r="E2276" s="1773" t="s">
        <v>387</v>
      </c>
      <c r="F2276" s="1780">
        <v>4.1470000000000002</v>
      </c>
      <c r="G2276" s="1774">
        <v>19.45</v>
      </c>
      <c r="H2276" s="1775">
        <f>IF(E2276="H",G2276,TRUNC(G2276*(1-$K$7),2))</f>
        <v>19.45</v>
      </c>
      <c r="I2276" s="1776">
        <f t="shared" si="322"/>
        <v>80.650000000000006</v>
      </c>
      <c r="J2276" s="1768"/>
    </row>
    <row r="2277" spans="1:10">
      <c r="A2277" s="1917" t="s">
        <v>2408</v>
      </c>
      <c r="B2277" s="1918"/>
      <c r="C2277" s="1918"/>
      <c r="D2277" s="1918"/>
      <c r="E2277" s="1918"/>
      <c r="F2277" s="1918"/>
      <c r="G2277" s="1918"/>
      <c r="H2277" s="1919"/>
      <c r="I2277" s="1778">
        <f>SUM(I2275:I2276)</f>
        <v>138.69999999999999</v>
      </c>
      <c r="J2277" s="1768"/>
    </row>
    <row r="2278" spans="1:10">
      <c r="A2278" s="1920"/>
      <c r="B2278" s="1921"/>
      <c r="C2278" s="1921"/>
      <c r="D2278" s="1921"/>
      <c r="E2278" s="1921"/>
      <c r="F2278" s="1921"/>
      <c r="G2278" s="1921"/>
      <c r="H2278" s="1921"/>
      <c r="I2278" s="1922"/>
      <c r="J2278" s="1768"/>
    </row>
    <row r="2279" spans="1:10" ht="25.5" customHeight="1">
      <c r="A2279" s="1757">
        <f>'PLANILHA SEM DESON'!B340</f>
        <v>100323</v>
      </c>
      <c r="B2279" s="1923" t="str">
        <f>VLOOKUP(A2279,'PLANILHA SEM DESON'!$B$17:$D$1699,2,FALSE)</f>
        <v>LASTRO COM MATERIAL GRANULAR (AREIA MÉDIA), APLICADO EM PISOS OU LAJES SOBRE SOLO, ESPESSURA DE *10 CM*. AF_07/2019</v>
      </c>
      <c r="C2279" s="1924"/>
      <c r="D2279" s="1924"/>
      <c r="E2279" s="1924"/>
      <c r="F2279" s="1924"/>
      <c r="G2279" s="1924"/>
      <c r="H2279" s="1925"/>
      <c r="I2279" s="1758" t="str">
        <f>VLOOKUP(A2279,'PLANILHA SEM DESON'!$B$17:$D$1699,3,FALSE)</f>
        <v>m³</v>
      </c>
      <c r="J2279" s="1759">
        <f>I2286</f>
        <v>172.65999999999997</v>
      </c>
    </row>
    <row r="2280" spans="1:10" ht="24">
      <c r="A2280" s="1761" t="s">
        <v>2401</v>
      </c>
      <c r="B2280" s="1762" t="s">
        <v>2402</v>
      </c>
      <c r="C2280" s="1763" t="s">
        <v>2399</v>
      </c>
      <c r="D2280" s="1764" t="s">
        <v>284</v>
      </c>
      <c r="E2280" s="1763" t="s">
        <v>193</v>
      </c>
      <c r="F2280" s="1765" t="s">
        <v>2403</v>
      </c>
      <c r="G2280" s="1763" t="s">
        <v>2404</v>
      </c>
      <c r="H2280" s="1766" t="s">
        <v>2405</v>
      </c>
      <c r="I2280" s="1767" t="s">
        <v>2406</v>
      </c>
      <c r="J2280" s="1768"/>
    </row>
    <row r="2281" spans="1:10" ht="24">
      <c r="A2281" s="1770" t="s">
        <v>2407</v>
      </c>
      <c r="B2281" s="1771" t="s">
        <v>2410</v>
      </c>
      <c r="C2281" s="1771">
        <v>370</v>
      </c>
      <c r="D2281" s="1772" t="s">
        <v>2550</v>
      </c>
      <c r="E2281" s="1773" t="s">
        <v>1132</v>
      </c>
      <c r="F2281" s="1780">
        <v>1.1299999999999999</v>
      </c>
      <c r="G2281" s="1774">
        <v>125</v>
      </c>
      <c r="H2281" s="1775">
        <f>IF(E2281="H",G2281,TRUNC(G2281*(1-$K$7),2))</f>
        <v>124.25</v>
      </c>
      <c r="I2281" s="1776">
        <f t="shared" ref="I2281:I2285" si="323">TRUNC(H2281*F2281,2)</f>
        <v>140.4</v>
      </c>
      <c r="J2281" s="1768"/>
    </row>
    <row r="2282" spans="1:10">
      <c r="A2282" s="1770" t="s">
        <v>2407</v>
      </c>
      <c r="B2282" s="1771" t="s">
        <v>7</v>
      </c>
      <c r="C2282" s="1771">
        <v>88309</v>
      </c>
      <c r="D2282" s="1772" t="s">
        <v>103</v>
      </c>
      <c r="E2282" s="1773" t="s">
        <v>387</v>
      </c>
      <c r="F2282" s="1780">
        <v>1.03</v>
      </c>
      <c r="G2282" s="1774">
        <v>24.59</v>
      </c>
      <c r="H2282" s="1775">
        <f>IF(E2282="H",G2282,TRUNC(G2282*(1-$K$7),2))</f>
        <v>24.59</v>
      </c>
      <c r="I2282" s="1776">
        <f t="shared" si="323"/>
        <v>25.32</v>
      </c>
      <c r="J2282" s="1768"/>
    </row>
    <row r="2283" spans="1:10">
      <c r="A2283" s="1770" t="s">
        <v>2407</v>
      </c>
      <c r="B2283" s="1771" t="s">
        <v>7</v>
      </c>
      <c r="C2283" s="1771">
        <v>88316</v>
      </c>
      <c r="D2283" s="1772" t="s">
        <v>66</v>
      </c>
      <c r="E2283" s="1773" t="s">
        <v>387</v>
      </c>
      <c r="F2283" s="1780">
        <v>0.34300000000000003</v>
      </c>
      <c r="G2283" s="1774">
        <v>19.45</v>
      </c>
      <c r="H2283" s="1775">
        <f>IF(E2283="H",G2283,TRUNC(G2283*(1-$K$7),2))</f>
        <v>19.45</v>
      </c>
      <c r="I2283" s="1776">
        <f t="shared" si="323"/>
        <v>6.67</v>
      </c>
      <c r="J2283" s="1768"/>
    </row>
    <row r="2284" spans="1:10" ht="36">
      <c r="A2284" s="1770" t="s">
        <v>2407</v>
      </c>
      <c r="B2284" s="1771" t="s">
        <v>7</v>
      </c>
      <c r="C2284" s="1771">
        <v>91277</v>
      </c>
      <c r="D2284" s="1772" t="s">
        <v>2732</v>
      </c>
      <c r="E2284" s="1773" t="s">
        <v>425</v>
      </c>
      <c r="F2284" s="1780">
        <v>3.2000000000000001E-2</v>
      </c>
      <c r="G2284" s="1774">
        <v>8.18</v>
      </c>
      <c r="H2284" s="1775">
        <f>IF(E2284="H",G2284,TRUNC(G2284*(1-$K$7),2))</f>
        <v>8.1300000000000008</v>
      </c>
      <c r="I2284" s="1776">
        <f t="shared" si="323"/>
        <v>0.26</v>
      </c>
      <c r="J2284" s="1768"/>
    </row>
    <row r="2285" spans="1:10" ht="36">
      <c r="A2285" s="1770" t="s">
        <v>2407</v>
      </c>
      <c r="B2285" s="1771" t="s">
        <v>7</v>
      </c>
      <c r="C2285" s="1771">
        <v>91278</v>
      </c>
      <c r="D2285" s="1772" t="s">
        <v>2733</v>
      </c>
      <c r="E2285" s="1773" t="s">
        <v>545</v>
      </c>
      <c r="F2285" s="1780">
        <v>0.03</v>
      </c>
      <c r="G2285" s="1774">
        <v>0.57999999999999996</v>
      </c>
      <c r="H2285" s="1775">
        <f>IF(E2285="H",G2285,TRUNC(G2285*(1-$K$7),2))</f>
        <v>0.56999999999999995</v>
      </c>
      <c r="I2285" s="1776">
        <f t="shared" si="323"/>
        <v>0.01</v>
      </c>
      <c r="J2285" s="1768"/>
    </row>
    <row r="2286" spans="1:10">
      <c r="A2286" s="1917" t="s">
        <v>2408</v>
      </c>
      <c r="B2286" s="1918"/>
      <c r="C2286" s="1918"/>
      <c r="D2286" s="1918"/>
      <c r="E2286" s="1918"/>
      <c r="F2286" s="1918"/>
      <c r="G2286" s="1918"/>
      <c r="H2286" s="1919"/>
      <c r="I2286" s="1778">
        <f>SUM(I2281:I2285)</f>
        <v>172.65999999999997</v>
      </c>
      <c r="J2286" s="1768"/>
    </row>
    <row r="2287" spans="1:10">
      <c r="A2287" s="1920"/>
      <c r="B2287" s="1921"/>
      <c r="C2287" s="1921"/>
      <c r="D2287" s="1921"/>
      <c r="E2287" s="1921"/>
      <c r="F2287" s="1921"/>
      <c r="G2287" s="1921"/>
      <c r="H2287" s="1921"/>
      <c r="I2287" s="1922"/>
      <c r="J2287" s="1768"/>
    </row>
    <row r="2288" spans="1:10" ht="25.5" customHeight="1">
      <c r="A2288" s="1757">
        <f>'PLANILHA SEM DESON'!B341</f>
        <v>101159</v>
      </c>
      <c r="B2288" s="1923" t="str">
        <f>VLOOKUP(A2288,'PLANILHA SEM DESON'!$B$17:$D$1699,2,FALSE)</f>
        <v>ALVENARIA DE VEDAÇÃO DE BLOCOS CERÂMICOS MACIÇOS DE 5X10X20CM (ESPESSURA 10CM) E ARGAMASSA DE ASSENTAMENTO COM PREPARO EM BETONEIRA. AF_05/2020</v>
      </c>
      <c r="C2288" s="1924"/>
      <c r="D2288" s="1924"/>
      <c r="E2288" s="1924"/>
      <c r="F2288" s="1924"/>
      <c r="G2288" s="1924"/>
      <c r="H2288" s="1925"/>
      <c r="I2288" s="1758" t="str">
        <f>VLOOKUP(A2288,'PLANILHA SEM DESON'!$B$17:$D$1699,3,FALSE)</f>
        <v>m²</v>
      </c>
      <c r="J2288" s="1759">
        <f>I2294</f>
        <v>149.5</v>
      </c>
    </row>
    <row r="2289" spans="1:10" ht="24">
      <c r="A2289" s="1761" t="s">
        <v>2401</v>
      </c>
      <c r="B2289" s="1762" t="s">
        <v>2402</v>
      </c>
      <c r="C2289" s="1763" t="s">
        <v>2399</v>
      </c>
      <c r="D2289" s="1764" t="s">
        <v>284</v>
      </c>
      <c r="E2289" s="1763" t="s">
        <v>193</v>
      </c>
      <c r="F2289" s="1765" t="s">
        <v>2403</v>
      </c>
      <c r="G2289" s="1763" t="s">
        <v>2404</v>
      </c>
      <c r="H2289" s="1766" t="s">
        <v>2405</v>
      </c>
      <c r="I2289" s="1767" t="s">
        <v>2406</v>
      </c>
      <c r="J2289" s="1768"/>
    </row>
    <row r="2290" spans="1:10" ht="24">
      <c r="A2290" s="1770" t="s">
        <v>2407</v>
      </c>
      <c r="B2290" s="1771" t="s">
        <v>2410</v>
      </c>
      <c r="C2290" s="1771">
        <v>7258</v>
      </c>
      <c r="D2290" s="1772" t="s">
        <v>2734</v>
      </c>
      <c r="E2290" s="1773" t="s">
        <v>2432</v>
      </c>
      <c r="F2290" s="1780">
        <v>73.489999999999995</v>
      </c>
      <c r="G2290" s="1774">
        <v>0.92</v>
      </c>
      <c r="H2290" s="1775">
        <f>IF(E2290="H",G2290,TRUNC(G2290*(1-$K$7),2))</f>
        <v>0.91</v>
      </c>
      <c r="I2290" s="1776">
        <f t="shared" ref="I2290:I2293" si="324">TRUNC(H2290*F2290,2)</f>
        <v>66.87</v>
      </c>
      <c r="J2290" s="1768"/>
    </row>
    <row r="2291" spans="1:10" ht="60">
      <c r="A2291" s="1770" t="s">
        <v>2407</v>
      </c>
      <c r="B2291" s="1771" t="s">
        <v>7</v>
      </c>
      <c r="C2291" s="1771">
        <v>87292</v>
      </c>
      <c r="D2291" s="1772" t="s">
        <v>2579</v>
      </c>
      <c r="E2291" s="1773" t="s">
        <v>1132</v>
      </c>
      <c r="F2291" s="1780">
        <v>2.8000000000000001E-2</v>
      </c>
      <c r="G2291" s="1774">
        <v>578.16</v>
      </c>
      <c r="H2291" s="1775">
        <f>IF(E2291="H",G2291,TRUNC(G2291*(1-$K$7),2))</f>
        <v>574.69000000000005</v>
      </c>
      <c r="I2291" s="1776">
        <f t="shared" si="324"/>
        <v>16.09</v>
      </c>
      <c r="J2291" s="1768"/>
    </row>
    <row r="2292" spans="1:10">
      <c r="A2292" s="1770" t="s">
        <v>2407</v>
      </c>
      <c r="B2292" s="1771" t="s">
        <v>7</v>
      </c>
      <c r="C2292" s="1771">
        <v>88309</v>
      </c>
      <c r="D2292" s="1772" t="s">
        <v>103</v>
      </c>
      <c r="E2292" s="1773" t="s">
        <v>387</v>
      </c>
      <c r="F2292" s="1780">
        <v>1.9390000000000001</v>
      </c>
      <c r="G2292" s="1774">
        <v>24.59</v>
      </c>
      <c r="H2292" s="1775">
        <f>IF(E2292="H",G2292,TRUNC(G2292*(1-$K$7),2))</f>
        <v>24.59</v>
      </c>
      <c r="I2292" s="1776">
        <f t="shared" si="324"/>
        <v>47.68</v>
      </c>
      <c r="J2292" s="1768"/>
    </row>
    <row r="2293" spans="1:10">
      <c r="A2293" s="1770" t="s">
        <v>2407</v>
      </c>
      <c r="B2293" s="1771" t="s">
        <v>7</v>
      </c>
      <c r="C2293" s="1771">
        <v>88316</v>
      </c>
      <c r="D2293" s="1772" t="s">
        <v>66</v>
      </c>
      <c r="E2293" s="1773" t="s">
        <v>387</v>
      </c>
      <c r="F2293" s="1780">
        <v>0.97</v>
      </c>
      <c r="G2293" s="1774">
        <v>19.45</v>
      </c>
      <c r="H2293" s="1775">
        <f>IF(E2293="H",G2293,TRUNC(G2293*(1-$K$7),2))</f>
        <v>19.45</v>
      </c>
      <c r="I2293" s="1776">
        <f t="shared" si="324"/>
        <v>18.86</v>
      </c>
      <c r="J2293" s="1768"/>
    </row>
    <row r="2294" spans="1:10">
      <c r="A2294" s="1917" t="s">
        <v>2408</v>
      </c>
      <c r="B2294" s="1918"/>
      <c r="C2294" s="1918"/>
      <c r="D2294" s="1918"/>
      <c r="E2294" s="1918"/>
      <c r="F2294" s="1918"/>
      <c r="G2294" s="1918"/>
      <c r="H2294" s="1919"/>
      <c r="I2294" s="1778">
        <f>SUM(I2290:I2293)</f>
        <v>149.5</v>
      </c>
      <c r="J2294" s="1768"/>
    </row>
    <row r="2295" spans="1:10">
      <c r="A2295" s="1920"/>
      <c r="B2295" s="1921"/>
      <c r="C2295" s="1921"/>
      <c r="D2295" s="1921"/>
      <c r="E2295" s="1921"/>
      <c r="F2295" s="1921"/>
      <c r="G2295" s="1921"/>
      <c r="H2295" s="1921"/>
      <c r="I2295" s="1922"/>
      <c r="J2295" s="1768"/>
    </row>
    <row r="2296" spans="1:10" ht="23.25" customHeight="1">
      <c r="A2296" s="1757">
        <f>'PLANILHA SEM DESON'!B345</f>
        <v>87893</v>
      </c>
      <c r="B2296" s="1923" t="str">
        <f>VLOOKUP(A2296,'PLANILHA SEM DESON'!$B$17:$D$1699,2,FALSE)</f>
        <v>CHAPISCO APLICADO EM ALVENARIA (SEM PRESENÇA DE VÃOS) E ESTRUTURAS DE CONCRETO DE FACHADA, COM COLHER DE PEDREIRO. ARGAMASSA TRAÇO 1:3 COM PREPARO MANUAL. AF_06/2014</v>
      </c>
      <c r="C2296" s="1924"/>
      <c r="D2296" s="1924"/>
      <c r="E2296" s="1924"/>
      <c r="F2296" s="1924"/>
      <c r="G2296" s="1924"/>
      <c r="H2296" s="1925"/>
      <c r="I2296" s="1758" t="str">
        <f>VLOOKUP(A2296,'PLANILHA SEM DESON'!$B$17:$D$1699,3,FALSE)</f>
        <v>m²</v>
      </c>
      <c r="J2296" s="1759">
        <f>I2301</f>
        <v>7</v>
      </c>
    </row>
    <row r="2297" spans="1:10" ht="24">
      <c r="A2297" s="1761" t="s">
        <v>2401</v>
      </c>
      <c r="B2297" s="1762" t="s">
        <v>2402</v>
      </c>
      <c r="C2297" s="1763" t="s">
        <v>2399</v>
      </c>
      <c r="D2297" s="1764" t="s">
        <v>284</v>
      </c>
      <c r="E2297" s="1763" t="s">
        <v>193</v>
      </c>
      <c r="F2297" s="1765" t="s">
        <v>2403</v>
      </c>
      <c r="G2297" s="1763" t="s">
        <v>2404</v>
      </c>
      <c r="H2297" s="1766" t="s">
        <v>2405</v>
      </c>
      <c r="I2297" s="1767" t="s">
        <v>2406</v>
      </c>
      <c r="J2297" s="1768"/>
    </row>
    <row r="2298" spans="1:10" ht="36">
      <c r="A2298" s="1770" t="s">
        <v>2407</v>
      </c>
      <c r="B2298" s="1771" t="s">
        <v>7</v>
      </c>
      <c r="C2298" s="1771">
        <v>87377</v>
      </c>
      <c r="D2298" s="1772" t="s">
        <v>2592</v>
      </c>
      <c r="E2298" s="1773" t="s">
        <v>1132</v>
      </c>
      <c r="F2298" s="1780">
        <v>3.7000000000000002E-3</v>
      </c>
      <c r="G2298" s="1774">
        <v>730.63</v>
      </c>
      <c r="H2298" s="1775">
        <f>IF(E2298="H",G2298,TRUNC(G2298*(1-$K$7),2))</f>
        <v>726.24</v>
      </c>
      <c r="I2298" s="1776">
        <f t="shared" ref="I2298:I2300" si="325">TRUNC(H2298*F2298,2)</f>
        <v>2.68</v>
      </c>
      <c r="J2298" s="1768"/>
    </row>
    <row r="2299" spans="1:10">
      <c r="A2299" s="1770" t="s">
        <v>2407</v>
      </c>
      <c r="B2299" s="1771" t="s">
        <v>7</v>
      </c>
      <c r="C2299" s="1771">
        <v>88309</v>
      </c>
      <c r="D2299" s="1772" t="s">
        <v>103</v>
      </c>
      <c r="E2299" s="1773" t="s">
        <v>387</v>
      </c>
      <c r="F2299" s="1780">
        <v>0.1394</v>
      </c>
      <c r="G2299" s="1774">
        <v>24.59</v>
      </c>
      <c r="H2299" s="1775">
        <f>IF(E2299="H",G2299,TRUNC(G2299*(1-$K$7),2))</f>
        <v>24.59</v>
      </c>
      <c r="I2299" s="1776">
        <f t="shared" si="325"/>
        <v>3.42</v>
      </c>
      <c r="J2299" s="1768"/>
    </row>
    <row r="2300" spans="1:10">
      <c r="A2300" s="1770" t="s">
        <v>2407</v>
      </c>
      <c r="B2300" s="1771" t="s">
        <v>7</v>
      </c>
      <c r="C2300" s="1771">
        <v>88316</v>
      </c>
      <c r="D2300" s="1772" t="s">
        <v>66</v>
      </c>
      <c r="E2300" s="1773" t="s">
        <v>387</v>
      </c>
      <c r="F2300" s="1780">
        <v>4.65E-2</v>
      </c>
      <c r="G2300" s="1774">
        <v>19.45</v>
      </c>
      <c r="H2300" s="1775">
        <f>IF(E2300="H",G2300,TRUNC(G2300*(1-$K$7),2))</f>
        <v>19.45</v>
      </c>
      <c r="I2300" s="1776">
        <f t="shared" si="325"/>
        <v>0.9</v>
      </c>
      <c r="J2300" s="1768"/>
    </row>
    <row r="2301" spans="1:10">
      <c r="A2301" s="1917" t="s">
        <v>2408</v>
      </c>
      <c r="B2301" s="1918"/>
      <c r="C2301" s="1918"/>
      <c r="D2301" s="1918"/>
      <c r="E2301" s="1918"/>
      <c r="F2301" s="1918"/>
      <c r="G2301" s="1918"/>
      <c r="H2301" s="1919"/>
      <c r="I2301" s="1778">
        <f>SUM(I2298:I2300)</f>
        <v>7</v>
      </c>
      <c r="J2301" s="1768"/>
    </row>
    <row r="2302" spans="1:10">
      <c r="A2302" s="1920"/>
      <c r="B2302" s="1921"/>
      <c r="C2302" s="1921"/>
      <c r="D2302" s="1921"/>
      <c r="E2302" s="1921"/>
      <c r="F2302" s="1921"/>
      <c r="G2302" s="1921"/>
      <c r="H2302" s="1921"/>
      <c r="I2302" s="1922"/>
      <c r="J2302" s="1768"/>
    </row>
    <row r="2303" spans="1:10" ht="24.75" customHeight="1">
      <c r="A2303" s="1757">
        <f>'PLANILHA SEM DESON'!B346</f>
        <v>97086</v>
      </c>
      <c r="B2303" s="1923" t="str">
        <f>VLOOKUP(A2303,'PLANILHA SEM DESON'!$B$17:$D$1699,2,FALSE)</f>
        <v>FABRICAÇÃO, MONTAGEM E DESMONTAGEM DE FORMA PARA RADIER, PISO DE CONCRETO OU LAJE SOBRE SOLO, EM MADEIRA SERRADA, 4 UTILIZAÇÕES. AF_09/2021</v>
      </c>
      <c r="C2303" s="1924"/>
      <c r="D2303" s="1924"/>
      <c r="E2303" s="1924"/>
      <c r="F2303" s="1924"/>
      <c r="G2303" s="1924"/>
      <c r="H2303" s="1925"/>
      <c r="I2303" s="1758" t="str">
        <f>VLOOKUP(A2303,'PLANILHA SEM DESON'!$B$17:$D$1699,3,FALSE)</f>
        <v>m²</v>
      </c>
      <c r="J2303" s="1759">
        <f>I2312</f>
        <v>120.33000000000001</v>
      </c>
    </row>
    <row r="2304" spans="1:10" ht="24">
      <c r="A2304" s="1761" t="s">
        <v>2401</v>
      </c>
      <c r="B2304" s="1762" t="s">
        <v>2402</v>
      </c>
      <c r="C2304" s="1763" t="s">
        <v>2399</v>
      </c>
      <c r="D2304" s="1764" t="s">
        <v>284</v>
      </c>
      <c r="E2304" s="1763" t="s">
        <v>193</v>
      </c>
      <c r="F2304" s="1765" t="s">
        <v>2403</v>
      </c>
      <c r="G2304" s="1763" t="s">
        <v>2404</v>
      </c>
      <c r="H2304" s="1766" t="s">
        <v>2405</v>
      </c>
      <c r="I2304" s="1767" t="s">
        <v>2406</v>
      </c>
      <c r="J2304" s="1768"/>
    </row>
    <row r="2305" spans="1:10" ht="24">
      <c r="A2305" s="1770" t="s">
        <v>2407</v>
      </c>
      <c r="B2305" s="1771" t="s">
        <v>2410</v>
      </c>
      <c r="C2305" s="1771">
        <v>2692</v>
      </c>
      <c r="D2305" s="1772" t="s">
        <v>1679</v>
      </c>
      <c r="E2305" s="1773" t="s">
        <v>424</v>
      </c>
      <c r="F2305" s="1780">
        <v>1.7000000000000001E-2</v>
      </c>
      <c r="G2305" s="1774">
        <v>8.84</v>
      </c>
      <c r="H2305" s="1775">
        <f t="shared" ref="H2305:H2311" si="326">IF(E2305="H",G2305,TRUNC(G2305*(1-$K$7),2))</f>
        <v>8.7799999999999994</v>
      </c>
      <c r="I2305" s="1776">
        <f t="shared" ref="I2305:I2311" si="327">TRUNC(H2305*F2305,2)</f>
        <v>0.14000000000000001</v>
      </c>
      <c r="J2305" s="1768"/>
    </row>
    <row r="2306" spans="1:10" ht="24">
      <c r="A2306" s="1770" t="s">
        <v>2407</v>
      </c>
      <c r="B2306" s="1771" t="s">
        <v>2410</v>
      </c>
      <c r="C2306" s="1771">
        <v>4491</v>
      </c>
      <c r="D2306" s="1772" t="s">
        <v>1390</v>
      </c>
      <c r="E2306" s="1773" t="s">
        <v>158</v>
      </c>
      <c r="F2306" s="1780">
        <v>0.37</v>
      </c>
      <c r="G2306" s="1774">
        <v>11.67</v>
      </c>
      <c r="H2306" s="1775">
        <f t="shared" si="326"/>
        <v>11.59</v>
      </c>
      <c r="I2306" s="1776">
        <f t="shared" si="327"/>
        <v>4.28</v>
      </c>
      <c r="J2306" s="1768"/>
    </row>
    <row r="2307" spans="1:10" ht="24">
      <c r="A2307" s="1770" t="s">
        <v>2407</v>
      </c>
      <c r="B2307" s="1771" t="s">
        <v>2410</v>
      </c>
      <c r="C2307" s="1771">
        <v>4517</v>
      </c>
      <c r="D2307" s="1772" t="s">
        <v>1680</v>
      </c>
      <c r="E2307" s="1773" t="s">
        <v>158</v>
      </c>
      <c r="F2307" s="1780">
        <v>0.44</v>
      </c>
      <c r="G2307" s="1774">
        <v>4.08</v>
      </c>
      <c r="H2307" s="1775">
        <f t="shared" si="326"/>
        <v>4.05</v>
      </c>
      <c r="I2307" s="1776">
        <f t="shared" si="327"/>
        <v>1.78</v>
      </c>
      <c r="J2307" s="1768"/>
    </row>
    <row r="2308" spans="1:10">
      <c r="A2308" s="1770" t="s">
        <v>2407</v>
      </c>
      <c r="B2308" s="1771" t="s">
        <v>2410</v>
      </c>
      <c r="C2308" s="1771">
        <v>5068</v>
      </c>
      <c r="D2308" s="1772" t="s">
        <v>2428</v>
      </c>
      <c r="E2308" s="1773" t="s">
        <v>1145</v>
      </c>
      <c r="F2308" s="1780">
        <v>9.5000000000000001E-2</v>
      </c>
      <c r="G2308" s="1774">
        <v>25.89</v>
      </c>
      <c r="H2308" s="1775">
        <f t="shared" si="326"/>
        <v>25.73</v>
      </c>
      <c r="I2308" s="1776">
        <f t="shared" si="327"/>
        <v>2.44</v>
      </c>
      <c r="J2308" s="1768"/>
    </row>
    <row r="2309" spans="1:10" ht="36">
      <c r="A2309" s="1770" t="s">
        <v>2407</v>
      </c>
      <c r="B2309" s="1771" t="s">
        <v>2410</v>
      </c>
      <c r="C2309" s="1771">
        <v>6193</v>
      </c>
      <c r="D2309" s="1772" t="s">
        <v>2504</v>
      </c>
      <c r="E2309" s="1773" t="s">
        <v>158</v>
      </c>
      <c r="F2309" s="1780">
        <v>1.38</v>
      </c>
      <c r="G2309" s="1774">
        <v>18.010000000000002</v>
      </c>
      <c r="H2309" s="1775">
        <f t="shared" si="326"/>
        <v>17.899999999999999</v>
      </c>
      <c r="I2309" s="1776">
        <f t="shared" si="327"/>
        <v>24.7</v>
      </c>
      <c r="J2309" s="1768"/>
    </row>
    <row r="2310" spans="1:10" ht="24">
      <c r="A2310" s="1770" t="s">
        <v>2407</v>
      </c>
      <c r="B2310" s="1771" t="s">
        <v>7</v>
      </c>
      <c r="C2310" s="1771">
        <v>88239</v>
      </c>
      <c r="D2310" s="1772" t="s">
        <v>423</v>
      </c>
      <c r="E2310" s="1773" t="s">
        <v>387</v>
      </c>
      <c r="F2310" s="1780">
        <v>1.444</v>
      </c>
      <c r="G2310" s="1774">
        <v>20.55</v>
      </c>
      <c r="H2310" s="1775">
        <f t="shared" si="326"/>
        <v>20.55</v>
      </c>
      <c r="I2310" s="1776">
        <f t="shared" si="327"/>
        <v>29.67</v>
      </c>
      <c r="J2310" s="1768"/>
    </row>
    <row r="2311" spans="1:10" ht="24">
      <c r="A2311" s="1770" t="s">
        <v>2407</v>
      </c>
      <c r="B2311" s="1771" t="s">
        <v>7</v>
      </c>
      <c r="C2311" s="1771">
        <v>88262</v>
      </c>
      <c r="D2311" s="1772" t="s">
        <v>411</v>
      </c>
      <c r="E2311" s="1773" t="s">
        <v>387</v>
      </c>
      <c r="F2311" s="1780">
        <v>2.3570000000000002</v>
      </c>
      <c r="G2311" s="1774">
        <v>24.32</v>
      </c>
      <c r="H2311" s="1775">
        <f t="shared" si="326"/>
        <v>24.32</v>
      </c>
      <c r="I2311" s="1776">
        <f t="shared" si="327"/>
        <v>57.32</v>
      </c>
      <c r="J2311" s="1768"/>
    </row>
    <row r="2312" spans="1:10">
      <c r="A2312" s="1917" t="s">
        <v>2408</v>
      </c>
      <c r="B2312" s="1918"/>
      <c r="C2312" s="1918"/>
      <c r="D2312" s="1918"/>
      <c r="E2312" s="1918"/>
      <c r="F2312" s="1918"/>
      <c r="G2312" s="1918"/>
      <c r="H2312" s="1919"/>
      <c r="I2312" s="1778">
        <f>SUM(I2305:I2311)</f>
        <v>120.33000000000001</v>
      </c>
      <c r="J2312" s="1768"/>
    </row>
    <row r="2313" spans="1:10">
      <c r="A2313" s="1920"/>
      <c r="B2313" s="1921"/>
      <c r="C2313" s="1921"/>
      <c r="D2313" s="1921"/>
      <c r="E2313" s="1921"/>
      <c r="F2313" s="1921"/>
      <c r="G2313" s="1921"/>
      <c r="H2313" s="1921"/>
      <c r="I2313" s="1922"/>
      <c r="J2313" s="1768"/>
    </row>
    <row r="2314" spans="1:10" ht="24.75" customHeight="1">
      <c r="A2314" s="1757">
        <f>'PLANILHA SEM DESON'!B347</f>
        <v>92767</v>
      </c>
      <c r="B2314" s="1923" t="str">
        <f>VLOOKUP(A2314,'PLANILHA SEM DESON'!$B$17:$D$1699,2,FALSE)</f>
        <v>ARMAÇÃO DE LAJE DE ESTRUTURA CONVENCIONAL DE CONCRETO ARMADO UTILIZANDO AÇO CA-60 DE 4,2 MM - MONTAGEM. AF_06/2022</v>
      </c>
      <c r="C2314" s="1924"/>
      <c r="D2314" s="1924"/>
      <c r="E2314" s="1924"/>
      <c r="F2314" s="1924"/>
      <c r="G2314" s="1924"/>
      <c r="H2314" s="1925"/>
      <c r="I2314" s="1758" t="str">
        <f>VLOOKUP(A2314,'PLANILHA SEM DESON'!$B$17:$D$1699,3,FALSE)</f>
        <v>Kg</v>
      </c>
      <c r="J2314" s="1759">
        <f>I2321</f>
        <v>17.36</v>
      </c>
    </row>
    <row r="2315" spans="1:10" ht="24">
      <c r="A2315" s="1761" t="s">
        <v>2401</v>
      </c>
      <c r="B2315" s="1762" t="s">
        <v>2402</v>
      </c>
      <c r="C2315" s="1763" t="s">
        <v>2399</v>
      </c>
      <c r="D2315" s="1764" t="s">
        <v>284</v>
      </c>
      <c r="E2315" s="1763" t="s">
        <v>193</v>
      </c>
      <c r="F2315" s="1765" t="s">
        <v>2403</v>
      </c>
      <c r="G2315" s="1763" t="s">
        <v>2404</v>
      </c>
      <c r="H2315" s="1766" t="s">
        <v>2405</v>
      </c>
      <c r="I2315" s="1767" t="s">
        <v>2406</v>
      </c>
      <c r="J2315" s="1768"/>
    </row>
    <row r="2316" spans="1:10" ht="36">
      <c r="A2316" s="1770" t="s">
        <v>2407</v>
      </c>
      <c r="B2316" s="1771" t="s">
        <v>2410</v>
      </c>
      <c r="C2316" s="1771">
        <v>39017</v>
      </c>
      <c r="D2316" s="1772" t="s">
        <v>2558</v>
      </c>
      <c r="E2316" s="1773" t="s">
        <v>2432</v>
      </c>
      <c r="F2316" s="1780">
        <v>2.8159999999999998</v>
      </c>
      <c r="G2316" s="1774">
        <v>0.22</v>
      </c>
      <c r="H2316" s="1775">
        <f>IF(E2316="H",G2316,TRUNC(G2316*(1-$K$7),2))</f>
        <v>0.21</v>
      </c>
      <c r="I2316" s="1776">
        <f t="shared" ref="I2316:I2320" si="328">TRUNC(H2316*F2316,2)</f>
        <v>0.59</v>
      </c>
      <c r="J2316" s="1768"/>
    </row>
    <row r="2317" spans="1:10" ht="24">
      <c r="A2317" s="1770" t="s">
        <v>2407</v>
      </c>
      <c r="B2317" s="1771" t="s">
        <v>2410</v>
      </c>
      <c r="C2317" s="1771">
        <v>43132</v>
      </c>
      <c r="D2317" s="1772" t="s">
        <v>2559</v>
      </c>
      <c r="E2317" s="1773" t="s">
        <v>1340</v>
      </c>
      <c r="F2317" s="1780">
        <v>2.5000000000000001E-2</v>
      </c>
      <c r="G2317" s="1774">
        <v>24.9</v>
      </c>
      <c r="H2317" s="1775">
        <f>IF(E2317="H",G2317,TRUNC(G2317*(1-$K$7),2))</f>
        <v>24.75</v>
      </c>
      <c r="I2317" s="1776">
        <f t="shared" si="328"/>
        <v>0.61</v>
      </c>
      <c r="J2317" s="1768"/>
    </row>
    <row r="2318" spans="1:10" ht="24">
      <c r="A2318" s="1770" t="s">
        <v>2407</v>
      </c>
      <c r="B2318" s="1771" t="s">
        <v>7</v>
      </c>
      <c r="C2318" s="1771">
        <v>88238</v>
      </c>
      <c r="D2318" s="1772" t="s">
        <v>1173</v>
      </c>
      <c r="E2318" s="1773" t="s">
        <v>387</v>
      </c>
      <c r="F2318" s="1780">
        <v>1.72E-2</v>
      </c>
      <c r="G2318" s="1774">
        <v>19.41</v>
      </c>
      <c r="H2318" s="1775">
        <f>IF(E2318="H",G2318,TRUNC(G2318*(1-$K$7),2))</f>
        <v>19.41</v>
      </c>
      <c r="I2318" s="1776">
        <f t="shared" si="328"/>
        <v>0.33</v>
      </c>
      <c r="J2318" s="1768"/>
    </row>
    <row r="2319" spans="1:10">
      <c r="A2319" s="1770" t="s">
        <v>2407</v>
      </c>
      <c r="B2319" s="1771" t="s">
        <v>7</v>
      </c>
      <c r="C2319" s="1771">
        <v>88245</v>
      </c>
      <c r="D2319" s="1772" t="s">
        <v>1174</v>
      </c>
      <c r="E2319" s="1773" t="s">
        <v>387</v>
      </c>
      <c r="F2319" s="1780">
        <v>0.1055</v>
      </c>
      <c r="G2319" s="1774">
        <v>24.44</v>
      </c>
      <c r="H2319" s="1775">
        <f>IF(E2319="H",G2319,TRUNC(G2319*(1-$K$7),2))</f>
        <v>24.44</v>
      </c>
      <c r="I2319" s="1776">
        <f t="shared" si="328"/>
        <v>2.57</v>
      </c>
      <c r="J2319" s="1768"/>
    </row>
    <row r="2320" spans="1:10" ht="24">
      <c r="A2320" s="1770" t="s">
        <v>2407</v>
      </c>
      <c r="B2320" s="1771" t="s">
        <v>7</v>
      </c>
      <c r="C2320" s="1771">
        <v>92799</v>
      </c>
      <c r="D2320" s="1772" t="s">
        <v>2735</v>
      </c>
      <c r="E2320" s="1773" t="s">
        <v>1145</v>
      </c>
      <c r="F2320" s="1780">
        <v>1</v>
      </c>
      <c r="G2320" s="1774">
        <v>13.35</v>
      </c>
      <c r="H2320" s="1775">
        <f>IF(E2320="H",G2320,TRUNC(G2320*(1-$K$7),2))</f>
        <v>13.26</v>
      </c>
      <c r="I2320" s="1776">
        <f t="shared" si="328"/>
        <v>13.26</v>
      </c>
      <c r="J2320" s="1768"/>
    </row>
    <row r="2321" spans="1:10">
      <c r="A2321" s="1917" t="s">
        <v>2408</v>
      </c>
      <c r="B2321" s="1918"/>
      <c r="C2321" s="1918"/>
      <c r="D2321" s="1918"/>
      <c r="E2321" s="1918"/>
      <c r="F2321" s="1918"/>
      <c r="G2321" s="1918"/>
      <c r="H2321" s="1919"/>
      <c r="I2321" s="1778">
        <f>SUM(I2316:I2320)</f>
        <v>17.36</v>
      </c>
      <c r="J2321" s="1768"/>
    </row>
    <row r="2322" spans="1:10">
      <c r="A2322" s="1920"/>
      <c r="B2322" s="1921"/>
      <c r="C2322" s="1921"/>
      <c r="D2322" s="1921"/>
      <c r="E2322" s="1921"/>
      <c r="F2322" s="1921"/>
      <c r="G2322" s="1921"/>
      <c r="H2322" s="1921"/>
      <c r="I2322" s="1922"/>
      <c r="J2322" s="1768"/>
    </row>
    <row r="2323" spans="1:10" ht="25.5" customHeight="1">
      <c r="A2323" s="1757">
        <f>'PLANILHA SEM DESON'!B348</f>
        <v>98115</v>
      </c>
      <c r="B2323" s="1923" t="str">
        <f>VLOOKUP(A2323,'PLANILHA SEM DESON'!$B$17:$D$1699,2,FALSE)</f>
        <v>TAMPA CIRCULAR PARA ESGOTO E DRENAGEM, EM CONCRETO PRÉ-MOLDADO, DIÂMETRO INTERNO = 0,60 M E ALTURA = 0,10 M. AF_12/2020</v>
      </c>
      <c r="C2323" s="1924"/>
      <c r="D2323" s="1924"/>
      <c r="E2323" s="1924"/>
      <c r="F2323" s="1924"/>
      <c r="G2323" s="1924"/>
      <c r="H2323" s="1925"/>
      <c r="I2323" s="1758" t="str">
        <f>VLOOKUP(A2323,'PLANILHA SEM DESON'!$B$17:$D$1699,3,FALSE)</f>
        <v xml:space="preserve">un </v>
      </c>
      <c r="J2323" s="1759">
        <f>I2328</f>
        <v>98.76</v>
      </c>
    </row>
    <row r="2324" spans="1:10" ht="24">
      <c r="A2324" s="1761" t="s">
        <v>2401</v>
      </c>
      <c r="B2324" s="1762" t="s">
        <v>2402</v>
      </c>
      <c r="C2324" s="1763" t="s">
        <v>2399</v>
      </c>
      <c r="D2324" s="1764" t="s">
        <v>284</v>
      </c>
      <c r="E2324" s="1763" t="s">
        <v>193</v>
      </c>
      <c r="F2324" s="1765" t="s">
        <v>2403</v>
      </c>
      <c r="G2324" s="1763" t="s">
        <v>2404</v>
      </c>
      <c r="H2324" s="1766" t="s">
        <v>2405</v>
      </c>
      <c r="I2324" s="1767" t="s">
        <v>2406</v>
      </c>
      <c r="J2324" s="1768"/>
    </row>
    <row r="2325" spans="1:10">
      <c r="A2325" s="1770" t="s">
        <v>2407</v>
      </c>
      <c r="B2325" s="1771" t="s">
        <v>7</v>
      </c>
      <c r="C2325" s="1771">
        <v>88309</v>
      </c>
      <c r="D2325" s="1772" t="s">
        <v>103</v>
      </c>
      <c r="E2325" s="1773" t="s">
        <v>387</v>
      </c>
      <c r="F2325" s="1780">
        <v>0.10150000000000001</v>
      </c>
      <c r="G2325" s="1774">
        <v>24.59</v>
      </c>
      <c r="H2325" s="1775">
        <f>IF(E2325="H",G2325,TRUNC(G2325*(1-$K$7),2))</f>
        <v>24.59</v>
      </c>
      <c r="I2325" s="1776">
        <f t="shared" ref="I2325:I2327" si="329">TRUNC(H2325*F2325,2)</f>
        <v>2.4900000000000002</v>
      </c>
      <c r="J2325" s="1768"/>
    </row>
    <row r="2326" spans="1:10">
      <c r="A2326" s="1770" t="s">
        <v>2407</v>
      </c>
      <c r="B2326" s="1771" t="s">
        <v>7</v>
      </c>
      <c r="C2326" s="1771">
        <v>88316</v>
      </c>
      <c r="D2326" s="1772" t="s">
        <v>66</v>
      </c>
      <c r="E2326" s="1773" t="s">
        <v>387</v>
      </c>
      <c r="F2326" s="1780">
        <v>7.9799999999999996E-2</v>
      </c>
      <c r="G2326" s="1774">
        <v>19.45</v>
      </c>
      <c r="H2326" s="1775">
        <f>IF(E2326="H",G2326,TRUNC(G2326*(1-$K$7),2))</f>
        <v>19.45</v>
      </c>
      <c r="I2326" s="1776">
        <f t="shared" si="329"/>
        <v>1.55</v>
      </c>
      <c r="J2326" s="1768"/>
    </row>
    <row r="2327" spans="1:10" ht="36">
      <c r="A2327" s="1770" t="s">
        <v>2407</v>
      </c>
      <c r="B2327" s="1771" t="s">
        <v>7</v>
      </c>
      <c r="C2327" s="1771">
        <v>97735</v>
      </c>
      <c r="D2327" s="1772" t="s">
        <v>2736</v>
      </c>
      <c r="E2327" s="1773" t="s">
        <v>1132</v>
      </c>
      <c r="F2327" s="1780">
        <v>3.85E-2</v>
      </c>
      <c r="G2327" s="1774">
        <v>2475.2399999999998</v>
      </c>
      <c r="H2327" s="1775">
        <f>IF(E2327="H",G2327,TRUNC(G2327*(1-$K$7),2))</f>
        <v>2460.38</v>
      </c>
      <c r="I2327" s="1776">
        <f t="shared" si="329"/>
        <v>94.72</v>
      </c>
      <c r="J2327" s="1768"/>
    </row>
    <row r="2328" spans="1:10">
      <c r="A2328" s="1917" t="s">
        <v>2408</v>
      </c>
      <c r="B2328" s="1918"/>
      <c r="C2328" s="1918"/>
      <c r="D2328" s="1918"/>
      <c r="E2328" s="1918"/>
      <c r="F2328" s="1918"/>
      <c r="G2328" s="1918"/>
      <c r="H2328" s="1919"/>
      <c r="I2328" s="1778">
        <f>SUM(I2325:I2327)</f>
        <v>98.76</v>
      </c>
      <c r="J2328" s="1768"/>
    </row>
    <row r="2329" spans="1:10">
      <c r="A2329" s="1920"/>
      <c r="B2329" s="1921"/>
      <c r="C2329" s="1921"/>
      <c r="D2329" s="1921"/>
      <c r="E2329" s="1921"/>
      <c r="F2329" s="1921"/>
      <c r="G2329" s="1921"/>
      <c r="H2329" s="1921"/>
      <c r="I2329" s="1922"/>
      <c r="J2329" s="1768"/>
    </row>
    <row r="2330" spans="1:10" ht="23.25" customHeight="1">
      <c r="A2330" s="1757">
        <f>'PLANILHA SEM DESON'!B352</f>
        <v>97084</v>
      </c>
      <c r="B2330" s="1923" t="str">
        <f>VLOOKUP(A2330,'PLANILHA SEM DESON'!$B$17:$D$1699,2,FALSE)</f>
        <v>COMPACTAÇÃO MECÂNICA DE SOLO PARA EXECUÇÃO DE RADIER, PISO DE CONCRETO OU LAJE SOBRE SOLO, COM COMPACTADOR DE SOLOS TIPO PLACA VIBRATÓRIA. AF_09/2021</v>
      </c>
      <c r="C2330" s="1924"/>
      <c r="D2330" s="1924"/>
      <c r="E2330" s="1924"/>
      <c r="F2330" s="1924"/>
      <c r="G2330" s="1924"/>
      <c r="H2330" s="1925"/>
      <c r="I2330" s="1758" t="str">
        <f>VLOOKUP(A2330,'PLANILHA SEM DESON'!$B$17:$D$1699,3,FALSE)</f>
        <v>m²</v>
      </c>
      <c r="J2330" s="1759">
        <f>I2335</f>
        <v>0.62</v>
      </c>
    </row>
    <row r="2331" spans="1:10" ht="24">
      <c r="A2331" s="1761" t="s">
        <v>2401</v>
      </c>
      <c r="B2331" s="1762" t="s">
        <v>2402</v>
      </c>
      <c r="C2331" s="1763" t="s">
        <v>2399</v>
      </c>
      <c r="D2331" s="1764" t="s">
        <v>284</v>
      </c>
      <c r="E2331" s="1763" t="s">
        <v>193</v>
      </c>
      <c r="F2331" s="1765" t="s">
        <v>2403</v>
      </c>
      <c r="G2331" s="1763" t="s">
        <v>2404</v>
      </c>
      <c r="H2331" s="1766" t="s">
        <v>2405</v>
      </c>
      <c r="I2331" s="1767" t="s">
        <v>2406</v>
      </c>
      <c r="J2331" s="1768"/>
    </row>
    <row r="2332" spans="1:10">
      <c r="A2332" s="1770" t="s">
        <v>2407</v>
      </c>
      <c r="B2332" s="1771" t="s">
        <v>7</v>
      </c>
      <c r="C2332" s="1771">
        <v>88309</v>
      </c>
      <c r="D2332" s="1772" t="s">
        <v>103</v>
      </c>
      <c r="E2332" s="1773" t="s">
        <v>387</v>
      </c>
      <c r="F2332" s="1780">
        <v>8.9999999999999993E-3</v>
      </c>
      <c r="G2332" s="1774">
        <v>24.59</v>
      </c>
      <c r="H2332" s="1775">
        <f>IF(E2332="H",G2332,TRUNC(G2332*(1-$K$7),2))</f>
        <v>24.59</v>
      </c>
      <c r="I2332" s="1776">
        <f t="shared" ref="I2332:I2334" si="330">TRUNC(H2332*F2332,2)</f>
        <v>0.22</v>
      </c>
      <c r="J2332" s="1768"/>
    </row>
    <row r="2333" spans="1:10">
      <c r="A2333" s="1770" t="s">
        <v>2407</v>
      </c>
      <c r="B2333" s="1771" t="s">
        <v>7</v>
      </c>
      <c r="C2333" s="1771">
        <v>88316</v>
      </c>
      <c r="D2333" s="1772" t="s">
        <v>66</v>
      </c>
      <c r="E2333" s="1773" t="s">
        <v>387</v>
      </c>
      <c r="F2333" s="1780">
        <v>1.9E-2</v>
      </c>
      <c r="G2333" s="1774">
        <v>19.45</v>
      </c>
      <c r="H2333" s="1775">
        <f>IF(E2333="H",G2333,TRUNC(G2333*(1-$K$7),2))</f>
        <v>19.45</v>
      </c>
      <c r="I2333" s="1776">
        <f t="shared" si="330"/>
        <v>0.36</v>
      </c>
      <c r="J2333" s="1768"/>
    </row>
    <row r="2334" spans="1:10" ht="36">
      <c r="A2334" s="1770" t="s">
        <v>2407</v>
      </c>
      <c r="B2334" s="1771" t="s">
        <v>7</v>
      </c>
      <c r="C2334" s="1771">
        <v>91277</v>
      </c>
      <c r="D2334" s="1772" t="s">
        <v>2732</v>
      </c>
      <c r="E2334" s="1773" t="s">
        <v>425</v>
      </c>
      <c r="F2334" s="1780">
        <v>5.0000000000000001E-3</v>
      </c>
      <c r="G2334" s="1774">
        <v>8.18</v>
      </c>
      <c r="H2334" s="1775">
        <f>IF(E2334="H",G2334,TRUNC(G2334*(1-$K$7),2))</f>
        <v>8.1300000000000008</v>
      </c>
      <c r="I2334" s="1776">
        <f t="shared" si="330"/>
        <v>0.04</v>
      </c>
      <c r="J2334" s="1768"/>
    </row>
    <row r="2335" spans="1:10">
      <c r="A2335" s="1917" t="s">
        <v>2408</v>
      </c>
      <c r="B2335" s="1918"/>
      <c r="C2335" s="1918"/>
      <c r="D2335" s="1918"/>
      <c r="E2335" s="1918"/>
      <c r="F2335" s="1918"/>
      <c r="G2335" s="1918"/>
      <c r="H2335" s="1919"/>
      <c r="I2335" s="1778">
        <f>SUM(I2332:I2334)</f>
        <v>0.62</v>
      </c>
      <c r="J2335" s="1768"/>
    </row>
    <row r="2336" spans="1:10">
      <c r="A2336" s="1920"/>
      <c r="B2336" s="1921"/>
      <c r="C2336" s="1921"/>
      <c r="D2336" s="1921"/>
      <c r="E2336" s="1921"/>
      <c r="F2336" s="1921"/>
      <c r="G2336" s="1921"/>
      <c r="H2336" s="1921"/>
      <c r="I2336" s="1922"/>
      <c r="J2336" s="1768"/>
    </row>
    <row r="2337" spans="1:10" ht="25.5" customHeight="1">
      <c r="A2337" s="1757">
        <f>'PLANILHA SEM DESON'!B353</f>
        <v>97087</v>
      </c>
      <c r="B2337" s="1923" t="str">
        <f>VLOOKUP(A2337,'PLANILHA SEM DESON'!$B$17:$D$1699,2,FALSE)</f>
        <v>CAMADA SEPARADORA PARA EXECUÇÃO DE RADIER, PISO DE CONCRETO OU LAJE SOBRE SOLO, EM LONA PLÁSTICA. AF_09/2021</v>
      </c>
      <c r="C2337" s="1924"/>
      <c r="D2337" s="1924"/>
      <c r="E2337" s="1924"/>
      <c r="F2337" s="1924"/>
      <c r="G2337" s="1924"/>
      <c r="H2337" s="1925"/>
      <c r="I2337" s="1758" t="str">
        <f>VLOOKUP(A2337,'PLANILHA SEM DESON'!$B$17:$D$1699,3,FALSE)</f>
        <v>m²</v>
      </c>
      <c r="J2337" s="1759">
        <f>I2342</f>
        <v>2.1399999999999997</v>
      </c>
    </row>
    <row r="2338" spans="1:10" ht="24">
      <c r="A2338" s="1761" t="s">
        <v>2401</v>
      </c>
      <c r="B2338" s="1762" t="s">
        <v>2402</v>
      </c>
      <c r="C2338" s="1763" t="s">
        <v>2399</v>
      </c>
      <c r="D2338" s="1764" t="s">
        <v>284</v>
      </c>
      <c r="E2338" s="1763" t="s">
        <v>193</v>
      </c>
      <c r="F2338" s="1765" t="s">
        <v>2403</v>
      </c>
      <c r="G2338" s="1763" t="s">
        <v>2404</v>
      </c>
      <c r="H2338" s="1766" t="s">
        <v>2405</v>
      </c>
      <c r="I2338" s="1767" t="s">
        <v>2406</v>
      </c>
      <c r="J2338" s="1768"/>
    </row>
    <row r="2339" spans="1:10">
      <c r="A2339" s="1770" t="s">
        <v>2407</v>
      </c>
      <c r="B2339" s="1771" t="s">
        <v>2410</v>
      </c>
      <c r="C2339" s="1771">
        <v>42408</v>
      </c>
      <c r="D2339" s="1772" t="s">
        <v>2737</v>
      </c>
      <c r="E2339" s="1773" t="s">
        <v>2738</v>
      </c>
      <c r="F2339" s="1780">
        <v>1.04</v>
      </c>
      <c r="G2339" s="1774">
        <v>1.67</v>
      </c>
      <c r="H2339" s="1775">
        <f>IF(E2339="H",G2339,TRUNC(G2339*(1-$K$7),2))</f>
        <v>1.65</v>
      </c>
      <c r="I2339" s="1776">
        <f t="shared" ref="I2339:I2341" si="331">TRUNC(H2339*F2339,2)</f>
        <v>1.71</v>
      </c>
      <c r="J2339" s="1768"/>
    </row>
    <row r="2340" spans="1:10">
      <c r="A2340" s="1770" t="s">
        <v>2407</v>
      </c>
      <c r="B2340" s="1771" t="s">
        <v>7</v>
      </c>
      <c r="C2340" s="1771">
        <v>88309</v>
      </c>
      <c r="D2340" s="1772" t="s">
        <v>103</v>
      </c>
      <c r="E2340" s="1773" t="s">
        <v>387</v>
      </c>
      <c r="F2340" s="1780">
        <v>1.4E-2</v>
      </c>
      <c r="G2340" s="1774">
        <v>24.59</v>
      </c>
      <c r="H2340" s="1775">
        <f>IF(E2340="H",G2340,TRUNC(G2340*(1-$K$7),2))</f>
        <v>24.59</v>
      </c>
      <c r="I2340" s="1776">
        <f t="shared" si="331"/>
        <v>0.34</v>
      </c>
      <c r="J2340" s="1768"/>
    </row>
    <row r="2341" spans="1:10">
      <c r="A2341" s="1770" t="s">
        <v>2407</v>
      </c>
      <c r="B2341" s="1771" t="s">
        <v>7</v>
      </c>
      <c r="C2341" s="1771">
        <v>88316</v>
      </c>
      <c r="D2341" s="1772" t="s">
        <v>66</v>
      </c>
      <c r="E2341" s="1773" t="s">
        <v>387</v>
      </c>
      <c r="F2341" s="1780">
        <v>5.0000000000000001E-3</v>
      </c>
      <c r="G2341" s="1774">
        <v>19.45</v>
      </c>
      <c r="H2341" s="1775">
        <f>IF(E2341="H",G2341,TRUNC(G2341*(1-$K$7),2))</f>
        <v>19.45</v>
      </c>
      <c r="I2341" s="1776">
        <f t="shared" si="331"/>
        <v>0.09</v>
      </c>
      <c r="J2341" s="1768"/>
    </row>
    <row r="2342" spans="1:10">
      <c r="A2342" s="1917" t="s">
        <v>2408</v>
      </c>
      <c r="B2342" s="1918"/>
      <c r="C2342" s="1918"/>
      <c r="D2342" s="1918"/>
      <c r="E2342" s="1918"/>
      <c r="F2342" s="1918"/>
      <c r="G2342" s="1918"/>
      <c r="H2342" s="1919"/>
      <c r="I2342" s="1778">
        <f>SUM(I2339:I2341)</f>
        <v>2.1399999999999997</v>
      </c>
      <c r="J2342" s="1768"/>
    </row>
    <row r="2343" spans="1:10">
      <c r="A2343" s="1920"/>
      <c r="B2343" s="1921"/>
      <c r="C2343" s="1921"/>
      <c r="D2343" s="1921"/>
      <c r="E2343" s="1921"/>
      <c r="F2343" s="1921"/>
      <c r="G2343" s="1921"/>
      <c r="H2343" s="1921"/>
      <c r="I2343" s="1922"/>
      <c r="J2343" s="1768"/>
    </row>
    <row r="2344" spans="1:10" ht="35.25" customHeight="1">
      <c r="A2344" s="1757">
        <f>'PLANILHA SEM DESON'!B354</f>
        <v>97102</v>
      </c>
      <c r="B2344" s="1923" t="str">
        <f>VLOOKUP(A2344,'PLANILHA SEM DESON'!$B$17:$D$1699,2,FALSE)</f>
        <v>EXECUÇÃO DE RADIER, ESPESSURA DE 15 CM, FCK = 30 MPA, COM USO DE FORMAS EM MADEIRA SERRADA. AF_09/2021</v>
      </c>
      <c r="C2344" s="1924"/>
      <c r="D2344" s="1924"/>
      <c r="E2344" s="1924"/>
      <c r="F2344" s="1924"/>
      <c r="G2344" s="1924"/>
      <c r="H2344" s="1925"/>
      <c r="I2344" s="1758" t="str">
        <f>VLOOKUP(A2344,'PLANILHA SEM DESON'!$B$17:$D$1699,3,FALSE)</f>
        <v>m³</v>
      </c>
      <c r="J2344" s="1759">
        <f>I2353</f>
        <v>265.45</v>
      </c>
    </row>
    <row r="2345" spans="1:10" ht="24">
      <c r="A2345" s="1761" t="s">
        <v>2401</v>
      </c>
      <c r="B2345" s="1762" t="s">
        <v>2402</v>
      </c>
      <c r="C2345" s="1763" t="s">
        <v>2399</v>
      </c>
      <c r="D2345" s="1764" t="s">
        <v>284</v>
      </c>
      <c r="E2345" s="1763" t="s">
        <v>193</v>
      </c>
      <c r="F2345" s="1765" t="s">
        <v>2403</v>
      </c>
      <c r="G2345" s="1763" t="s">
        <v>2404</v>
      </c>
      <c r="H2345" s="1766" t="s">
        <v>2405</v>
      </c>
      <c r="I2345" s="1767" t="s">
        <v>2406</v>
      </c>
      <c r="J2345" s="1768"/>
    </row>
    <row r="2346" spans="1:10" ht="36">
      <c r="A2346" s="1770" t="s">
        <v>2407</v>
      </c>
      <c r="B2346" s="1771" t="s">
        <v>7</v>
      </c>
      <c r="C2346" s="1771">
        <v>96624</v>
      </c>
      <c r="D2346" s="1772" t="s">
        <v>2739</v>
      </c>
      <c r="E2346" s="1773" t="s">
        <v>1132</v>
      </c>
      <c r="F2346" s="1780">
        <v>0.1</v>
      </c>
      <c r="G2346" s="1774">
        <v>154.5</v>
      </c>
      <c r="H2346" s="1775">
        <f t="shared" ref="H2346:H2352" si="332">IF(E2346="H",G2346,TRUNC(G2346*(1-$K$7),2))</f>
        <v>153.57</v>
      </c>
      <c r="I2346" s="1776">
        <f t="shared" ref="I2346:I2352" si="333">TRUNC(H2346*F2346,2)</f>
        <v>15.35</v>
      </c>
      <c r="J2346" s="1768"/>
    </row>
    <row r="2347" spans="1:10" ht="24">
      <c r="A2347" s="1770" t="s">
        <v>2407</v>
      </c>
      <c r="B2347" s="1771" t="s">
        <v>7</v>
      </c>
      <c r="C2347" s="1771">
        <v>97082</v>
      </c>
      <c r="D2347" s="1772" t="s">
        <v>2740</v>
      </c>
      <c r="E2347" s="1773" t="s">
        <v>1132</v>
      </c>
      <c r="F2347" s="1780">
        <v>3.5000000000000003E-2</v>
      </c>
      <c r="G2347" s="1774">
        <v>56.48</v>
      </c>
      <c r="H2347" s="1775">
        <f t="shared" si="332"/>
        <v>56.14</v>
      </c>
      <c r="I2347" s="1776">
        <f t="shared" si="333"/>
        <v>1.96</v>
      </c>
      <c r="J2347" s="1768"/>
    </row>
    <row r="2348" spans="1:10" ht="36">
      <c r="A2348" s="1770" t="s">
        <v>2407</v>
      </c>
      <c r="B2348" s="1771" t="s">
        <v>7</v>
      </c>
      <c r="C2348" s="1771">
        <v>97083</v>
      </c>
      <c r="D2348" s="1772" t="s">
        <v>2741</v>
      </c>
      <c r="E2348" s="1773" t="s">
        <v>1137</v>
      </c>
      <c r="F2348" s="1780">
        <v>1</v>
      </c>
      <c r="G2348" s="1774">
        <v>3.01</v>
      </c>
      <c r="H2348" s="1775">
        <f t="shared" si="332"/>
        <v>2.99</v>
      </c>
      <c r="I2348" s="1776">
        <f t="shared" si="333"/>
        <v>2.99</v>
      </c>
      <c r="J2348" s="1768"/>
    </row>
    <row r="2349" spans="1:10" ht="36">
      <c r="A2349" s="1770" t="s">
        <v>2407</v>
      </c>
      <c r="B2349" s="1771" t="s">
        <v>7</v>
      </c>
      <c r="C2349" s="1771">
        <v>97086</v>
      </c>
      <c r="D2349" s="1772" t="s">
        <v>2742</v>
      </c>
      <c r="E2349" s="1773" t="s">
        <v>1137</v>
      </c>
      <c r="F2349" s="1780">
        <v>0.1</v>
      </c>
      <c r="G2349" s="1774">
        <v>120.54</v>
      </c>
      <c r="H2349" s="1775">
        <f t="shared" si="332"/>
        <v>119.81</v>
      </c>
      <c r="I2349" s="1776">
        <f t="shared" si="333"/>
        <v>11.98</v>
      </c>
      <c r="J2349" s="1768"/>
    </row>
    <row r="2350" spans="1:10" ht="36">
      <c r="A2350" s="1770" t="s">
        <v>2407</v>
      </c>
      <c r="B2350" s="1771" t="s">
        <v>7</v>
      </c>
      <c r="C2350" s="1771">
        <v>97087</v>
      </c>
      <c r="D2350" s="1772" t="s">
        <v>2312</v>
      </c>
      <c r="E2350" s="1773" t="s">
        <v>1137</v>
      </c>
      <c r="F2350" s="1780">
        <v>1.24</v>
      </c>
      <c r="G2350" s="1774">
        <v>2.16</v>
      </c>
      <c r="H2350" s="1775">
        <f t="shared" si="332"/>
        <v>2.14</v>
      </c>
      <c r="I2350" s="1776">
        <f t="shared" si="333"/>
        <v>2.65</v>
      </c>
      <c r="J2350" s="1768"/>
    </row>
    <row r="2351" spans="1:10" ht="36">
      <c r="A2351" s="1770" t="s">
        <v>2407</v>
      </c>
      <c r="B2351" s="1771" t="s">
        <v>7</v>
      </c>
      <c r="C2351" s="1771">
        <v>97090</v>
      </c>
      <c r="D2351" s="1772" t="s">
        <v>2743</v>
      </c>
      <c r="E2351" s="1773" t="s">
        <v>1145</v>
      </c>
      <c r="F2351" s="1780">
        <v>4.4000000000000004</v>
      </c>
      <c r="G2351" s="1774">
        <v>21.5</v>
      </c>
      <c r="H2351" s="1775">
        <f t="shared" si="332"/>
        <v>21.37</v>
      </c>
      <c r="I2351" s="1776">
        <f t="shared" si="333"/>
        <v>94.02</v>
      </c>
      <c r="J2351" s="1768"/>
    </row>
    <row r="2352" spans="1:10" ht="36">
      <c r="A2352" s="1770" t="s">
        <v>2407</v>
      </c>
      <c r="B2352" s="1771" t="s">
        <v>7</v>
      </c>
      <c r="C2352" s="1771">
        <v>97096</v>
      </c>
      <c r="D2352" s="1772" t="s">
        <v>2744</v>
      </c>
      <c r="E2352" s="1773" t="s">
        <v>1132</v>
      </c>
      <c r="F2352" s="1780">
        <v>0.185</v>
      </c>
      <c r="G2352" s="1774">
        <v>742.31</v>
      </c>
      <c r="H2352" s="1775">
        <f t="shared" si="332"/>
        <v>737.85</v>
      </c>
      <c r="I2352" s="1776">
        <f t="shared" si="333"/>
        <v>136.5</v>
      </c>
      <c r="J2352" s="1768"/>
    </row>
    <row r="2353" spans="1:10">
      <c r="A2353" s="1917" t="s">
        <v>2408</v>
      </c>
      <c r="B2353" s="1918"/>
      <c r="C2353" s="1918"/>
      <c r="D2353" s="1918"/>
      <c r="E2353" s="1918"/>
      <c r="F2353" s="1918"/>
      <c r="G2353" s="1918"/>
      <c r="H2353" s="1919"/>
      <c r="I2353" s="1778">
        <f>SUM(I2346:I2352)</f>
        <v>265.45</v>
      </c>
      <c r="J2353" s="1768"/>
    </row>
    <row r="2354" spans="1:10">
      <c r="A2354" s="1920"/>
      <c r="B2354" s="1921"/>
      <c r="C2354" s="1921"/>
      <c r="D2354" s="1921"/>
      <c r="E2354" s="1921"/>
      <c r="F2354" s="1921"/>
      <c r="G2354" s="1921"/>
      <c r="H2354" s="1921"/>
      <c r="I2354" s="1922"/>
      <c r="J2354" s="1768"/>
    </row>
    <row r="2355" spans="1:10" ht="27.75" customHeight="1">
      <c r="A2355" s="1757">
        <f>'PLANILHA SEM DESON'!B358</f>
        <v>91815</v>
      </c>
      <c r="B2355" s="1923" t="str">
        <f>VLOOKUP(A2355,'PLANILHA SEM DESON'!$B$17:$D$1699,2,FALSE)</f>
        <v>(COMPOSIÇÃO REPRESENTATIVA) DE ALVENARIA DE BLOCOS DE CONCRETO ESTRUTURAL 14X19X39 CM, (ESPESSURA 14 CM), FBK = 4,5 MPA, UTILIZANDO PALHETA, PARA EDIFICAÇÃO HABITACIONAL. AF_10/2015</v>
      </c>
      <c r="C2355" s="1924"/>
      <c r="D2355" s="1924"/>
      <c r="E2355" s="1924"/>
      <c r="F2355" s="1924"/>
      <c r="G2355" s="1924"/>
      <c r="H2355" s="1925"/>
      <c r="I2355" s="1758" t="str">
        <f>VLOOKUP(A2355,'PLANILHA SEM DESON'!$B$17:$D$1699,3,FALSE)</f>
        <v>m²</v>
      </c>
      <c r="J2355" s="1759">
        <f>I2358</f>
        <v>83.64</v>
      </c>
    </row>
    <row r="2356" spans="1:10" ht="24">
      <c r="A2356" s="1761" t="s">
        <v>2401</v>
      </c>
      <c r="B2356" s="1762" t="s">
        <v>2402</v>
      </c>
      <c r="C2356" s="1763" t="s">
        <v>2399</v>
      </c>
      <c r="D2356" s="1764" t="s">
        <v>284</v>
      </c>
      <c r="E2356" s="1763" t="s">
        <v>193</v>
      </c>
      <c r="F2356" s="1765" t="s">
        <v>2403</v>
      </c>
      <c r="G2356" s="1763" t="s">
        <v>2404</v>
      </c>
      <c r="H2356" s="1766" t="s">
        <v>2405</v>
      </c>
      <c r="I2356" s="1767" t="s">
        <v>2406</v>
      </c>
      <c r="J2356" s="1768"/>
    </row>
    <row r="2357" spans="1:10" ht="48">
      <c r="A2357" s="1770" t="s">
        <v>2407</v>
      </c>
      <c r="B2357" s="1771" t="s">
        <v>7</v>
      </c>
      <c r="C2357" s="1771">
        <v>89453</v>
      </c>
      <c r="D2357" s="1772" t="s">
        <v>2745</v>
      </c>
      <c r="E2357" s="1773" t="s">
        <v>1137</v>
      </c>
      <c r="F2357" s="1780">
        <v>1</v>
      </c>
      <c r="G2357" s="1774">
        <v>84.15</v>
      </c>
      <c r="H2357" s="1775">
        <f>IF(E2357="H",G2357,TRUNC(G2357*(1-$K$7),2))</f>
        <v>83.64</v>
      </c>
      <c r="I2357" s="1776">
        <f t="shared" ref="I2357" si="334">TRUNC(H2357*F2357,2)</f>
        <v>83.64</v>
      </c>
      <c r="J2357" s="1768"/>
    </row>
    <row r="2358" spans="1:10">
      <c r="A2358" s="1917" t="s">
        <v>2408</v>
      </c>
      <c r="B2358" s="1918"/>
      <c r="C2358" s="1918"/>
      <c r="D2358" s="1918"/>
      <c r="E2358" s="1918"/>
      <c r="F2358" s="1918"/>
      <c r="G2358" s="1918"/>
      <c r="H2358" s="1919"/>
      <c r="I2358" s="1778">
        <f>SUM(I2357:I2357)</f>
        <v>83.64</v>
      </c>
      <c r="J2358" s="1768"/>
    </row>
    <row r="2359" spans="1:10">
      <c r="A2359" s="1920"/>
      <c r="B2359" s="1921"/>
      <c r="C2359" s="1921"/>
      <c r="D2359" s="1921"/>
      <c r="E2359" s="1921"/>
      <c r="F2359" s="1921"/>
      <c r="G2359" s="1921"/>
      <c r="H2359" s="1921"/>
      <c r="I2359" s="1922"/>
      <c r="J2359" s="1768"/>
    </row>
    <row r="2360" spans="1:10" ht="28.5" customHeight="1">
      <c r="A2360" s="1757" t="str">
        <f>'PLANILHA SEM DESON'!B361</f>
        <v>COMP ETE 01</v>
      </c>
      <c r="B2360" s="1923" t="str">
        <f>VLOOKUP(A2360,'PLANILHA SEM DESON'!$B$17:$D$1699,2,FALSE)</f>
        <v>VERGA 10X10 CM EM CONCRETO PRÉ- MOLDADO FCK=20MPA</v>
      </c>
      <c r="C2360" s="1924"/>
      <c r="D2360" s="1924"/>
      <c r="E2360" s="1924"/>
      <c r="F2360" s="1924"/>
      <c r="G2360" s="1924"/>
      <c r="H2360" s="1925"/>
      <c r="I2360" s="1758" t="str">
        <f>VLOOKUP(A2360,'PLANILHA SEM DESON'!$B$17:$D$1699,3,FALSE)</f>
        <v xml:space="preserve">un </v>
      </c>
      <c r="J2360" s="1759">
        <f>I2370</f>
        <v>31.85</v>
      </c>
    </row>
    <row r="2361" spans="1:10" ht="24">
      <c r="A2361" s="1761" t="s">
        <v>2401</v>
      </c>
      <c r="B2361" s="1762" t="s">
        <v>2402</v>
      </c>
      <c r="C2361" s="1763" t="s">
        <v>2399</v>
      </c>
      <c r="D2361" s="1764" t="s">
        <v>284</v>
      </c>
      <c r="E2361" s="1763" t="s">
        <v>193</v>
      </c>
      <c r="F2361" s="1765" t="s">
        <v>2403</v>
      </c>
      <c r="G2361" s="1763" t="s">
        <v>2404</v>
      </c>
      <c r="H2361" s="1766" t="s">
        <v>2405</v>
      </c>
      <c r="I2361" s="1767" t="s">
        <v>2406</v>
      </c>
      <c r="J2361" s="1768"/>
    </row>
    <row r="2362" spans="1:10" ht="24">
      <c r="A2362" s="1770"/>
      <c r="B2362" s="1771"/>
      <c r="C2362" s="1771">
        <v>88239</v>
      </c>
      <c r="D2362" s="1772" t="s">
        <v>423</v>
      </c>
      <c r="E2362" s="1773" t="s">
        <v>57</v>
      </c>
      <c r="F2362" s="1790">
        <v>0.123</v>
      </c>
      <c r="G2362" s="1781">
        <v>18.79</v>
      </c>
      <c r="H2362" s="1775">
        <f t="shared" ref="H2362:H2369" si="335">IF(E2362="H",G2362,TRUNC(G2362*(1-$K$7),2))</f>
        <v>18.79</v>
      </c>
      <c r="I2362" s="1776">
        <f t="shared" ref="I2362:I2369" si="336">TRUNC(H2362*F2362,2)</f>
        <v>2.31</v>
      </c>
      <c r="J2362" s="1768"/>
    </row>
    <row r="2363" spans="1:10" ht="24">
      <c r="A2363" s="1770"/>
      <c r="B2363" s="1771"/>
      <c r="C2363" s="1771">
        <v>88262</v>
      </c>
      <c r="D2363" s="1772" t="s">
        <v>411</v>
      </c>
      <c r="E2363" s="1773" t="s">
        <v>57</v>
      </c>
      <c r="F2363" s="1790">
        <v>7.4999999999999997E-2</v>
      </c>
      <c r="G2363" s="1781">
        <v>22.16</v>
      </c>
      <c r="H2363" s="1775">
        <f t="shared" si="335"/>
        <v>22.16</v>
      </c>
      <c r="I2363" s="1776">
        <f t="shared" si="336"/>
        <v>1.66</v>
      </c>
      <c r="J2363" s="1768"/>
    </row>
    <row r="2364" spans="1:10">
      <c r="A2364" s="1770"/>
      <c r="B2364" s="1771"/>
      <c r="C2364" s="1771">
        <v>88309</v>
      </c>
      <c r="D2364" s="1772" t="s">
        <v>103</v>
      </c>
      <c r="E2364" s="1773" t="s">
        <v>57</v>
      </c>
      <c r="F2364" s="1790">
        <v>0.02</v>
      </c>
      <c r="G2364" s="1781">
        <v>22.41</v>
      </c>
      <c r="H2364" s="1775">
        <f t="shared" si="335"/>
        <v>22.41</v>
      </c>
      <c r="I2364" s="1776">
        <f t="shared" si="336"/>
        <v>0.44</v>
      </c>
      <c r="J2364" s="1768"/>
    </row>
    <row r="2365" spans="1:10">
      <c r="A2365" s="1770"/>
      <c r="B2365" s="1771"/>
      <c r="C2365" s="1771">
        <v>88316</v>
      </c>
      <c r="D2365" s="1772" t="s">
        <v>66</v>
      </c>
      <c r="E2365" s="1773" t="s">
        <v>57</v>
      </c>
      <c r="F2365" s="1790">
        <v>0.06</v>
      </c>
      <c r="G2365" s="1781">
        <v>17.82</v>
      </c>
      <c r="H2365" s="1775">
        <f t="shared" si="335"/>
        <v>17.82</v>
      </c>
      <c r="I2365" s="1776">
        <f t="shared" si="336"/>
        <v>1.06</v>
      </c>
      <c r="J2365" s="1768"/>
    </row>
    <row r="2366" spans="1:10" ht="48">
      <c r="A2366" s="1770"/>
      <c r="B2366" s="1771"/>
      <c r="C2366" s="1771">
        <v>102475</v>
      </c>
      <c r="D2366" s="1772" t="s">
        <v>2061</v>
      </c>
      <c r="E2366" s="1773" t="s">
        <v>47</v>
      </c>
      <c r="F2366" s="1791">
        <v>0.01</v>
      </c>
      <c r="G2366" s="1779">
        <v>658.56</v>
      </c>
      <c r="H2366" s="1775">
        <f t="shared" si="335"/>
        <v>654.6</v>
      </c>
      <c r="I2366" s="1776">
        <f t="shared" si="336"/>
        <v>6.54</v>
      </c>
      <c r="J2366" s="1768"/>
    </row>
    <row r="2367" spans="1:10" ht="60">
      <c r="A2367" s="1770"/>
      <c r="B2367" s="1771"/>
      <c r="C2367" s="1771">
        <v>92915</v>
      </c>
      <c r="D2367" s="1772" t="s">
        <v>2058</v>
      </c>
      <c r="E2367" s="1773" t="s">
        <v>100</v>
      </c>
      <c r="F2367" s="1791">
        <v>0.72</v>
      </c>
      <c r="G2367" s="1779">
        <v>19.28</v>
      </c>
      <c r="H2367" s="1775">
        <f t="shared" si="335"/>
        <v>19.16</v>
      </c>
      <c r="I2367" s="1776">
        <f t="shared" ref="I2367" si="337">TRUNC(H2367*F2367,2)</f>
        <v>13.79</v>
      </c>
      <c r="J2367" s="1768"/>
    </row>
    <row r="2368" spans="1:10" ht="24">
      <c r="A2368" s="1770"/>
      <c r="B2368" s="1771"/>
      <c r="C2368" s="1771">
        <v>5069</v>
      </c>
      <c r="D2368" s="1772" t="s">
        <v>2059</v>
      </c>
      <c r="E2368" s="1773" t="s">
        <v>100</v>
      </c>
      <c r="F2368" s="1791">
        <v>0.01</v>
      </c>
      <c r="G2368" s="1779">
        <v>26.39</v>
      </c>
      <c r="H2368" s="1775">
        <f t="shared" si="335"/>
        <v>26.23</v>
      </c>
      <c r="I2368" s="1776">
        <f t="shared" si="336"/>
        <v>0.26</v>
      </c>
      <c r="J2368" s="1768"/>
    </row>
    <row r="2369" spans="1:10" ht="24">
      <c r="A2369" s="1770"/>
      <c r="B2369" s="1771"/>
      <c r="C2369" s="1771">
        <v>6189</v>
      </c>
      <c r="D2369" s="1772" t="s">
        <v>2060</v>
      </c>
      <c r="E2369" s="1773" t="s">
        <v>54</v>
      </c>
      <c r="F2369" s="1791">
        <v>0.22189999999999999</v>
      </c>
      <c r="G2369" s="1779">
        <v>26.29</v>
      </c>
      <c r="H2369" s="1775">
        <f t="shared" si="335"/>
        <v>26.13</v>
      </c>
      <c r="I2369" s="1776">
        <f t="shared" si="336"/>
        <v>5.79</v>
      </c>
      <c r="J2369" s="1768"/>
    </row>
    <row r="2370" spans="1:10">
      <c r="A2370" s="1917" t="s">
        <v>2408</v>
      </c>
      <c r="B2370" s="1918"/>
      <c r="C2370" s="1918"/>
      <c r="D2370" s="1918"/>
      <c r="E2370" s="1918"/>
      <c r="F2370" s="1918"/>
      <c r="G2370" s="1918"/>
      <c r="H2370" s="1919"/>
      <c r="I2370" s="1778">
        <f>SUM(I2362:I2369)</f>
        <v>31.85</v>
      </c>
      <c r="J2370" s="1768"/>
    </row>
    <row r="2371" spans="1:10">
      <c r="A2371" s="1920"/>
      <c r="B2371" s="1921"/>
      <c r="C2371" s="1921"/>
      <c r="D2371" s="1921"/>
      <c r="E2371" s="1921"/>
      <c r="F2371" s="1921"/>
      <c r="G2371" s="1921"/>
      <c r="H2371" s="1921"/>
      <c r="I2371" s="1922"/>
      <c r="J2371" s="1768"/>
    </row>
    <row r="2372" spans="1:10">
      <c r="A2372" s="1757">
        <f>'PLANILHA SEM DESON'!B362</f>
        <v>102719</v>
      </c>
      <c r="B2372" s="1923" t="str">
        <f>VLOOKUP(A2372,'PLANILHA SEM DESON'!$B$17:$D$1699,2,FALSE)</f>
        <v>ENCHIMENTO DE BRITA PARA DRENO, LANÇAMENTO MANUAL. AF_07/2021</v>
      </c>
      <c r="C2372" s="1924"/>
      <c r="D2372" s="1924"/>
      <c r="E2372" s="1924"/>
      <c r="F2372" s="1924"/>
      <c r="G2372" s="1924"/>
      <c r="H2372" s="1925"/>
      <c r="I2372" s="1758" t="str">
        <f>VLOOKUP(A2372,'PLANILHA SEM DESON'!$B$17:$D$1699,3,FALSE)</f>
        <v>m³</v>
      </c>
      <c r="J2372" s="1759">
        <f>I2377</f>
        <v>149.05000000000001</v>
      </c>
    </row>
    <row r="2373" spans="1:10" ht="24">
      <c r="A2373" s="1761" t="s">
        <v>2401</v>
      </c>
      <c r="B2373" s="1762" t="s">
        <v>2402</v>
      </c>
      <c r="C2373" s="1763" t="s">
        <v>2399</v>
      </c>
      <c r="D2373" s="1764" t="s">
        <v>284</v>
      </c>
      <c r="E2373" s="1763" t="s">
        <v>193</v>
      </c>
      <c r="F2373" s="1765" t="s">
        <v>2403</v>
      </c>
      <c r="G2373" s="1763" t="s">
        <v>2404</v>
      </c>
      <c r="H2373" s="1766" t="s">
        <v>2405</v>
      </c>
      <c r="I2373" s="1767" t="s">
        <v>2406</v>
      </c>
      <c r="J2373" s="1768"/>
    </row>
    <row r="2374" spans="1:10" ht="24">
      <c r="A2374" s="1770" t="s">
        <v>2407</v>
      </c>
      <c r="B2374" s="1771" t="s">
        <v>2410</v>
      </c>
      <c r="C2374" s="1771">
        <v>4718</v>
      </c>
      <c r="D2374" s="1772" t="s">
        <v>2746</v>
      </c>
      <c r="E2374" s="1773" t="s">
        <v>1132</v>
      </c>
      <c r="F2374" s="1780">
        <v>1.1000000000000001</v>
      </c>
      <c r="G2374" s="1774">
        <v>108.18</v>
      </c>
      <c r="H2374" s="1775">
        <f>IF(E2374="H",G2374,TRUNC(G2374*(1-$K$7),2))</f>
        <v>107.53</v>
      </c>
      <c r="I2374" s="1776">
        <f t="shared" ref="I2374:I2376" si="338">TRUNC(H2374*F2374,2)</f>
        <v>118.28</v>
      </c>
      <c r="J2374" s="1768"/>
    </row>
    <row r="2375" spans="1:10">
      <c r="A2375" s="1770" t="s">
        <v>2407</v>
      </c>
      <c r="B2375" s="1771" t="s">
        <v>7</v>
      </c>
      <c r="C2375" s="1771">
        <v>88309</v>
      </c>
      <c r="D2375" s="1772" t="s">
        <v>103</v>
      </c>
      <c r="E2375" s="1773" t="s">
        <v>387</v>
      </c>
      <c r="F2375" s="1780">
        <v>0.37109999999999999</v>
      </c>
      <c r="G2375" s="1774">
        <v>24.59</v>
      </c>
      <c r="H2375" s="1775">
        <f>IF(E2375="H",G2375,TRUNC(G2375*(1-$K$7),2))</f>
        <v>24.59</v>
      </c>
      <c r="I2375" s="1776">
        <f t="shared" si="338"/>
        <v>9.1199999999999992</v>
      </c>
      <c r="J2375" s="1768"/>
    </row>
    <row r="2376" spans="1:10">
      <c r="A2376" s="1770" t="s">
        <v>2407</v>
      </c>
      <c r="B2376" s="1771" t="s">
        <v>7</v>
      </c>
      <c r="C2376" s="1771">
        <v>88316</v>
      </c>
      <c r="D2376" s="1772" t="s">
        <v>66</v>
      </c>
      <c r="E2376" s="1773" t="s">
        <v>387</v>
      </c>
      <c r="F2376" s="1780">
        <v>1.1133999999999999</v>
      </c>
      <c r="G2376" s="1774">
        <v>19.45</v>
      </c>
      <c r="H2376" s="1775">
        <f>IF(E2376="H",G2376,TRUNC(G2376*(1-$K$7),2))</f>
        <v>19.45</v>
      </c>
      <c r="I2376" s="1776">
        <f t="shared" si="338"/>
        <v>21.65</v>
      </c>
      <c r="J2376" s="1768"/>
    </row>
    <row r="2377" spans="1:10">
      <c r="A2377" s="1917" t="s">
        <v>2408</v>
      </c>
      <c r="B2377" s="1918"/>
      <c r="C2377" s="1918"/>
      <c r="D2377" s="1918"/>
      <c r="E2377" s="1918"/>
      <c r="F2377" s="1918"/>
      <c r="G2377" s="1918"/>
      <c r="H2377" s="1919"/>
      <c r="I2377" s="1778">
        <f>SUM(I2374:I2376)</f>
        <v>149.05000000000001</v>
      </c>
      <c r="J2377" s="1768"/>
    </row>
    <row r="2378" spans="1:10">
      <c r="A2378" s="1920"/>
      <c r="B2378" s="1921"/>
      <c r="C2378" s="1921"/>
      <c r="D2378" s="1921"/>
      <c r="E2378" s="1921"/>
      <c r="F2378" s="1921"/>
      <c r="G2378" s="1921"/>
      <c r="H2378" s="1921"/>
      <c r="I2378" s="1922"/>
      <c r="J2378" s="1768"/>
    </row>
    <row r="2379" spans="1:10">
      <c r="A2379" s="1757" t="str">
        <f>'PLANILHA SEM DESON'!B365</f>
        <v>COMP 28</v>
      </c>
      <c r="B2379" s="1923" t="str">
        <f>VLOOKUP(A2379,'PLANILHA SEM DESON'!$B$17:$D$1699,2,FALSE)</f>
        <v>BANCADA EM GRANITO CINZA POLIDO PARA LAVATÓRIOS E PIAS  - FORNECIMENTO E INSTALAÇÃO</v>
      </c>
      <c r="C2379" s="1924"/>
      <c r="D2379" s="1924"/>
      <c r="E2379" s="1924"/>
      <c r="F2379" s="1924"/>
      <c r="G2379" s="1924"/>
      <c r="H2379" s="1925"/>
      <c r="I2379" s="1758" t="str">
        <f>VLOOKUP(A2379,'PLANILHA SEM DESON'!$B$17:$D$1699,3,FALSE)</f>
        <v>m²</v>
      </c>
      <c r="J2379" s="1759">
        <f>I2386</f>
        <v>973.05000000000007</v>
      </c>
    </row>
    <row r="2380" spans="1:10" ht="24">
      <c r="A2380" s="1761" t="s">
        <v>2401</v>
      </c>
      <c r="B2380" s="1762" t="s">
        <v>2402</v>
      </c>
      <c r="C2380" s="1763" t="s">
        <v>2399</v>
      </c>
      <c r="D2380" s="1764" t="s">
        <v>284</v>
      </c>
      <c r="E2380" s="1763" t="s">
        <v>193</v>
      </c>
      <c r="F2380" s="1765" t="s">
        <v>2403</v>
      </c>
      <c r="G2380" s="1763" t="s">
        <v>2404</v>
      </c>
      <c r="H2380" s="1766" t="s">
        <v>2405</v>
      </c>
      <c r="I2380" s="1767" t="s">
        <v>2406</v>
      </c>
      <c r="J2380" s="1768"/>
    </row>
    <row r="2381" spans="1:10">
      <c r="A2381" s="1770"/>
      <c r="B2381" s="1771"/>
      <c r="C2381" s="1771">
        <v>88316</v>
      </c>
      <c r="D2381" s="1772" t="s">
        <v>66</v>
      </c>
      <c r="E2381" s="1773" t="s">
        <v>57</v>
      </c>
      <c r="F2381" s="1784">
        <v>3.3330000000000002</v>
      </c>
      <c r="G2381" s="1781">
        <v>19.45</v>
      </c>
      <c r="H2381" s="1775">
        <f>IF(E2381="H",G2381,TRUNC(G2381*(1-$K$7),2))</f>
        <v>19.45</v>
      </c>
      <c r="I2381" s="1776">
        <f t="shared" ref="I2381:I2385" si="339">TRUNC(H2381*F2381,2)</f>
        <v>64.819999999999993</v>
      </c>
      <c r="J2381" s="1768"/>
    </row>
    <row r="2382" spans="1:10">
      <c r="A2382" s="1770"/>
      <c r="B2382" s="1771"/>
      <c r="C2382" s="1771">
        <v>88309</v>
      </c>
      <c r="D2382" s="1772" t="s">
        <v>103</v>
      </c>
      <c r="E2382" s="1773" t="s">
        <v>57</v>
      </c>
      <c r="F2382" s="1784">
        <v>3.3330000000000002</v>
      </c>
      <c r="G2382" s="1780">
        <v>24.59</v>
      </c>
      <c r="H2382" s="1775">
        <f>IF(E2382="H",G2382,TRUNC(G2382*(1-$K$7),2))</f>
        <v>24.59</v>
      </c>
      <c r="I2382" s="1776">
        <f t="shared" si="339"/>
        <v>81.95</v>
      </c>
      <c r="J2382" s="1768"/>
    </row>
    <row r="2383" spans="1:10" ht="36">
      <c r="A2383" s="1770"/>
      <c r="B2383" s="1771"/>
      <c r="C2383" s="1771">
        <v>11795</v>
      </c>
      <c r="D2383" s="1772" t="s">
        <v>533</v>
      </c>
      <c r="E2383" s="1773" t="s">
        <v>46</v>
      </c>
      <c r="F2383" s="1784">
        <v>1</v>
      </c>
      <c r="G2383" s="1779">
        <v>830.18</v>
      </c>
      <c r="H2383" s="1775">
        <f>IF(E2383="H",G2383,TRUNC(G2383*(1-$K$7),2))</f>
        <v>825.19</v>
      </c>
      <c r="I2383" s="1776">
        <f t="shared" si="339"/>
        <v>825.19</v>
      </c>
      <c r="J2383" s="1768"/>
    </row>
    <row r="2384" spans="1:10" ht="24">
      <c r="A2384" s="1770"/>
      <c r="B2384" s="1771"/>
      <c r="C2384" s="1771">
        <v>370</v>
      </c>
      <c r="D2384" s="1772" t="s">
        <v>388</v>
      </c>
      <c r="E2384" s="1773" t="s">
        <v>47</v>
      </c>
      <c r="F2384" s="1784">
        <v>8.6999999999999994E-3</v>
      </c>
      <c r="G2384" s="1779">
        <v>125</v>
      </c>
      <c r="H2384" s="1775">
        <f>IF(E2384="H",G2384,TRUNC(G2384*(1-$K$7),2))</f>
        <v>124.25</v>
      </c>
      <c r="I2384" s="1776">
        <f t="shared" si="339"/>
        <v>1.08</v>
      </c>
      <c r="J2384" s="1768"/>
    </row>
    <row r="2385" spans="1:10">
      <c r="A2385" s="1770"/>
      <c r="B2385" s="1771"/>
      <c r="C2385" s="1771">
        <v>13284</v>
      </c>
      <c r="D2385" s="1772" t="s">
        <v>1963</v>
      </c>
      <c r="E2385" s="1773" t="s">
        <v>100</v>
      </c>
      <c r="F2385" s="1784">
        <v>1.54E-2</v>
      </c>
      <c r="G2385" s="1779">
        <v>0.95</v>
      </c>
      <c r="H2385" s="1775">
        <f>IF(E2385="H",G2385,TRUNC(G2385*(1-$K$7),2))</f>
        <v>0.94</v>
      </c>
      <c r="I2385" s="1776">
        <f t="shared" si="339"/>
        <v>0.01</v>
      </c>
      <c r="J2385" s="1768"/>
    </row>
    <row r="2386" spans="1:10">
      <c r="A2386" s="1917" t="s">
        <v>2408</v>
      </c>
      <c r="B2386" s="1918"/>
      <c r="C2386" s="1918"/>
      <c r="D2386" s="1918"/>
      <c r="E2386" s="1918"/>
      <c r="F2386" s="1918"/>
      <c r="G2386" s="1918"/>
      <c r="H2386" s="1919"/>
      <c r="I2386" s="1778">
        <f>SUM(I2381:I2385)</f>
        <v>973.05000000000007</v>
      </c>
      <c r="J2386" s="1768"/>
    </row>
    <row r="2387" spans="1:10">
      <c r="A2387" s="1920"/>
      <c r="B2387" s="1921"/>
      <c r="C2387" s="1921"/>
      <c r="D2387" s="1921"/>
      <c r="E2387" s="1921"/>
      <c r="F2387" s="1921"/>
      <c r="G2387" s="1921"/>
      <c r="H2387" s="1921"/>
      <c r="I2387" s="1922"/>
      <c r="J2387" s="1768"/>
    </row>
    <row r="2388" spans="1:10" ht="22.5" customHeight="1">
      <c r="A2388" s="1757">
        <f>'PLANILHA SEM DESON'!B366</f>
        <v>100862</v>
      </c>
      <c r="B2388" s="1923" t="str">
        <f>VLOOKUP(A2388,'PLANILHA SEM DESON'!$B$17:$D$1699,2,FALSE)</f>
        <v>SUPORTE MÃO FRANCESA EM ACO, ABAS IGUAIS 40 CM, CAPACIDADE MINIMA 70 KG, BRANCO - FORNECIMENTO E INSTALAÇÃO. AF_01/2020</v>
      </c>
      <c r="C2388" s="1924"/>
      <c r="D2388" s="1924"/>
      <c r="E2388" s="1924"/>
      <c r="F2388" s="1924"/>
      <c r="G2388" s="1924"/>
      <c r="H2388" s="1925"/>
      <c r="I2388" s="1758" t="str">
        <f>VLOOKUP(A2388,'PLANILHA SEM DESON'!$B$17:$D$1699,3,FALSE)</f>
        <v xml:space="preserve">un </v>
      </c>
      <c r="J2388" s="1759">
        <f>I2394</f>
        <v>42.57</v>
      </c>
    </row>
    <row r="2389" spans="1:10" ht="24">
      <c r="A2389" s="1761" t="s">
        <v>2401</v>
      </c>
      <c r="B2389" s="1762" t="s">
        <v>2402</v>
      </c>
      <c r="C2389" s="1763" t="s">
        <v>2399</v>
      </c>
      <c r="D2389" s="1764" t="s">
        <v>284</v>
      </c>
      <c r="E2389" s="1763" t="s">
        <v>193</v>
      </c>
      <c r="F2389" s="1765" t="s">
        <v>2403</v>
      </c>
      <c r="G2389" s="1763" t="s">
        <v>2404</v>
      </c>
      <c r="H2389" s="1766" t="s">
        <v>2405</v>
      </c>
      <c r="I2389" s="1767" t="s">
        <v>2406</v>
      </c>
      <c r="J2389" s="1768"/>
    </row>
    <row r="2390" spans="1:10" ht="36">
      <c r="A2390" s="1770" t="s">
        <v>2407</v>
      </c>
      <c r="B2390" s="1771" t="s">
        <v>2410</v>
      </c>
      <c r="C2390" s="1771">
        <v>7568</v>
      </c>
      <c r="D2390" s="1772" t="s">
        <v>2303</v>
      </c>
      <c r="E2390" s="1773" t="s">
        <v>2432</v>
      </c>
      <c r="F2390" s="1780">
        <v>3</v>
      </c>
      <c r="G2390" s="1774">
        <v>0.61</v>
      </c>
      <c r="H2390" s="1775">
        <f>IF(E2390="H",G2390,TRUNC(G2390*(1-$K$7),2))</f>
        <v>0.6</v>
      </c>
      <c r="I2390" s="1776">
        <f t="shared" ref="I2390:I2393" si="340">TRUNC(H2390*F2390,2)</f>
        <v>1.8</v>
      </c>
      <c r="J2390" s="1768"/>
    </row>
    <row r="2391" spans="1:10" ht="24">
      <c r="A2391" s="1770" t="s">
        <v>2407</v>
      </c>
      <c r="B2391" s="1771" t="s">
        <v>2410</v>
      </c>
      <c r="C2391" s="1771">
        <v>37591</v>
      </c>
      <c r="D2391" s="1772" t="s">
        <v>2747</v>
      </c>
      <c r="E2391" s="1773" t="s">
        <v>2432</v>
      </c>
      <c r="F2391" s="1780">
        <v>1</v>
      </c>
      <c r="G2391" s="1774">
        <v>26.35</v>
      </c>
      <c r="H2391" s="1775">
        <f>IF(E2391="H",G2391,TRUNC(G2391*(1-$K$7),2))</f>
        <v>26.19</v>
      </c>
      <c r="I2391" s="1776">
        <f t="shared" si="340"/>
        <v>26.19</v>
      </c>
      <c r="J2391" s="1768"/>
    </row>
    <row r="2392" spans="1:10" ht="24">
      <c r="A2392" s="1770" t="s">
        <v>2407</v>
      </c>
      <c r="B2392" s="1771" t="s">
        <v>7</v>
      </c>
      <c r="C2392" s="1771">
        <v>88267</v>
      </c>
      <c r="D2392" s="1772" t="s">
        <v>102</v>
      </c>
      <c r="E2392" s="1773" t="s">
        <v>387</v>
      </c>
      <c r="F2392" s="1780">
        <v>0.4743</v>
      </c>
      <c r="G2392" s="1774">
        <v>24.64</v>
      </c>
      <c r="H2392" s="1775">
        <f>IF(E2392="H",G2392,TRUNC(G2392*(1-$K$7),2))</f>
        <v>24.64</v>
      </c>
      <c r="I2392" s="1776">
        <f t="shared" si="340"/>
        <v>11.68</v>
      </c>
      <c r="J2392" s="1768"/>
    </row>
    <row r="2393" spans="1:10">
      <c r="A2393" s="1770" t="s">
        <v>2407</v>
      </c>
      <c r="B2393" s="1771" t="s">
        <v>7</v>
      </c>
      <c r="C2393" s="1771">
        <v>88316</v>
      </c>
      <c r="D2393" s="1772" t="s">
        <v>66</v>
      </c>
      <c r="E2393" s="1773" t="s">
        <v>387</v>
      </c>
      <c r="F2393" s="1780">
        <v>0.14940000000000001</v>
      </c>
      <c r="G2393" s="1774">
        <v>19.45</v>
      </c>
      <c r="H2393" s="1775">
        <f>IF(E2393="H",G2393,TRUNC(G2393*(1-$K$7),2))</f>
        <v>19.45</v>
      </c>
      <c r="I2393" s="1776">
        <f t="shared" si="340"/>
        <v>2.9</v>
      </c>
      <c r="J2393" s="1768"/>
    </row>
    <row r="2394" spans="1:10">
      <c r="A2394" s="1917" t="s">
        <v>2408</v>
      </c>
      <c r="B2394" s="1918"/>
      <c r="C2394" s="1918"/>
      <c r="D2394" s="1918"/>
      <c r="E2394" s="1918"/>
      <c r="F2394" s="1918"/>
      <c r="G2394" s="1918"/>
      <c r="H2394" s="1919"/>
      <c r="I2394" s="1778">
        <f>SUM(I2390:I2393)</f>
        <v>42.57</v>
      </c>
      <c r="J2394" s="1768"/>
    </row>
    <row r="2395" spans="1:10">
      <c r="A2395" s="1920"/>
      <c r="B2395" s="1921"/>
      <c r="C2395" s="1921"/>
      <c r="D2395" s="1921"/>
      <c r="E2395" s="1921"/>
      <c r="F2395" s="1921"/>
      <c r="G2395" s="1921"/>
      <c r="H2395" s="1921"/>
      <c r="I2395" s="1922"/>
      <c r="J2395" s="1768"/>
    </row>
    <row r="2396" spans="1:10">
      <c r="A2396" s="1757" t="str">
        <f>'PLANILHA SEM DESON'!B367</f>
        <v>COMP 29</v>
      </c>
      <c r="B2396" s="1923" t="str">
        <f>VLOOKUP(A2396,'PLANILHA SEM DESON'!$B$17:$D$1699,2,FALSE)</f>
        <v>FRONTÃO OU RODABANCADA EM GRANITO, POLIDO,H= 10 CM, E= *2,0* CM - FORNECIMENTO E INSTALAÇÃO</v>
      </c>
      <c r="C2396" s="1924"/>
      <c r="D2396" s="1924"/>
      <c r="E2396" s="1924"/>
      <c r="F2396" s="1924"/>
      <c r="G2396" s="1924"/>
      <c r="H2396" s="1925"/>
      <c r="I2396" s="1758" t="str">
        <f>VLOOKUP(A2396,'PLANILHA SEM DESON'!$B$17:$D$1699,3,FALSE)</f>
        <v>m</v>
      </c>
      <c r="J2396" s="1759">
        <f>I2403</f>
        <v>103.97</v>
      </c>
    </row>
    <row r="2397" spans="1:10" ht="24">
      <c r="A2397" s="1761" t="s">
        <v>2401</v>
      </c>
      <c r="B2397" s="1762" t="s">
        <v>2402</v>
      </c>
      <c r="C2397" s="1763" t="s">
        <v>2399</v>
      </c>
      <c r="D2397" s="1764" t="s">
        <v>284</v>
      </c>
      <c r="E2397" s="1763" t="s">
        <v>193</v>
      </c>
      <c r="F2397" s="1765" t="s">
        <v>2403</v>
      </c>
      <c r="G2397" s="1763" t="s">
        <v>2404</v>
      </c>
      <c r="H2397" s="1766" t="s">
        <v>2405</v>
      </c>
      <c r="I2397" s="1767" t="s">
        <v>2406</v>
      </c>
      <c r="J2397" s="1768"/>
    </row>
    <row r="2398" spans="1:10">
      <c r="A2398" s="1770"/>
      <c r="B2398" s="1771"/>
      <c r="C2398" s="1771">
        <v>88316</v>
      </c>
      <c r="D2398" s="1772" t="s">
        <v>66</v>
      </c>
      <c r="E2398" s="1773" t="s">
        <v>57</v>
      </c>
      <c r="F2398" s="1779">
        <v>0.2</v>
      </c>
      <c r="G2398" s="1781">
        <v>19.45</v>
      </c>
      <c r="H2398" s="1775">
        <f>IF(E2398="H",G2398,TRUNC(G2398*(1-$K$7),2))</f>
        <v>19.45</v>
      </c>
      <c r="I2398" s="1776">
        <f t="shared" ref="I2398:I2402" si="341">TRUNC(H2398*F2398,2)</f>
        <v>3.89</v>
      </c>
      <c r="J2398" s="1768"/>
    </row>
    <row r="2399" spans="1:10">
      <c r="A2399" s="1770"/>
      <c r="B2399" s="1771"/>
      <c r="C2399" s="1771">
        <v>88309</v>
      </c>
      <c r="D2399" s="1772" t="s">
        <v>103</v>
      </c>
      <c r="E2399" s="1773" t="s">
        <v>57</v>
      </c>
      <c r="F2399" s="1779">
        <v>0.2</v>
      </c>
      <c r="G2399" s="1780">
        <v>24.59</v>
      </c>
      <c r="H2399" s="1775">
        <f>IF(E2399="H",G2399,TRUNC(G2399*(1-$K$7),2))</f>
        <v>24.59</v>
      </c>
      <c r="I2399" s="1776">
        <f t="shared" si="341"/>
        <v>4.91</v>
      </c>
      <c r="J2399" s="1768"/>
    </row>
    <row r="2400" spans="1:10">
      <c r="A2400" s="1770"/>
      <c r="B2400" s="1771"/>
      <c r="C2400" s="1771">
        <v>37329</v>
      </c>
      <c r="D2400" s="1772" t="s">
        <v>534</v>
      </c>
      <c r="E2400" s="1773" t="s">
        <v>47</v>
      </c>
      <c r="F2400" s="1784">
        <v>0.1</v>
      </c>
      <c r="G2400" s="1779">
        <v>123.67</v>
      </c>
      <c r="H2400" s="1775">
        <f>IF(E2400="H",G2400,TRUNC(G2400*(1-$K$7),2))</f>
        <v>122.92</v>
      </c>
      <c r="I2400" s="1776">
        <f t="shared" si="341"/>
        <v>12.29</v>
      </c>
      <c r="J2400" s="1768"/>
    </row>
    <row r="2401" spans="1:10">
      <c r="A2401" s="1770"/>
      <c r="B2401" s="1771"/>
      <c r="C2401" s="1771">
        <v>37595</v>
      </c>
      <c r="D2401" s="1772" t="s">
        <v>536</v>
      </c>
      <c r="E2401" s="1773" t="s">
        <v>100</v>
      </c>
      <c r="F2401" s="1784">
        <v>0.5</v>
      </c>
      <c r="G2401" s="1779">
        <v>3.07</v>
      </c>
      <c r="H2401" s="1775">
        <f>IF(E2401="H",G2401,TRUNC(G2401*(1-$K$7),2))</f>
        <v>3.05</v>
      </c>
      <c r="I2401" s="1776">
        <f t="shared" si="341"/>
        <v>1.52</v>
      </c>
      <c r="J2401" s="1768"/>
    </row>
    <row r="2402" spans="1:10" ht="36">
      <c r="A2402" s="1770"/>
      <c r="B2402" s="1771"/>
      <c r="C2402" s="1771">
        <v>20231</v>
      </c>
      <c r="D2402" s="1772" t="s">
        <v>537</v>
      </c>
      <c r="E2402" s="1773" t="s">
        <v>54</v>
      </c>
      <c r="F2402" s="1784">
        <v>1</v>
      </c>
      <c r="G2402" s="1779">
        <v>81.86</v>
      </c>
      <c r="H2402" s="1775">
        <f>IF(E2402="H",G2402,TRUNC(G2402*(1-$K$7),2))</f>
        <v>81.36</v>
      </c>
      <c r="I2402" s="1776">
        <f t="shared" si="341"/>
        <v>81.36</v>
      </c>
      <c r="J2402" s="1768"/>
    </row>
    <row r="2403" spans="1:10">
      <c r="A2403" s="1917" t="s">
        <v>2408</v>
      </c>
      <c r="B2403" s="1918"/>
      <c r="C2403" s="1918"/>
      <c r="D2403" s="1918"/>
      <c r="E2403" s="1918"/>
      <c r="F2403" s="1918"/>
      <c r="G2403" s="1918"/>
      <c r="H2403" s="1919"/>
      <c r="I2403" s="1778">
        <f>SUM(I2398:I2402)</f>
        <v>103.97</v>
      </c>
      <c r="J2403" s="1768"/>
    </row>
    <row r="2404" spans="1:10">
      <c r="A2404" s="1920"/>
      <c r="B2404" s="1921"/>
      <c r="C2404" s="1921"/>
      <c r="D2404" s="1921"/>
      <c r="E2404" s="1921"/>
      <c r="F2404" s="1921"/>
      <c r="G2404" s="1921"/>
      <c r="H2404" s="1921"/>
      <c r="I2404" s="1922"/>
      <c r="J2404" s="1768"/>
    </row>
    <row r="2405" spans="1:10">
      <c r="A2405" s="1757" t="str">
        <f>'PLANILHA SEM DESON'!B368</f>
        <v>COMP 30</v>
      </c>
      <c r="B2405" s="1923" t="str">
        <f>VLOOKUP(A2405,'PLANILHA SEM DESON'!$B$17:$D$1699,2,FALSE)</f>
        <v>BANCADA DE ATENDIMENTO EM CONCRETO, APOIADA EM ALVENARIA</v>
      </c>
      <c r="C2405" s="1924"/>
      <c r="D2405" s="1924"/>
      <c r="E2405" s="1924"/>
      <c r="F2405" s="1924"/>
      <c r="G2405" s="1924"/>
      <c r="H2405" s="1925"/>
      <c r="I2405" s="1758" t="str">
        <f>VLOOKUP(A2405,'PLANILHA SEM DESON'!$B$17:$D$1699,3,FALSE)</f>
        <v>m²</v>
      </c>
      <c r="J2405" s="1759">
        <f>I2414</f>
        <v>337.98999999999995</v>
      </c>
    </row>
    <row r="2406" spans="1:10" ht="24">
      <c r="A2406" s="1761" t="s">
        <v>2401</v>
      </c>
      <c r="B2406" s="1762" t="s">
        <v>2402</v>
      </c>
      <c r="C2406" s="1763" t="s">
        <v>2399</v>
      </c>
      <c r="D2406" s="1764" t="s">
        <v>284</v>
      </c>
      <c r="E2406" s="1763" t="s">
        <v>193</v>
      </c>
      <c r="F2406" s="1765" t="s">
        <v>2403</v>
      </c>
      <c r="G2406" s="1763" t="s">
        <v>2404</v>
      </c>
      <c r="H2406" s="1766" t="s">
        <v>2405</v>
      </c>
      <c r="I2406" s="1767" t="s">
        <v>2406</v>
      </c>
      <c r="J2406" s="1768"/>
    </row>
    <row r="2407" spans="1:10">
      <c r="A2407" s="1770"/>
      <c r="B2407" s="1771"/>
      <c r="C2407" s="1771">
        <v>88316</v>
      </c>
      <c r="D2407" s="1772" t="s">
        <v>66</v>
      </c>
      <c r="E2407" s="1773" t="s">
        <v>57</v>
      </c>
      <c r="F2407" s="1779">
        <v>2</v>
      </c>
      <c r="G2407" s="1781">
        <v>19.45</v>
      </c>
      <c r="H2407" s="1775">
        <f t="shared" ref="H2407:H2413" si="342">IF(E2407="H",G2407,TRUNC(G2407*(1-$K$7),2))</f>
        <v>19.45</v>
      </c>
      <c r="I2407" s="1776">
        <f t="shared" ref="I2407:I2413" si="343">TRUNC(H2407*F2407,2)</f>
        <v>38.9</v>
      </c>
      <c r="J2407" s="1768"/>
    </row>
    <row r="2408" spans="1:10">
      <c r="A2408" s="1770"/>
      <c r="B2408" s="1771"/>
      <c r="C2408" s="1771">
        <v>88309</v>
      </c>
      <c r="D2408" s="1772" t="s">
        <v>103</v>
      </c>
      <c r="E2408" s="1773" t="s">
        <v>57</v>
      </c>
      <c r="F2408" s="1779">
        <v>2</v>
      </c>
      <c r="G2408" s="1780">
        <v>24.59</v>
      </c>
      <c r="H2408" s="1775">
        <f t="shared" si="342"/>
        <v>24.59</v>
      </c>
      <c r="I2408" s="1776">
        <f t="shared" si="343"/>
        <v>49.18</v>
      </c>
      <c r="J2408" s="1768"/>
    </row>
    <row r="2409" spans="1:10" ht="36">
      <c r="A2409" s="1770"/>
      <c r="B2409" s="1771"/>
      <c r="C2409" s="1771">
        <v>102486</v>
      </c>
      <c r="D2409" s="1772" t="s">
        <v>1972</v>
      </c>
      <c r="E2409" s="1773" t="s">
        <v>47</v>
      </c>
      <c r="F2409" s="1784">
        <v>7.0000000000000007E-2</v>
      </c>
      <c r="G2409" s="1779">
        <v>707.32</v>
      </c>
      <c r="H2409" s="1775">
        <f t="shared" si="342"/>
        <v>703.07</v>
      </c>
      <c r="I2409" s="1776">
        <f t="shared" si="343"/>
        <v>49.21</v>
      </c>
      <c r="J2409" s="1768"/>
    </row>
    <row r="2410" spans="1:10" ht="36">
      <c r="A2410" s="1770"/>
      <c r="B2410" s="1771"/>
      <c r="C2410" s="1771">
        <v>103670</v>
      </c>
      <c r="D2410" s="1772" t="s">
        <v>2166</v>
      </c>
      <c r="E2410" s="1773" t="s">
        <v>47</v>
      </c>
      <c r="F2410" s="1784">
        <v>7.0000000000000007E-2</v>
      </c>
      <c r="G2410" s="1779">
        <v>266.11</v>
      </c>
      <c r="H2410" s="1775">
        <f t="shared" si="342"/>
        <v>264.51</v>
      </c>
      <c r="I2410" s="1776">
        <f t="shared" si="343"/>
        <v>18.510000000000002</v>
      </c>
      <c r="J2410" s="1768"/>
    </row>
    <row r="2411" spans="1:10" ht="36">
      <c r="A2411" s="1770"/>
      <c r="B2411" s="1771"/>
      <c r="C2411" s="1771">
        <v>96536</v>
      </c>
      <c r="D2411" s="1772" t="s">
        <v>397</v>
      </c>
      <c r="E2411" s="1773" t="s">
        <v>46</v>
      </c>
      <c r="F2411" s="1784">
        <v>1.67</v>
      </c>
      <c r="G2411" s="1779">
        <v>75.89</v>
      </c>
      <c r="H2411" s="1775">
        <f t="shared" si="342"/>
        <v>75.430000000000007</v>
      </c>
      <c r="I2411" s="1776">
        <f t="shared" si="343"/>
        <v>125.96</v>
      </c>
      <c r="J2411" s="1768"/>
    </row>
    <row r="2412" spans="1:10" ht="24">
      <c r="A2412" s="1770"/>
      <c r="B2412" s="1771"/>
      <c r="C2412" s="1771">
        <v>92803</v>
      </c>
      <c r="D2412" s="1772" t="s">
        <v>2167</v>
      </c>
      <c r="E2412" s="1773" t="s">
        <v>100</v>
      </c>
      <c r="F2412" s="1784">
        <v>4.4000000000000004</v>
      </c>
      <c r="G2412" s="1779">
        <v>12.06</v>
      </c>
      <c r="H2412" s="1775">
        <f t="shared" si="342"/>
        <v>11.98</v>
      </c>
      <c r="I2412" s="1776">
        <f t="shared" si="343"/>
        <v>52.71</v>
      </c>
      <c r="J2412" s="1768"/>
    </row>
    <row r="2413" spans="1:10" ht="24">
      <c r="A2413" s="1770"/>
      <c r="B2413" s="1771"/>
      <c r="C2413" s="1771">
        <v>345</v>
      </c>
      <c r="D2413" s="1772" t="s">
        <v>1973</v>
      </c>
      <c r="E2413" s="1773" t="s">
        <v>100</v>
      </c>
      <c r="F2413" s="1784">
        <v>0.1</v>
      </c>
      <c r="G2413" s="1779">
        <v>35.51</v>
      </c>
      <c r="H2413" s="1775">
        <f t="shared" si="342"/>
        <v>35.29</v>
      </c>
      <c r="I2413" s="1776">
        <f t="shared" si="343"/>
        <v>3.52</v>
      </c>
      <c r="J2413" s="1768"/>
    </row>
    <row r="2414" spans="1:10">
      <c r="A2414" s="1917" t="s">
        <v>2408</v>
      </c>
      <c r="B2414" s="1918"/>
      <c r="C2414" s="1918"/>
      <c r="D2414" s="1918"/>
      <c r="E2414" s="1918"/>
      <c r="F2414" s="1918"/>
      <c r="G2414" s="1918"/>
      <c r="H2414" s="1919"/>
      <c r="I2414" s="1778">
        <f>SUM(I2407:I2413)</f>
        <v>337.98999999999995</v>
      </c>
      <c r="J2414" s="1768"/>
    </row>
    <row r="2415" spans="1:10">
      <c r="A2415" s="1920"/>
      <c r="B2415" s="1921"/>
      <c r="C2415" s="1921"/>
      <c r="D2415" s="1921"/>
      <c r="E2415" s="1921"/>
      <c r="F2415" s="1921"/>
      <c r="G2415" s="1921"/>
      <c r="H2415" s="1921"/>
      <c r="I2415" s="1922"/>
      <c r="J2415" s="1768"/>
    </row>
    <row r="2416" spans="1:10" ht="24.75" customHeight="1">
      <c r="A2416" s="1757">
        <f>'PLANILHA SEM DESON'!B369</f>
        <v>102253</v>
      </c>
      <c r="B2416" s="1923" t="str">
        <f>VLOOKUP(A2416,'PLANILHA SEM DESON'!$B$17:$D$1699,2,FALSE)</f>
        <v>DIVISORIA SANITÁRIA, TIPO CABINE, EM GRANITO CINZA POLIDO, ESP = 3CM, ASSENTADO COM ARGAMASSA COLANTE AC III-E, EXCLUSIVE FERRAGENS. AF_01/2021</v>
      </c>
      <c r="C2416" s="1924"/>
      <c r="D2416" s="1924"/>
      <c r="E2416" s="1924"/>
      <c r="F2416" s="1924"/>
      <c r="G2416" s="1924"/>
      <c r="H2416" s="1925"/>
      <c r="I2416" s="1758" t="str">
        <f>VLOOKUP(A2416,'PLANILHA SEM DESON'!$B$17:$D$1699,3,FALSE)</f>
        <v>m²</v>
      </c>
      <c r="J2416" s="1759">
        <f>I2425</f>
        <v>1068.8800000000001</v>
      </c>
    </row>
    <row r="2417" spans="1:10" ht="24">
      <c r="A2417" s="1761" t="s">
        <v>2401</v>
      </c>
      <c r="B2417" s="1762" t="s">
        <v>2402</v>
      </c>
      <c r="C2417" s="1763" t="s">
        <v>2399</v>
      </c>
      <c r="D2417" s="1764" t="s">
        <v>284</v>
      </c>
      <c r="E2417" s="1763" t="s">
        <v>193</v>
      </c>
      <c r="F2417" s="1765" t="s">
        <v>2403</v>
      </c>
      <c r="G2417" s="1763" t="s">
        <v>2404</v>
      </c>
      <c r="H2417" s="1766" t="s">
        <v>2405</v>
      </c>
      <c r="I2417" s="1767" t="s">
        <v>2406</v>
      </c>
      <c r="J2417" s="1768"/>
    </row>
    <row r="2418" spans="1:10" ht="24">
      <c r="A2418" s="1770" t="s">
        <v>2407</v>
      </c>
      <c r="B2418" s="1771" t="s">
        <v>2410</v>
      </c>
      <c r="C2418" s="1771">
        <v>131</v>
      </c>
      <c r="D2418" s="1772" t="s">
        <v>2748</v>
      </c>
      <c r="E2418" s="1773" t="s">
        <v>1145</v>
      </c>
      <c r="F2418" s="1780">
        <v>0.53</v>
      </c>
      <c r="G2418" s="1774">
        <v>58.31</v>
      </c>
      <c r="H2418" s="1775">
        <f t="shared" ref="H2418:H2424" si="344">IF(E2418="H",G2418,TRUNC(G2418*(1-$K$7),2))</f>
        <v>57.96</v>
      </c>
      <c r="I2418" s="1776">
        <f t="shared" ref="I2418:I2424" si="345">TRUNC(H2418*F2418,2)</f>
        <v>30.71</v>
      </c>
      <c r="J2418" s="1768"/>
    </row>
    <row r="2419" spans="1:10">
      <c r="A2419" s="1770" t="s">
        <v>2407</v>
      </c>
      <c r="B2419" s="1771" t="s">
        <v>2410</v>
      </c>
      <c r="C2419" s="1771">
        <v>37596</v>
      </c>
      <c r="D2419" s="1772" t="s">
        <v>2749</v>
      </c>
      <c r="E2419" s="1773" t="s">
        <v>1145</v>
      </c>
      <c r="F2419" s="1780">
        <v>0.97</v>
      </c>
      <c r="G2419" s="1774">
        <v>3.52</v>
      </c>
      <c r="H2419" s="1775">
        <f t="shared" si="344"/>
        <v>3.49</v>
      </c>
      <c r="I2419" s="1776">
        <f t="shared" si="345"/>
        <v>3.38</v>
      </c>
      <c r="J2419" s="1768"/>
    </row>
    <row r="2420" spans="1:10" ht="36">
      <c r="A2420" s="1770" t="s">
        <v>2407</v>
      </c>
      <c r="B2420" s="1771" t="s">
        <v>2410</v>
      </c>
      <c r="C2420" s="1771">
        <v>44476</v>
      </c>
      <c r="D2420" s="1772" t="s">
        <v>2750</v>
      </c>
      <c r="E2420" s="1773" t="s">
        <v>2738</v>
      </c>
      <c r="F2420" s="1780">
        <v>1.05</v>
      </c>
      <c r="G2420" s="1774">
        <v>920.12</v>
      </c>
      <c r="H2420" s="1775">
        <f t="shared" si="344"/>
        <v>914.59</v>
      </c>
      <c r="I2420" s="1776">
        <f t="shared" si="345"/>
        <v>960.31</v>
      </c>
      <c r="J2420" s="1768"/>
    </row>
    <row r="2421" spans="1:10" ht="24">
      <c r="A2421" s="1770" t="s">
        <v>2407</v>
      </c>
      <c r="B2421" s="1771" t="s">
        <v>7</v>
      </c>
      <c r="C2421" s="1771">
        <v>88274</v>
      </c>
      <c r="D2421" s="1772" t="s">
        <v>2603</v>
      </c>
      <c r="E2421" s="1773" t="s">
        <v>387</v>
      </c>
      <c r="F2421" s="1780">
        <v>1.405</v>
      </c>
      <c r="G2421" s="1774">
        <v>24.49</v>
      </c>
      <c r="H2421" s="1775">
        <f t="shared" si="344"/>
        <v>24.49</v>
      </c>
      <c r="I2421" s="1776">
        <f t="shared" si="345"/>
        <v>34.4</v>
      </c>
      <c r="J2421" s="1768"/>
    </row>
    <row r="2422" spans="1:10">
      <c r="A2422" s="1770" t="s">
        <v>2407</v>
      </c>
      <c r="B2422" s="1771" t="s">
        <v>7</v>
      </c>
      <c r="C2422" s="1771">
        <v>88316</v>
      </c>
      <c r="D2422" s="1772" t="s">
        <v>66</v>
      </c>
      <c r="E2422" s="1773" t="s">
        <v>387</v>
      </c>
      <c r="F2422" s="1780">
        <v>0.70199999999999996</v>
      </c>
      <c r="G2422" s="1774">
        <v>19.45</v>
      </c>
      <c r="H2422" s="1775">
        <f t="shared" si="344"/>
        <v>19.45</v>
      </c>
      <c r="I2422" s="1776">
        <f t="shared" si="345"/>
        <v>13.65</v>
      </c>
      <c r="J2422" s="1768"/>
    </row>
    <row r="2423" spans="1:10" ht="36">
      <c r="A2423" s="1770" t="s">
        <v>2407</v>
      </c>
      <c r="B2423" s="1771" t="s">
        <v>7</v>
      </c>
      <c r="C2423" s="1771">
        <v>91692</v>
      </c>
      <c r="D2423" s="1772" t="s">
        <v>2424</v>
      </c>
      <c r="E2423" s="1773" t="s">
        <v>425</v>
      </c>
      <c r="F2423" s="1780">
        <v>8.8999999999999996E-2</v>
      </c>
      <c r="G2423" s="1774">
        <v>20.41</v>
      </c>
      <c r="H2423" s="1775">
        <f t="shared" si="344"/>
        <v>20.28</v>
      </c>
      <c r="I2423" s="1776">
        <f t="shared" si="345"/>
        <v>1.8</v>
      </c>
      <c r="J2423" s="1768"/>
    </row>
    <row r="2424" spans="1:10" ht="36">
      <c r="A2424" s="1770" t="s">
        <v>2407</v>
      </c>
      <c r="B2424" s="1771" t="s">
        <v>7</v>
      </c>
      <c r="C2424" s="1771">
        <v>91693</v>
      </c>
      <c r="D2424" s="1772" t="s">
        <v>2425</v>
      </c>
      <c r="E2424" s="1773" t="s">
        <v>545</v>
      </c>
      <c r="F2424" s="1780">
        <v>1.3160000000000001</v>
      </c>
      <c r="G2424" s="1774">
        <v>18.84</v>
      </c>
      <c r="H2424" s="1775">
        <f t="shared" si="344"/>
        <v>18.72</v>
      </c>
      <c r="I2424" s="1776">
        <f t="shared" si="345"/>
        <v>24.63</v>
      </c>
      <c r="J2424" s="1768"/>
    </row>
    <row r="2425" spans="1:10">
      <c r="A2425" s="1917" t="s">
        <v>2408</v>
      </c>
      <c r="B2425" s="1918"/>
      <c r="C2425" s="1918"/>
      <c r="D2425" s="1918"/>
      <c r="E2425" s="1918"/>
      <c r="F2425" s="1918"/>
      <c r="G2425" s="1918"/>
      <c r="H2425" s="1919"/>
      <c r="I2425" s="1778">
        <f>SUM(I2418:I2424)</f>
        <v>1068.8800000000001</v>
      </c>
      <c r="J2425" s="1768"/>
    </row>
    <row r="2426" spans="1:10">
      <c r="A2426" s="1920"/>
      <c r="B2426" s="1921"/>
      <c r="C2426" s="1921"/>
      <c r="D2426" s="1921"/>
      <c r="E2426" s="1921"/>
      <c r="F2426" s="1921"/>
      <c r="G2426" s="1921"/>
      <c r="H2426" s="1921"/>
      <c r="I2426" s="1922"/>
      <c r="J2426" s="1768"/>
    </row>
    <row r="2427" spans="1:10">
      <c r="A2427" s="1757" t="str">
        <f>'PLANILHA SEM DESON'!B370</f>
        <v>COMP 27</v>
      </c>
      <c r="B2427" s="1923" t="str">
        <f>VLOOKUP(A2427,'PLANILHA SEM DESON'!$B$17:$D$1699,2,FALSE)</f>
        <v xml:space="preserve">REQUADRO DE GRANITO BRANCO SIENA PARA A ÁREA DO JARDIM </v>
      </c>
      <c r="C2427" s="1924"/>
      <c r="D2427" s="1924"/>
      <c r="E2427" s="1924"/>
      <c r="F2427" s="1924"/>
      <c r="G2427" s="1924"/>
      <c r="H2427" s="1925"/>
      <c r="I2427" s="1758" t="str">
        <f>VLOOKUP(A2427,'PLANILHA SEM DESON'!$B$17:$D$1699,3,FALSE)</f>
        <v>m²</v>
      </c>
      <c r="J2427" s="1759">
        <f>I2438</f>
        <v>1002.9100000000001</v>
      </c>
    </row>
    <row r="2428" spans="1:10" ht="24">
      <c r="A2428" s="1761" t="s">
        <v>2401</v>
      </c>
      <c r="B2428" s="1762" t="s">
        <v>2402</v>
      </c>
      <c r="C2428" s="1763" t="s">
        <v>2399</v>
      </c>
      <c r="D2428" s="1764" t="s">
        <v>284</v>
      </c>
      <c r="E2428" s="1763" t="s">
        <v>193</v>
      </c>
      <c r="F2428" s="1765" t="s">
        <v>2403</v>
      </c>
      <c r="G2428" s="1763" t="s">
        <v>2404</v>
      </c>
      <c r="H2428" s="1766" t="s">
        <v>2405</v>
      </c>
      <c r="I2428" s="1767" t="s">
        <v>2406</v>
      </c>
      <c r="J2428" s="1768"/>
    </row>
    <row r="2429" spans="1:10" ht="24">
      <c r="A2429" s="1770"/>
      <c r="B2429" s="1771"/>
      <c r="C2429" s="1771">
        <v>88256</v>
      </c>
      <c r="D2429" s="1772" t="s">
        <v>1429</v>
      </c>
      <c r="E2429" s="1773" t="s">
        <v>57</v>
      </c>
      <c r="F2429" s="1782">
        <v>1.7</v>
      </c>
      <c r="G2429" s="1779">
        <v>24.49</v>
      </c>
      <c r="H2429" s="1775">
        <f t="shared" ref="H2429:H2437" si="346">IF(E2429="H",G2429,TRUNC(G2429*(1-$K$7),2))</f>
        <v>24.49</v>
      </c>
      <c r="I2429" s="1776">
        <f t="shared" ref="I2429:I2437" si="347">TRUNC(H2429*F2429,2)</f>
        <v>41.63</v>
      </c>
      <c r="J2429" s="1768"/>
    </row>
    <row r="2430" spans="1:10">
      <c r="A2430" s="1770"/>
      <c r="B2430" s="1771"/>
      <c r="C2430" s="1771">
        <v>88309</v>
      </c>
      <c r="D2430" s="1772" t="s">
        <v>103</v>
      </c>
      <c r="E2430" s="1773" t="s">
        <v>57</v>
      </c>
      <c r="F2430" s="1782">
        <v>0.6</v>
      </c>
      <c r="G2430" s="1780">
        <v>24.59</v>
      </c>
      <c r="H2430" s="1775">
        <f t="shared" si="346"/>
        <v>24.59</v>
      </c>
      <c r="I2430" s="1776">
        <f t="shared" ref="I2430:I2431" si="348">TRUNC(H2430*F2430,2)</f>
        <v>14.75</v>
      </c>
      <c r="J2430" s="1768"/>
    </row>
    <row r="2431" spans="1:10">
      <c r="A2431" s="1770"/>
      <c r="B2431" s="1771"/>
      <c r="C2431" s="1771">
        <v>88316</v>
      </c>
      <c r="D2431" s="1772" t="s">
        <v>66</v>
      </c>
      <c r="E2431" s="1773" t="s">
        <v>57</v>
      </c>
      <c r="F2431" s="1782">
        <v>1.8</v>
      </c>
      <c r="G2431" s="1781">
        <v>19.45</v>
      </c>
      <c r="H2431" s="1775">
        <f t="shared" si="346"/>
        <v>19.45</v>
      </c>
      <c r="I2431" s="1776">
        <f t="shared" si="348"/>
        <v>35.01</v>
      </c>
      <c r="J2431" s="1768"/>
    </row>
    <row r="2432" spans="1:10" ht="24">
      <c r="A2432" s="1770"/>
      <c r="B2432" s="1771"/>
      <c r="C2432" s="1771">
        <v>370</v>
      </c>
      <c r="D2432" s="1772" t="s">
        <v>388</v>
      </c>
      <c r="E2432" s="1773" t="s">
        <v>47</v>
      </c>
      <c r="F2432" s="1782">
        <v>2.1000000000000001E-2</v>
      </c>
      <c r="G2432" s="1779">
        <v>125</v>
      </c>
      <c r="H2432" s="1775">
        <f t="shared" si="346"/>
        <v>124.25</v>
      </c>
      <c r="I2432" s="1776">
        <f t="shared" si="347"/>
        <v>2.6</v>
      </c>
      <c r="J2432" s="1768"/>
    </row>
    <row r="2433" spans="1:10">
      <c r="A2433" s="1770"/>
      <c r="B2433" s="1771"/>
      <c r="C2433" s="1771">
        <v>1106</v>
      </c>
      <c r="D2433" s="1772" t="s">
        <v>500</v>
      </c>
      <c r="E2433" s="1773" t="s">
        <v>100</v>
      </c>
      <c r="F2433" s="1782">
        <v>4.6399999999999997</v>
      </c>
      <c r="G2433" s="1779">
        <v>0.95</v>
      </c>
      <c r="H2433" s="1775">
        <f t="shared" si="346"/>
        <v>0.94</v>
      </c>
      <c r="I2433" s="1776">
        <f t="shared" si="347"/>
        <v>4.3600000000000003</v>
      </c>
      <c r="J2433" s="1768"/>
    </row>
    <row r="2434" spans="1:10" ht="24">
      <c r="A2434" s="1770"/>
      <c r="B2434" s="1771"/>
      <c r="C2434" s="1771">
        <v>34361</v>
      </c>
      <c r="D2434" s="1772" t="s">
        <v>1617</v>
      </c>
      <c r="E2434" s="1773" t="s">
        <v>100</v>
      </c>
      <c r="F2434" s="1782">
        <v>1.34</v>
      </c>
      <c r="G2434" s="1779">
        <v>21.57</v>
      </c>
      <c r="H2434" s="1775">
        <f t="shared" si="346"/>
        <v>21.44</v>
      </c>
      <c r="I2434" s="1776">
        <f t="shared" si="347"/>
        <v>28.72</v>
      </c>
      <c r="J2434" s="1768"/>
    </row>
    <row r="2435" spans="1:10">
      <c r="A2435" s="1770"/>
      <c r="B2435" s="1771"/>
      <c r="C2435" s="1771">
        <v>13284</v>
      </c>
      <c r="D2435" s="1772" t="s">
        <v>1963</v>
      </c>
      <c r="E2435" s="1773" t="s">
        <v>100</v>
      </c>
      <c r="F2435" s="1779">
        <v>2.2200000000000002</v>
      </c>
      <c r="G2435" s="1779">
        <v>0.95</v>
      </c>
      <c r="H2435" s="1775">
        <f t="shared" si="346"/>
        <v>0.94</v>
      </c>
      <c r="I2435" s="1776">
        <f t="shared" si="347"/>
        <v>2.08</v>
      </c>
      <c r="J2435" s="1768"/>
    </row>
    <row r="2436" spans="1:10">
      <c r="A2436" s="1770"/>
      <c r="B2436" s="1771"/>
      <c r="C2436" s="1771">
        <v>1380</v>
      </c>
      <c r="D2436" s="1772" t="s">
        <v>1618</v>
      </c>
      <c r="E2436" s="1773" t="s">
        <v>100</v>
      </c>
      <c r="F2436" s="1779">
        <v>2.5</v>
      </c>
      <c r="G2436" s="1779">
        <v>2.95</v>
      </c>
      <c r="H2436" s="1775">
        <f t="shared" si="346"/>
        <v>2.93</v>
      </c>
      <c r="I2436" s="1776">
        <f t="shared" si="347"/>
        <v>7.32</v>
      </c>
      <c r="J2436" s="1768"/>
    </row>
    <row r="2437" spans="1:10" ht="36">
      <c r="A2437" s="1770"/>
      <c r="B2437" s="1771"/>
      <c r="C2437" s="1771">
        <v>11795</v>
      </c>
      <c r="D2437" s="1772" t="s">
        <v>1616</v>
      </c>
      <c r="E2437" s="1773" t="s">
        <v>46</v>
      </c>
      <c r="F2437" s="1779">
        <v>1.05</v>
      </c>
      <c r="G2437" s="1779">
        <v>830.18</v>
      </c>
      <c r="H2437" s="1775">
        <f t="shared" si="346"/>
        <v>825.19</v>
      </c>
      <c r="I2437" s="1776">
        <f t="shared" si="347"/>
        <v>866.44</v>
      </c>
      <c r="J2437" s="1768"/>
    </row>
    <row r="2438" spans="1:10">
      <c r="A2438" s="1917" t="s">
        <v>2408</v>
      </c>
      <c r="B2438" s="1918"/>
      <c r="C2438" s="1918"/>
      <c r="D2438" s="1918"/>
      <c r="E2438" s="1918"/>
      <c r="F2438" s="1918"/>
      <c r="G2438" s="1918"/>
      <c r="H2438" s="1919"/>
      <c r="I2438" s="1778">
        <f>SUM(I2429:I2437)</f>
        <v>1002.9100000000001</v>
      </c>
      <c r="J2438" s="1768"/>
    </row>
    <row r="2439" spans="1:10">
      <c r="A2439" s="1920"/>
      <c r="B2439" s="1921"/>
      <c r="C2439" s="1921"/>
      <c r="D2439" s="1921"/>
      <c r="E2439" s="1921"/>
      <c r="F2439" s="1921"/>
      <c r="G2439" s="1921"/>
      <c r="H2439" s="1921"/>
      <c r="I2439" s="1922"/>
      <c r="J2439" s="1768"/>
    </row>
    <row r="2440" spans="1:10" ht="24.75" customHeight="1">
      <c r="A2440" s="1757">
        <f>'PLANILHA SEM DESON'!B381</f>
        <v>98562</v>
      </c>
      <c r="B2440" s="1923" t="str">
        <f>VLOOKUP(A2440,'PLANILHA SEM DESON'!$B$17:$D$1699,2,FALSE)</f>
        <v>IMPERMEABILIZAÇÃO DE FLOREIRA OU VIGA BALDRAME COM ARGAMASSA DE CIMENTO E AREIA, COM ADITIVO IMPERMEABILIZANTE, E = 2 CM. AF_06/2018</v>
      </c>
      <c r="C2440" s="1924"/>
      <c r="D2440" s="1924"/>
      <c r="E2440" s="1924"/>
      <c r="F2440" s="1924"/>
      <c r="G2440" s="1924"/>
      <c r="H2440" s="1925"/>
      <c r="I2440" s="1758" t="str">
        <f>VLOOKUP(A2440,'PLANILHA SEM DESON'!$B$17:$D$1699,3,FALSE)</f>
        <v>m²</v>
      </c>
      <c r="J2440" s="1759">
        <f>I2446</f>
        <v>45.29999999999999</v>
      </c>
    </row>
    <row r="2441" spans="1:10" ht="24">
      <c r="A2441" s="1761" t="s">
        <v>2401</v>
      </c>
      <c r="B2441" s="1762" t="s">
        <v>2402</v>
      </c>
      <c r="C2441" s="1763" t="s">
        <v>2399</v>
      </c>
      <c r="D2441" s="1764" t="s">
        <v>284</v>
      </c>
      <c r="E2441" s="1763" t="s">
        <v>193</v>
      </c>
      <c r="F2441" s="1765" t="s">
        <v>2403</v>
      </c>
      <c r="G2441" s="1763" t="s">
        <v>2404</v>
      </c>
      <c r="H2441" s="1766" t="s">
        <v>2405</v>
      </c>
      <c r="I2441" s="1767" t="s">
        <v>2406</v>
      </c>
      <c r="J2441" s="1768"/>
    </row>
    <row r="2442" spans="1:10" ht="36">
      <c r="A2442" s="1770" t="s">
        <v>2407</v>
      </c>
      <c r="B2442" s="1771" t="s">
        <v>2410</v>
      </c>
      <c r="C2442" s="1771">
        <v>123</v>
      </c>
      <c r="D2442" s="1772" t="s">
        <v>2751</v>
      </c>
      <c r="E2442" s="1773" t="s">
        <v>424</v>
      </c>
      <c r="F2442" s="1780">
        <v>0.55900000000000005</v>
      </c>
      <c r="G2442" s="1774">
        <v>9.1999999999999993</v>
      </c>
      <c r="H2442" s="1775">
        <f>IF(E2442="H",G2442,TRUNC(G2442*(1-$K$7),2))</f>
        <v>9.14</v>
      </c>
      <c r="I2442" s="1776">
        <f t="shared" ref="I2442:I2445" si="349">TRUNC(H2442*F2442,2)</f>
        <v>5.0999999999999996</v>
      </c>
      <c r="J2442" s="1768"/>
    </row>
    <row r="2443" spans="1:10" ht="36">
      <c r="A2443" s="1770" t="s">
        <v>2407</v>
      </c>
      <c r="B2443" s="1771" t="s">
        <v>7</v>
      </c>
      <c r="C2443" s="1771">
        <v>87298</v>
      </c>
      <c r="D2443" s="1772" t="s">
        <v>2752</v>
      </c>
      <c r="E2443" s="1773" t="s">
        <v>1132</v>
      </c>
      <c r="F2443" s="1780">
        <v>2.5000000000000001E-2</v>
      </c>
      <c r="G2443" s="1774">
        <v>780.11</v>
      </c>
      <c r="H2443" s="1775">
        <f>IF(E2443="H",G2443,TRUNC(G2443*(1-$K$7),2))</f>
        <v>775.42</v>
      </c>
      <c r="I2443" s="1776">
        <f t="shared" si="349"/>
        <v>19.38</v>
      </c>
      <c r="J2443" s="1768"/>
    </row>
    <row r="2444" spans="1:10">
      <c r="A2444" s="1770" t="s">
        <v>2407</v>
      </c>
      <c r="B2444" s="1771" t="s">
        <v>7</v>
      </c>
      <c r="C2444" s="1771">
        <v>88309</v>
      </c>
      <c r="D2444" s="1772" t="s">
        <v>103</v>
      </c>
      <c r="E2444" s="1773" t="s">
        <v>387</v>
      </c>
      <c r="F2444" s="1780">
        <v>0.73</v>
      </c>
      <c r="G2444" s="1774">
        <v>24.59</v>
      </c>
      <c r="H2444" s="1775">
        <f>IF(E2444="H",G2444,TRUNC(G2444*(1-$K$7),2))</f>
        <v>24.59</v>
      </c>
      <c r="I2444" s="1776">
        <f t="shared" si="349"/>
        <v>17.95</v>
      </c>
      <c r="J2444" s="1768"/>
    </row>
    <row r="2445" spans="1:10">
      <c r="A2445" s="1770" t="s">
        <v>2407</v>
      </c>
      <c r="B2445" s="1771" t="s">
        <v>7</v>
      </c>
      <c r="C2445" s="1771">
        <v>88316</v>
      </c>
      <c r="D2445" s="1772" t="s">
        <v>66</v>
      </c>
      <c r="E2445" s="1773" t="s">
        <v>387</v>
      </c>
      <c r="F2445" s="1780">
        <v>0.14799999999999999</v>
      </c>
      <c r="G2445" s="1774">
        <v>19.45</v>
      </c>
      <c r="H2445" s="1775">
        <f>IF(E2445="H",G2445,TRUNC(G2445*(1-$K$7),2))</f>
        <v>19.45</v>
      </c>
      <c r="I2445" s="1776">
        <f t="shared" si="349"/>
        <v>2.87</v>
      </c>
      <c r="J2445" s="1768"/>
    </row>
    <row r="2446" spans="1:10">
      <c r="A2446" s="1917" t="s">
        <v>2408</v>
      </c>
      <c r="B2446" s="1918"/>
      <c r="C2446" s="1918"/>
      <c r="D2446" s="1918"/>
      <c r="E2446" s="1918"/>
      <c r="F2446" s="1918"/>
      <c r="G2446" s="1918"/>
      <c r="H2446" s="1919"/>
      <c r="I2446" s="1778">
        <f>SUM(I2442:I2445)</f>
        <v>45.29999999999999</v>
      </c>
      <c r="J2446" s="1768"/>
    </row>
    <row r="2447" spans="1:10">
      <c r="A2447" s="1920"/>
      <c r="B2447" s="1921"/>
      <c r="C2447" s="1921"/>
      <c r="D2447" s="1921"/>
      <c r="E2447" s="1921"/>
      <c r="F2447" s="1921"/>
      <c r="G2447" s="1921"/>
      <c r="H2447" s="1921"/>
      <c r="I2447" s="1922"/>
      <c r="J2447" s="1768"/>
    </row>
    <row r="2448" spans="1:10" ht="24" customHeight="1">
      <c r="A2448" s="1757">
        <f>'PLANILHA SEM DESON'!B383</f>
        <v>96534</v>
      </c>
      <c r="B2448" s="1923" t="str">
        <f>VLOOKUP(A2448,'PLANILHA SEM DESON'!$B$17:$D$1699,2,FALSE)</f>
        <v>FABRICAÇÃO, MONTAGEM E DESMONTAGEM DE FÔRMA PARA BLOCO DE COROAMENTO,EM MADEIRA SERRADA, E=25 MM, 4 UTILIZAÇÕES. AF_06/2017</v>
      </c>
      <c r="C2448" s="1924"/>
      <c r="D2448" s="1924"/>
      <c r="E2448" s="1924"/>
      <c r="F2448" s="1924"/>
      <c r="G2448" s="1924"/>
      <c r="H2448" s="1925"/>
      <c r="I2448" s="1758" t="str">
        <f>VLOOKUP(A2448,'PLANILHA SEM DESON'!$B$17:$D$1699,3,FALSE)</f>
        <v>m²</v>
      </c>
      <c r="J2448" s="1759">
        <f>I2460</f>
        <v>87.570000000000007</v>
      </c>
    </row>
    <row r="2449" spans="1:10" ht="24">
      <c r="A2449" s="1761" t="s">
        <v>2401</v>
      </c>
      <c r="B2449" s="1762" t="s">
        <v>2402</v>
      </c>
      <c r="C2449" s="1763" t="s">
        <v>2399</v>
      </c>
      <c r="D2449" s="1764" t="s">
        <v>284</v>
      </c>
      <c r="E2449" s="1763" t="s">
        <v>193</v>
      </c>
      <c r="F2449" s="1765" t="s">
        <v>2403</v>
      </c>
      <c r="G2449" s="1763" t="s">
        <v>2404</v>
      </c>
      <c r="H2449" s="1766" t="s">
        <v>2405</v>
      </c>
      <c r="I2449" s="1767" t="s">
        <v>2406</v>
      </c>
      <c r="J2449" s="1768"/>
    </row>
    <row r="2450" spans="1:10" ht="24">
      <c r="A2450" s="1770" t="s">
        <v>2407</v>
      </c>
      <c r="B2450" s="1771" t="s">
        <v>2410</v>
      </c>
      <c r="C2450" s="1771">
        <v>2692</v>
      </c>
      <c r="D2450" s="1772" t="s">
        <v>1679</v>
      </c>
      <c r="E2450" s="1773" t="s">
        <v>424</v>
      </c>
      <c r="F2450" s="1780">
        <v>1.7000000000000001E-2</v>
      </c>
      <c r="G2450" s="1774">
        <v>8.84</v>
      </c>
      <c r="H2450" s="1775">
        <f t="shared" ref="H2450:H2459" si="350">IF(E2450="H",G2450,TRUNC(G2450*(1-$K$7),2))</f>
        <v>8.7799999999999994</v>
      </c>
      <c r="I2450" s="1776">
        <f t="shared" ref="I2450:I2459" si="351">TRUNC(H2450*F2450,2)</f>
        <v>0.14000000000000001</v>
      </c>
      <c r="J2450" s="1768"/>
    </row>
    <row r="2451" spans="1:10" ht="24">
      <c r="A2451" s="1770" t="s">
        <v>2407</v>
      </c>
      <c r="B2451" s="1771" t="s">
        <v>2410</v>
      </c>
      <c r="C2451" s="1771">
        <v>4491</v>
      </c>
      <c r="D2451" s="1772" t="s">
        <v>1390</v>
      </c>
      <c r="E2451" s="1773" t="s">
        <v>158</v>
      </c>
      <c r="F2451" s="1780">
        <v>0.625</v>
      </c>
      <c r="G2451" s="1774">
        <v>11.67</v>
      </c>
      <c r="H2451" s="1775">
        <f t="shared" si="350"/>
        <v>11.59</v>
      </c>
      <c r="I2451" s="1776">
        <f t="shared" ref="I2451:I2453" si="352">TRUNC(H2451*F2451,2)</f>
        <v>7.24</v>
      </c>
      <c r="J2451" s="1768"/>
    </row>
    <row r="2452" spans="1:10" ht="24">
      <c r="A2452" s="1770" t="s">
        <v>2407</v>
      </c>
      <c r="B2452" s="1771" t="s">
        <v>2410</v>
      </c>
      <c r="C2452" s="1771">
        <v>4517</v>
      </c>
      <c r="D2452" s="1772" t="s">
        <v>1680</v>
      </c>
      <c r="E2452" s="1773" t="s">
        <v>158</v>
      </c>
      <c r="F2452" s="1780">
        <v>0.92400000000000004</v>
      </c>
      <c r="G2452" s="1774">
        <v>4.08</v>
      </c>
      <c r="H2452" s="1775">
        <f t="shared" si="350"/>
        <v>4.05</v>
      </c>
      <c r="I2452" s="1776">
        <f t="shared" si="352"/>
        <v>3.74</v>
      </c>
      <c r="J2452" s="1768"/>
    </row>
    <row r="2453" spans="1:10" ht="24">
      <c r="A2453" s="1770" t="s">
        <v>2407</v>
      </c>
      <c r="B2453" s="1771" t="s">
        <v>2410</v>
      </c>
      <c r="C2453" s="1771">
        <v>5074</v>
      </c>
      <c r="D2453" s="1772" t="s">
        <v>2753</v>
      </c>
      <c r="E2453" s="1773" t="s">
        <v>1145</v>
      </c>
      <c r="F2453" s="1780">
        <v>1.0999999999999999E-2</v>
      </c>
      <c r="G2453" s="1774">
        <v>29.01</v>
      </c>
      <c r="H2453" s="1775">
        <f t="shared" si="350"/>
        <v>28.83</v>
      </c>
      <c r="I2453" s="1776">
        <f t="shared" si="352"/>
        <v>0.31</v>
      </c>
      <c r="J2453" s="1768"/>
    </row>
    <row r="2454" spans="1:10" ht="36">
      <c r="A2454" s="1770" t="s">
        <v>2407</v>
      </c>
      <c r="B2454" s="1771" t="s">
        <v>2410</v>
      </c>
      <c r="C2454" s="1771">
        <v>6189</v>
      </c>
      <c r="D2454" s="1772" t="s">
        <v>1392</v>
      </c>
      <c r="E2454" s="1773" t="s">
        <v>158</v>
      </c>
      <c r="F2454" s="1780">
        <v>1.0589999999999999</v>
      </c>
      <c r="G2454" s="1774">
        <v>26.29</v>
      </c>
      <c r="H2454" s="1775">
        <f t="shared" si="350"/>
        <v>26.13</v>
      </c>
      <c r="I2454" s="1776">
        <f t="shared" si="351"/>
        <v>27.67</v>
      </c>
      <c r="J2454" s="1768"/>
    </row>
    <row r="2455" spans="1:10" ht="24">
      <c r="A2455" s="1770" t="s">
        <v>2407</v>
      </c>
      <c r="B2455" s="1771" t="s">
        <v>2410</v>
      </c>
      <c r="C2455" s="1771">
        <v>40304</v>
      </c>
      <c r="D2455" s="1772" t="s">
        <v>2549</v>
      </c>
      <c r="E2455" s="1773" t="s">
        <v>1145</v>
      </c>
      <c r="F2455" s="1780">
        <v>4.3999999999999997E-2</v>
      </c>
      <c r="G2455" s="1774">
        <v>31.95</v>
      </c>
      <c r="H2455" s="1775">
        <f t="shared" si="350"/>
        <v>31.75</v>
      </c>
      <c r="I2455" s="1776">
        <f t="shared" si="351"/>
        <v>1.39</v>
      </c>
      <c r="J2455" s="1768"/>
    </row>
    <row r="2456" spans="1:10" ht="24">
      <c r="A2456" s="1770" t="s">
        <v>2407</v>
      </c>
      <c r="B2456" s="1771" t="s">
        <v>7</v>
      </c>
      <c r="C2456" s="1771">
        <v>88239</v>
      </c>
      <c r="D2456" s="1772" t="s">
        <v>423</v>
      </c>
      <c r="E2456" s="1773" t="s">
        <v>387</v>
      </c>
      <c r="F2456" s="1780">
        <v>0.58899999999999997</v>
      </c>
      <c r="G2456" s="1774">
        <v>20.55</v>
      </c>
      <c r="H2456" s="1775">
        <f t="shared" si="350"/>
        <v>20.55</v>
      </c>
      <c r="I2456" s="1776">
        <f t="shared" si="351"/>
        <v>12.1</v>
      </c>
      <c r="J2456" s="1768"/>
    </row>
    <row r="2457" spans="1:10" ht="24">
      <c r="A2457" s="1770" t="s">
        <v>2407</v>
      </c>
      <c r="B2457" s="1771" t="s">
        <v>7</v>
      </c>
      <c r="C2457" s="1771">
        <v>88262</v>
      </c>
      <c r="D2457" s="1772" t="s">
        <v>411</v>
      </c>
      <c r="E2457" s="1773" t="s">
        <v>387</v>
      </c>
      <c r="F2457" s="1780">
        <v>1.413</v>
      </c>
      <c r="G2457" s="1774">
        <v>24.32</v>
      </c>
      <c r="H2457" s="1775">
        <f t="shared" si="350"/>
        <v>24.32</v>
      </c>
      <c r="I2457" s="1776">
        <f t="shared" si="351"/>
        <v>34.36</v>
      </c>
      <c r="J2457" s="1768"/>
    </row>
    <row r="2458" spans="1:10" ht="36">
      <c r="A2458" s="1770" t="s">
        <v>2407</v>
      </c>
      <c r="B2458" s="1771" t="s">
        <v>7</v>
      </c>
      <c r="C2458" s="1771">
        <v>91692</v>
      </c>
      <c r="D2458" s="1772" t="s">
        <v>2424</v>
      </c>
      <c r="E2458" s="1773" t="s">
        <v>425</v>
      </c>
      <c r="F2458" s="1780">
        <v>1.7999999999999999E-2</v>
      </c>
      <c r="G2458" s="1774">
        <v>20.41</v>
      </c>
      <c r="H2458" s="1775">
        <f t="shared" si="350"/>
        <v>20.28</v>
      </c>
      <c r="I2458" s="1776">
        <f t="shared" si="351"/>
        <v>0.36</v>
      </c>
      <c r="J2458" s="1768"/>
    </row>
    <row r="2459" spans="1:10" ht="36">
      <c r="A2459" s="1770" t="s">
        <v>2407</v>
      </c>
      <c r="B2459" s="1771" t="s">
        <v>7</v>
      </c>
      <c r="C2459" s="1771">
        <v>91693</v>
      </c>
      <c r="D2459" s="1772" t="s">
        <v>2425</v>
      </c>
      <c r="E2459" s="1773" t="s">
        <v>545</v>
      </c>
      <c r="F2459" s="1780">
        <v>1.4E-2</v>
      </c>
      <c r="G2459" s="1774">
        <v>18.84</v>
      </c>
      <c r="H2459" s="1775">
        <f t="shared" si="350"/>
        <v>18.72</v>
      </c>
      <c r="I2459" s="1776">
        <f t="shared" si="351"/>
        <v>0.26</v>
      </c>
      <c r="J2459" s="1768"/>
    </row>
    <row r="2460" spans="1:10">
      <c r="A2460" s="1917" t="s">
        <v>2408</v>
      </c>
      <c r="B2460" s="1918"/>
      <c r="C2460" s="1918"/>
      <c r="D2460" s="1918"/>
      <c r="E2460" s="1918"/>
      <c r="F2460" s="1918"/>
      <c r="G2460" s="1918"/>
      <c r="H2460" s="1919"/>
      <c r="I2460" s="1778">
        <f>SUM(I2450:I2459)</f>
        <v>87.570000000000007</v>
      </c>
      <c r="J2460" s="1768"/>
    </row>
    <row r="2461" spans="1:10">
      <c r="A2461" s="1920"/>
      <c r="B2461" s="1921"/>
      <c r="C2461" s="1921"/>
      <c r="D2461" s="1921"/>
      <c r="E2461" s="1921"/>
      <c r="F2461" s="1921"/>
      <c r="G2461" s="1921"/>
      <c r="H2461" s="1921"/>
      <c r="I2461" s="1922"/>
      <c r="J2461" s="1768"/>
    </row>
    <row r="2462" spans="1:10" ht="24.75" customHeight="1">
      <c r="A2462" s="1757">
        <f>'PLANILHA SEM DESON'!B388</f>
        <v>101173</v>
      </c>
      <c r="B2462" s="1923" t="str">
        <f>VLOOKUP(A2462,'PLANILHA SEM DESON'!$B$17:$D$1699,2,FALSE)</f>
        <v>ESTACA BROCA DE CONCRETO, DIÂMETRO DE 20CM, ESCAVAÇÃO MANUAL COM TRADO CONCHA, COM ARMADURA DE ARRANQUE. AF_05/2020</v>
      </c>
      <c r="C2462" s="1924"/>
      <c r="D2462" s="1924"/>
      <c r="E2462" s="1924"/>
      <c r="F2462" s="1924"/>
      <c r="G2462" s="1924"/>
      <c r="H2462" s="1925"/>
      <c r="I2462" s="1758" t="str">
        <f>VLOOKUP(A2462,'PLANILHA SEM DESON'!$B$17:$D$1699,3,FALSE)</f>
        <v>m</v>
      </c>
      <c r="J2462" s="1759">
        <f>I2468</f>
        <v>63.88</v>
      </c>
    </row>
    <row r="2463" spans="1:10" ht="24">
      <c r="A2463" s="1761" t="s">
        <v>2401</v>
      </c>
      <c r="B2463" s="1762" t="s">
        <v>2402</v>
      </c>
      <c r="C2463" s="1763" t="s">
        <v>2399</v>
      </c>
      <c r="D2463" s="1764" t="s">
        <v>284</v>
      </c>
      <c r="E2463" s="1763" t="s">
        <v>193</v>
      </c>
      <c r="F2463" s="1765" t="s">
        <v>2403</v>
      </c>
      <c r="G2463" s="1763" t="s">
        <v>2404</v>
      </c>
      <c r="H2463" s="1766" t="s">
        <v>2405</v>
      </c>
      <c r="I2463" s="1767" t="s">
        <v>2406</v>
      </c>
      <c r="J2463" s="1768"/>
    </row>
    <row r="2464" spans="1:10">
      <c r="A2464" s="1770" t="s">
        <v>2407</v>
      </c>
      <c r="B2464" s="1771" t="s">
        <v>7</v>
      </c>
      <c r="C2464" s="1771">
        <v>88309</v>
      </c>
      <c r="D2464" s="1772" t="s">
        <v>103</v>
      </c>
      <c r="E2464" s="1773" t="s">
        <v>387</v>
      </c>
      <c r="F2464" s="1780">
        <v>0.48599999999999999</v>
      </c>
      <c r="G2464" s="1774">
        <v>24.59</v>
      </c>
      <c r="H2464" s="1775">
        <f>IF(E2464="H",G2464,TRUNC(G2464*(1-$K$7),2))</f>
        <v>24.59</v>
      </c>
      <c r="I2464" s="1776">
        <f t="shared" ref="I2464:I2467" si="353">TRUNC(H2464*F2464,2)</f>
        <v>11.95</v>
      </c>
      <c r="J2464" s="1768"/>
    </row>
    <row r="2465" spans="1:10">
      <c r="A2465" s="1770" t="s">
        <v>2407</v>
      </c>
      <c r="B2465" s="1771" t="s">
        <v>7</v>
      </c>
      <c r="C2465" s="1771">
        <v>88316</v>
      </c>
      <c r="D2465" s="1772" t="s">
        <v>66</v>
      </c>
      <c r="E2465" s="1773" t="s">
        <v>387</v>
      </c>
      <c r="F2465" s="1780">
        <v>0.66500000000000004</v>
      </c>
      <c r="G2465" s="1774">
        <v>19.45</v>
      </c>
      <c r="H2465" s="1775">
        <f>IF(E2465="H",G2465,TRUNC(G2465*(1-$K$7),2))</f>
        <v>19.45</v>
      </c>
      <c r="I2465" s="1776">
        <f t="shared" si="353"/>
        <v>12.93</v>
      </c>
      <c r="J2465" s="1768"/>
    </row>
    <row r="2466" spans="1:10" ht="24">
      <c r="A2466" s="1770" t="s">
        <v>2407</v>
      </c>
      <c r="B2466" s="1771" t="s">
        <v>7</v>
      </c>
      <c r="C2466" s="1771">
        <v>92803</v>
      </c>
      <c r="D2466" s="1772" t="s">
        <v>2167</v>
      </c>
      <c r="E2466" s="1773" t="s">
        <v>1145</v>
      </c>
      <c r="F2466" s="1780">
        <v>1.36</v>
      </c>
      <c r="G2466" s="1774">
        <v>12.06</v>
      </c>
      <c r="H2466" s="1775">
        <f>IF(E2466="H",G2466,TRUNC(G2466*(1-$K$7),2))</f>
        <v>11.98</v>
      </c>
      <c r="I2466" s="1776">
        <f t="shared" si="353"/>
        <v>16.29</v>
      </c>
      <c r="J2466" s="1768"/>
    </row>
    <row r="2467" spans="1:10" ht="36">
      <c r="A2467" s="1770" t="s">
        <v>2407</v>
      </c>
      <c r="B2467" s="1771" t="s">
        <v>7</v>
      </c>
      <c r="C2467" s="1771">
        <v>94970</v>
      </c>
      <c r="D2467" s="1772" t="s">
        <v>2586</v>
      </c>
      <c r="E2467" s="1773" t="s">
        <v>1132</v>
      </c>
      <c r="F2467" s="1780">
        <v>4.2999999999999997E-2</v>
      </c>
      <c r="G2467" s="1774">
        <v>531.49</v>
      </c>
      <c r="H2467" s="1775">
        <f>IF(E2467="H",G2467,TRUNC(G2467*(1-$K$7),2))</f>
        <v>528.29999999999995</v>
      </c>
      <c r="I2467" s="1776">
        <f t="shared" si="353"/>
        <v>22.71</v>
      </c>
      <c r="J2467" s="1768"/>
    </row>
    <row r="2468" spans="1:10">
      <c r="A2468" s="1917" t="s">
        <v>2408</v>
      </c>
      <c r="B2468" s="1918"/>
      <c r="C2468" s="1918"/>
      <c r="D2468" s="1918"/>
      <c r="E2468" s="1918"/>
      <c r="F2468" s="1918"/>
      <c r="G2468" s="1918"/>
      <c r="H2468" s="1919"/>
      <c r="I2468" s="1778">
        <f>SUM(I2464:I2467)</f>
        <v>63.88</v>
      </c>
      <c r="J2468" s="1768"/>
    </row>
    <row r="2469" spans="1:10">
      <c r="A2469" s="1920"/>
      <c r="B2469" s="1921"/>
      <c r="C2469" s="1921"/>
      <c r="D2469" s="1921"/>
      <c r="E2469" s="1921"/>
      <c r="F2469" s="1921"/>
      <c r="G2469" s="1921"/>
      <c r="H2469" s="1921"/>
      <c r="I2469" s="1922"/>
      <c r="J2469" s="1768"/>
    </row>
    <row r="2470" spans="1:10" ht="31.5" customHeight="1">
      <c r="A2470" s="1757">
        <f>'PLANILHA SEM DESON'!B391</f>
        <v>95583</v>
      </c>
      <c r="B2470" s="1923" t="str">
        <f>VLOOKUP(A2470,'PLANILHA SEM DESON'!$B$17:$D$1699,2,FALSE)</f>
        <v>MONTAGEM DE ARMADURA TRANSVERSAL DE ESTACAS DE SEÇÃO CIRCULAR, DIÂMETRO = 5,0 MM. AF_09/2021_P</v>
      </c>
      <c r="C2470" s="1924"/>
      <c r="D2470" s="1924"/>
      <c r="E2470" s="1924"/>
      <c r="F2470" s="1924"/>
      <c r="G2470" s="1924"/>
      <c r="H2470" s="1925"/>
      <c r="I2470" s="1758" t="str">
        <f>VLOOKUP(A2470,'PLANILHA SEM DESON'!$B$17:$D$1699,3,FALSE)</f>
        <v>Kg</v>
      </c>
      <c r="J2470" s="1759">
        <f>I2477</f>
        <v>17.689999999999998</v>
      </c>
    </row>
    <row r="2471" spans="1:10" ht="24">
      <c r="A2471" s="1761" t="s">
        <v>2401</v>
      </c>
      <c r="B2471" s="1762" t="s">
        <v>2402</v>
      </c>
      <c r="C2471" s="1763" t="s">
        <v>2399</v>
      </c>
      <c r="D2471" s="1764" t="s">
        <v>284</v>
      </c>
      <c r="E2471" s="1763" t="s">
        <v>193</v>
      </c>
      <c r="F2471" s="1765" t="s">
        <v>2403</v>
      </c>
      <c r="G2471" s="1763" t="s">
        <v>2404</v>
      </c>
      <c r="H2471" s="1766" t="s">
        <v>2405</v>
      </c>
      <c r="I2471" s="1767" t="s">
        <v>2406</v>
      </c>
      <c r="J2471" s="1768"/>
    </row>
    <row r="2472" spans="1:10" ht="36">
      <c r="A2472" s="1770" t="s">
        <v>2407</v>
      </c>
      <c r="B2472" s="1771" t="s">
        <v>2410</v>
      </c>
      <c r="C2472" s="1771">
        <v>39017</v>
      </c>
      <c r="D2472" s="1772" t="s">
        <v>2558</v>
      </c>
      <c r="E2472" s="1773" t="s">
        <v>2432</v>
      </c>
      <c r="F2472" s="1780">
        <v>1.19</v>
      </c>
      <c r="G2472" s="1774">
        <v>0.22</v>
      </c>
      <c r="H2472" s="1775">
        <f>IF(E2472="H",G2472,TRUNC(G2472*(1-$K$7),2))</f>
        <v>0.21</v>
      </c>
      <c r="I2472" s="1776">
        <f t="shared" ref="I2472:I2476" si="354">TRUNC(H2472*F2472,2)</f>
        <v>0.24</v>
      </c>
      <c r="J2472" s="1768"/>
    </row>
    <row r="2473" spans="1:10" ht="24">
      <c r="A2473" s="1770" t="s">
        <v>2407</v>
      </c>
      <c r="B2473" s="1771" t="s">
        <v>2410</v>
      </c>
      <c r="C2473" s="1771">
        <v>43132</v>
      </c>
      <c r="D2473" s="1772" t="s">
        <v>2559</v>
      </c>
      <c r="E2473" s="1773" t="s">
        <v>1340</v>
      </c>
      <c r="F2473" s="1780">
        <v>0.02</v>
      </c>
      <c r="G2473" s="1774">
        <v>24.9</v>
      </c>
      <c r="H2473" s="1775">
        <f>IF(E2473="H",G2473,TRUNC(G2473*(1-$K$7),2))</f>
        <v>24.75</v>
      </c>
      <c r="I2473" s="1776">
        <f t="shared" si="354"/>
        <v>0.49</v>
      </c>
      <c r="J2473" s="1768"/>
    </row>
    <row r="2474" spans="1:10" ht="24">
      <c r="A2474" s="1770" t="s">
        <v>2407</v>
      </c>
      <c r="B2474" s="1771" t="s">
        <v>7</v>
      </c>
      <c r="C2474" s="1771">
        <v>88238</v>
      </c>
      <c r="D2474" s="1772" t="s">
        <v>1173</v>
      </c>
      <c r="E2474" s="1773" t="s">
        <v>387</v>
      </c>
      <c r="F2474" s="1780">
        <v>3.3000000000000002E-2</v>
      </c>
      <c r="G2474" s="1774">
        <v>19.41</v>
      </c>
      <c r="H2474" s="1775">
        <f>IF(E2474="H",G2474,TRUNC(G2474*(1-$K$7),2))</f>
        <v>19.41</v>
      </c>
      <c r="I2474" s="1776">
        <f t="shared" si="354"/>
        <v>0.64</v>
      </c>
      <c r="J2474" s="1768"/>
    </row>
    <row r="2475" spans="1:10">
      <c r="A2475" s="1770" t="s">
        <v>2407</v>
      </c>
      <c r="B2475" s="1771" t="s">
        <v>7</v>
      </c>
      <c r="C2475" s="1771">
        <v>88245</v>
      </c>
      <c r="D2475" s="1772" t="s">
        <v>1174</v>
      </c>
      <c r="E2475" s="1773" t="s">
        <v>387</v>
      </c>
      <c r="F2475" s="1780">
        <v>0.16520000000000001</v>
      </c>
      <c r="G2475" s="1774">
        <v>24.44</v>
      </c>
      <c r="H2475" s="1775">
        <f>IF(E2475="H",G2475,TRUNC(G2475*(1-$K$7),2))</f>
        <v>24.44</v>
      </c>
      <c r="I2475" s="1776">
        <f t="shared" si="354"/>
        <v>4.03</v>
      </c>
      <c r="J2475" s="1768"/>
    </row>
    <row r="2476" spans="1:10" ht="24">
      <c r="A2476" s="1770" t="s">
        <v>2407</v>
      </c>
      <c r="B2476" s="1771" t="s">
        <v>7</v>
      </c>
      <c r="C2476" s="1771">
        <v>92800</v>
      </c>
      <c r="D2476" s="1772" t="s">
        <v>2366</v>
      </c>
      <c r="E2476" s="1773" t="s">
        <v>1145</v>
      </c>
      <c r="F2476" s="1780">
        <v>1</v>
      </c>
      <c r="G2476" s="1774">
        <v>12.37</v>
      </c>
      <c r="H2476" s="1775">
        <f>IF(E2476="H",G2476,TRUNC(G2476*(1-$K$7),2))</f>
        <v>12.29</v>
      </c>
      <c r="I2476" s="1776">
        <f t="shared" si="354"/>
        <v>12.29</v>
      </c>
      <c r="J2476" s="1768"/>
    </row>
    <row r="2477" spans="1:10">
      <c r="A2477" s="1917" t="s">
        <v>2408</v>
      </c>
      <c r="B2477" s="1918"/>
      <c r="C2477" s="1918"/>
      <c r="D2477" s="1918"/>
      <c r="E2477" s="1918"/>
      <c r="F2477" s="1918"/>
      <c r="G2477" s="1918"/>
      <c r="H2477" s="1919"/>
      <c r="I2477" s="1778">
        <f>SUM(I2472:I2476)</f>
        <v>17.689999999999998</v>
      </c>
      <c r="J2477" s="1768"/>
    </row>
    <row r="2478" spans="1:10">
      <c r="A2478" s="1920"/>
      <c r="B2478" s="1921"/>
      <c r="C2478" s="1921"/>
      <c r="D2478" s="1921"/>
      <c r="E2478" s="1921"/>
      <c r="F2478" s="1921"/>
      <c r="G2478" s="1921"/>
      <c r="H2478" s="1921"/>
      <c r="I2478" s="1922"/>
      <c r="J2478" s="1768"/>
    </row>
    <row r="2479" spans="1:10" ht="30" customHeight="1">
      <c r="A2479" s="1757">
        <f>'PLANILHA SEM DESON'!B392</f>
        <v>95577</v>
      </c>
      <c r="B2479" s="1923" t="str">
        <f>VLOOKUP(A2479,'PLANILHA SEM DESON'!$B$17:$D$1699,2,FALSE)</f>
        <v>MONTAGEM DE ARMADURA DE ESTACAS, DIÂMETRO = 10,0 MM. AF_09/2021_P</v>
      </c>
      <c r="C2479" s="1924"/>
      <c r="D2479" s="1924"/>
      <c r="E2479" s="1924"/>
      <c r="F2479" s="1924"/>
      <c r="G2479" s="1924"/>
      <c r="H2479" s="1925"/>
      <c r="I2479" s="1758" t="str">
        <f>VLOOKUP(A2479,'PLANILHA SEM DESON'!$B$17:$D$1699,3,FALSE)</f>
        <v>Kg</v>
      </c>
      <c r="J2479" s="1759">
        <f>I2486</f>
        <v>13.43</v>
      </c>
    </row>
    <row r="2480" spans="1:10" ht="24">
      <c r="A2480" s="1761" t="s">
        <v>2401</v>
      </c>
      <c r="B2480" s="1762" t="s">
        <v>2402</v>
      </c>
      <c r="C2480" s="1763" t="s">
        <v>2399</v>
      </c>
      <c r="D2480" s="1764" t="s">
        <v>284</v>
      </c>
      <c r="E2480" s="1763" t="s">
        <v>193</v>
      </c>
      <c r="F2480" s="1765" t="s">
        <v>2403</v>
      </c>
      <c r="G2480" s="1763" t="s">
        <v>2404</v>
      </c>
      <c r="H2480" s="1766" t="s">
        <v>2405</v>
      </c>
      <c r="I2480" s="1767" t="s">
        <v>2406</v>
      </c>
      <c r="J2480" s="1768"/>
    </row>
    <row r="2481" spans="1:10" ht="36">
      <c r="A2481" s="1770" t="s">
        <v>2407</v>
      </c>
      <c r="B2481" s="1771" t="s">
        <v>2410</v>
      </c>
      <c r="C2481" s="1771">
        <v>39017</v>
      </c>
      <c r="D2481" s="1772" t="s">
        <v>2558</v>
      </c>
      <c r="E2481" s="1773" t="s">
        <v>2432</v>
      </c>
      <c r="F2481" s="1780">
        <v>0.54300000000000004</v>
      </c>
      <c r="G2481" s="1774">
        <v>0.22</v>
      </c>
      <c r="H2481" s="1775">
        <f>IF(E2481="H",G2481,TRUNC(G2481*(1-$K$7),2))</f>
        <v>0.21</v>
      </c>
      <c r="I2481" s="1776">
        <f t="shared" ref="I2481:I2485" si="355">TRUNC(H2481*F2481,2)</f>
        <v>0.11</v>
      </c>
      <c r="J2481" s="1768"/>
    </row>
    <row r="2482" spans="1:10" ht="24">
      <c r="A2482" s="1770" t="s">
        <v>2407</v>
      </c>
      <c r="B2482" s="1771" t="s">
        <v>2410</v>
      </c>
      <c r="C2482" s="1771">
        <v>43132</v>
      </c>
      <c r="D2482" s="1772" t="s">
        <v>2559</v>
      </c>
      <c r="E2482" s="1773" t="s">
        <v>1340</v>
      </c>
      <c r="F2482" s="1780">
        <v>0.02</v>
      </c>
      <c r="G2482" s="1774">
        <v>24.9</v>
      </c>
      <c r="H2482" s="1775">
        <f>IF(E2482="H",G2482,TRUNC(G2482*(1-$K$7),2))</f>
        <v>24.75</v>
      </c>
      <c r="I2482" s="1776">
        <f t="shared" si="355"/>
        <v>0.49</v>
      </c>
      <c r="J2482" s="1768"/>
    </row>
    <row r="2483" spans="1:10" ht="24">
      <c r="A2483" s="1770" t="s">
        <v>2407</v>
      </c>
      <c r="B2483" s="1771" t="s">
        <v>7</v>
      </c>
      <c r="C2483" s="1771">
        <v>88238</v>
      </c>
      <c r="D2483" s="1772" t="s">
        <v>1173</v>
      </c>
      <c r="E2483" s="1773" t="s">
        <v>387</v>
      </c>
      <c r="F2483" s="1780">
        <v>6.1000000000000004E-3</v>
      </c>
      <c r="G2483" s="1774">
        <v>19.41</v>
      </c>
      <c r="H2483" s="1775">
        <f>IF(E2483="H",G2483,TRUNC(G2483*(1-$K$7),2))</f>
        <v>19.41</v>
      </c>
      <c r="I2483" s="1776">
        <f t="shared" si="355"/>
        <v>0.11</v>
      </c>
      <c r="J2483" s="1768"/>
    </row>
    <row r="2484" spans="1:10">
      <c r="A2484" s="1770" t="s">
        <v>2407</v>
      </c>
      <c r="B2484" s="1771" t="s">
        <v>7</v>
      </c>
      <c r="C2484" s="1771">
        <v>88245</v>
      </c>
      <c r="D2484" s="1772" t="s">
        <v>1174</v>
      </c>
      <c r="E2484" s="1773" t="s">
        <v>387</v>
      </c>
      <c r="F2484" s="1780">
        <v>3.0599999999999999E-2</v>
      </c>
      <c r="G2484" s="1774">
        <v>24.44</v>
      </c>
      <c r="H2484" s="1775">
        <f>IF(E2484="H",G2484,TRUNC(G2484*(1-$K$7),2))</f>
        <v>24.44</v>
      </c>
      <c r="I2484" s="1776">
        <f t="shared" si="355"/>
        <v>0.74</v>
      </c>
      <c r="J2484" s="1768"/>
    </row>
    <row r="2485" spans="1:10" ht="24">
      <c r="A2485" s="1770" t="s">
        <v>2407</v>
      </c>
      <c r="B2485" s="1771" t="s">
        <v>7</v>
      </c>
      <c r="C2485" s="1771">
        <v>92803</v>
      </c>
      <c r="D2485" s="1772" t="s">
        <v>2167</v>
      </c>
      <c r="E2485" s="1773" t="s">
        <v>1145</v>
      </c>
      <c r="F2485" s="1780">
        <v>1</v>
      </c>
      <c r="G2485" s="1774">
        <v>12.06</v>
      </c>
      <c r="H2485" s="1775">
        <f>IF(E2485="H",G2485,TRUNC(G2485*(1-$K$7),2))</f>
        <v>11.98</v>
      </c>
      <c r="I2485" s="1776">
        <f t="shared" si="355"/>
        <v>11.98</v>
      </c>
      <c r="J2485" s="1768"/>
    </row>
    <row r="2486" spans="1:10">
      <c r="A2486" s="1917" t="s">
        <v>2408</v>
      </c>
      <c r="B2486" s="1918"/>
      <c r="C2486" s="1918"/>
      <c r="D2486" s="1918"/>
      <c r="E2486" s="1918"/>
      <c r="F2486" s="1918"/>
      <c r="G2486" s="1918"/>
      <c r="H2486" s="1919"/>
      <c r="I2486" s="1778">
        <f>SUM(I2481:I2485)</f>
        <v>13.43</v>
      </c>
      <c r="J2486" s="1768"/>
    </row>
    <row r="2487" spans="1:10">
      <c r="A2487" s="1920"/>
      <c r="B2487" s="1921"/>
      <c r="C2487" s="1921"/>
      <c r="D2487" s="1921"/>
      <c r="E2487" s="1921"/>
      <c r="F2487" s="1921"/>
      <c r="G2487" s="1921"/>
      <c r="H2487" s="1921"/>
      <c r="I2487" s="1922"/>
      <c r="J2487" s="1768"/>
    </row>
    <row r="2488" spans="1:10" ht="34.5" customHeight="1">
      <c r="A2488" s="1757">
        <f>'PLANILHA SEM DESON'!B394</f>
        <v>92427</v>
      </c>
      <c r="B2488" s="1923" t="str">
        <f>VLOOKUP(A2488,'PLANILHA SEM DESON'!$B$17:$D$1699,2,FALSE)</f>
        <v>MONTAGEM E DESMONTAGEM DE FÔRMA DE PILARES RETANGULARES E ESTRUTURAS SIMILARES, PÉ-DIREITO SIMPLES, EM CHAPA DE MADEIRA COMPENSADA RESINADA, 8 UTILIZAÇÕES. AF_09/2020</v>
      </c>
      <c r="C2488" s="1924"/>
      <c r="D2488" s="1924"/>
      <c r="E2488" s="1924"/>
      <c r="F2488" s="1924"/>
      <c r="G2488" s="1924"/>
      <c r="H2488" s="1925"/>
      <c r="I2488" s="1758" t="str">
        <f>VLOOKUP(A2488,'PLANILHA SEM DESON'!$B$17:$D$1699,3,FALSE)</f>
        <v>m²</v>
      </c>
      <c r="J2488" s="1759">
        <f>I2498</f>
        <v>69.3</v>
      </c>
    </row>
    <row r="2489" spans="1:10" ht="24">
      <c r="A2489" s="1761" t="s">
        <v>2401</v>
      </c>
      <c r="B2489" s="1762" t="s">
        <v>2402</v>
      </c>
      <c r="C2489" s="1763" t="s">
        <v>2399</v>
      </c>
      <c r="D2489" s="1764" t="s">
        <v>284</v>
      </c>
      <c r="E2489" s="1763" t="s">
        <v>193</v>
      </c>
      <c r="F2489" s="1765" t="s">
        <v>2403</v>
      </c>
      <c r="G2489" s="1763" t="s">
        <v>2404</v>
      </c>
      <c r="H2489" s="1766" t="s">
        <v>2405</v>
      </c>
      <c r="I2489" s="1767" t="s">
        <v>2406</v>
      </c>
      <c r="J2489" s="1768"/>
    </row>
    <row r="2490" spans="1:10" ht="24">
      <c r="A2490" s="1770" t="s">
        <v>2407</v>
      </c>
      <c r="B2490" s="1771" t="s">
        <v>2410</v>
      </c>
      <c r="C2490" s="1771">
        <v>2692</v>
      </c>
      <c r="D2490" s="1772" t="s">
        <v>1679</v>
      </c>
      <c r="E2490" s="1773" t="s">
        <v>424</v>
      </c>
      <c r="F2490" s="1780">
        <v>0.01</v>
      </c>
      <c r="G2490" s="1774">
        <v>8.84</v>
      </c>
      <c r="H2490" s="1775">
        <f t="shared" ref="H2490:H2497" si="356">IF(E2490="H",G2490,TRUNC(G2490*(1-$K$7),2))</f>
        <v>8.7799999999999994</v>
      </c>
      <c r="I2490" s="1776">
        <f t="shared" ref="I2490:I2497" si="357">TRUNC(H2490*F2490,2)</f>
        <v>0.08</v>
      </c>
      <c r="J2490" s="1768"/>
    </row>
    <row r="2491" spans="1:10" ht="36">
      <c r="A2491" s="1770" t="s">
        <v>2407</v>
      </c>
      <c r="B2491" s="1771" t="s">
        <v>2410</v>
      </c>
      <c r="C2491" s="1771">
        <v>40271</v>
      </c>
      <c r="D2491" s="1772" t="s">
        <v>2567</v>
      </c>
      <c r="E2491" s="1773" t="s">
        <v>2563</v>
      </c>
      <c r="F2491" s="1780">
        <v>0.19600000000000001</v>
      </c>
      <c r="G2491" s="1774">
        <v>15.6</v>
      </c>
      <c r="H2491" s="1775">
        <f t="shared" si="356"/>
        <v>15.5</v>
      </c>
      <c r="I2491" s="1776">
        <f t="shared" si="357"/>
        <v>3.03</v>
      </c>
      <c r="J2491" s="1768"/>
    </row>
    <row r="2492" spans="1:10" ht="36">
      <c r="A2492" s="1770" t="s">
        <v>2407</v>
      </c>
      <c r="B2492" s="1771" t="s">
        <v>2410</v>
      </c>
      <c r="C2492" s="1771">
        <v>40275</v>
      </c>
      <c r="D2492" s="1772" t="s">
        <v>2568</v>
      </c>
      <c r="E2492" s="1773" t="s">
        <v>2563</v>
      </c>
      <c r="F2492" s="1780">
        <v>0.39300000000000002</v>
      </c>
      <c r="G2492" s="1774">
        <v>24</v>
      </c>
      <c r="H2492" s="1775">
        <f t="shared" si="356"/>
        <v>23.85</v>
      </c>
      <c r="I2492" s="1776">
        <f t="shared" si="357"/>
        <v>9.3699999999999992</v>
      </c>
      <c r="J2492" s="1768"/>
    </row>
    <row r="2493" spans="1:10" ht="36">
      <c r="A2493" s="1770" t="s">
        <v>2407</v>
      </c>
      <c r="B2493" s="1771" t="s">
        <v>2410</v>
      </c>
      <c r="C2493" s="1771">
        <v>40287</v>
      </c>
      <c r="D2493" s="1772" t="s">
        <v>2569</v>
      </c>
      <c r="E2493" s="1773" t="s">
        <v>2563</v>
      </c>
      <c r="F2493" s="1780">
        <v>0.78500000000000003</v>
      </c>
      <c r="G2493" s="1774">
        <v>6</v>
      </c>
      <c r="H2493" s="1775">
        <f t="shared" si="356"/>
        <v>5.96</v>
      </c>
      <c r="I2493" s="1776">
        <f t="shared" ref="I2493" si="358">TRUNC(H2493*F2493,2)</f>
        <v>4.67</v>
      </c>
      <c r="J2493" s="1768"/>
    </row>
    <row r="2494" spans="1:10" ht="24">
      <c r="A2494" s="1770" t="s">
        <v>2407</v>
      </c>
      <c r="B2494" s="1771" t="s">
        <v>2410</v>
      </c>
      <c r="C2494" s="1771">
        <v>40304</v>
      </c>
      <c r="D2494" s="1772" t="s">
        <v>2549</v>
      </c>
      <c r="E2494" s="1773" t="s">
        <v>1145</v>
      </c>
      <c r="F2494" s="1780">
        <v>1.9E-2</v>
      </c>
      <c r="G2494" s="1774">
        <v>31.95</v>
      </c>
      <c r="H2494" s="1775">
        <f t="shared" si="356"/>
        <v>31.75</v>
      </c>
      <c r="I2494" s="1776">
        <f t="shared" si="357"/>
        <v>0.6</v>
      </c>
      <c r="J2494" s="1768"/>
    </row>
    <row r="2495" spans="1:10" ht="24">
      <c r="A2495" s="1770" t="s">
        <v>2407</v>
      </c>
      <c r="B2495" s="1771" t="s">
        <v>7</v>
      </c>
      <c r="C2495" s="1771">
        <v>88239</v>
      </c>
      <c r="D2495" s="1772" t="s">
        <v>423</v>
      </c>
      <c r="E2495" s="1773" t="s">
        <v>387</v>
      </c>
      <c r="F2495" s="1780">
        <v>0.127</v>
      </c>
      <c r="G2495" s="1774">
        <v>20.55</v>
      </c>
      <c r="H2495" s="1775">
        <f t="shared" si="356"/>
        <v>20.55</v>
      </c>
      <c r="I2495" s="1776">
        <f t="shared" si="357"/>
        <v>2.6</v>
      </c>
      <c r="J2495" s="1768"/>
    </row>
    <row r="2496" spans="1:10" ht="24">
      <c r="A2496" s="1770" t="s">
        <v>2407</v>
      </c>
      <c r="B2496" s="1771" t="s">
        <v>7</v>
      </c>
      <c r="C2496" s="1771">
        <v>88262</v>
      </c>
      <c r="D2496" s="1772" t="s">
        <v>411</v>
      </c>
      <c r="E2496" s="1773" t="s">
        <v>387</v>
      </c>
      <c r="F2496" s="1780">
        <v>0.69499999999999995</v>
      </c>
      <c r="G2496" s="1774">
        <v>24.32</v>
      </c>
      <c r="H2496" s="1775">
        <f t="shared" si="356"/>
        <v>24.32</v>
      </c>
      <c r="I2496" s="1776">
        <f t="shared" si="357"/>
        <v>16.899999999999999</v>
      </c>
      <c r="J2496" s="1768"/>
    </row>
    <row r="2497" spans="1:10" ht="36">
      <c r="A2497" s="1770" t="s">
        <v>2407</v>
      </c>
      <c r="B2497" s="1771" t="s">
        <v>7</v>
      </c>
      <c r="C2497" s="1771">
        <v>92263</v>
      </c>
      <c r="D2497" s="1772" t="s">
        <v>2754</v>
      </c>
      <c r="E2497" s="1773" t="s">
        <v>1137</v>
      </c>
      <c r="F2497" s="1780">
        <v>0.15</v>
      </c>
      <c r="G2497" s="1774">
        <v>215.01</v>
      </c>
      <c r="H2497" s="1775">
        <f t="shared" si="356"/>
        <v>213.71</v>
      </c>
      <c r="I2497" s="1776">
        <f t="shared" si="357"/>
        <v>32.049999999999997</v>
      </c>
      <c r="J2497" s="1768"/>
    </row>
    <row r="2498" spans="1:10">
      <c r="A2498" s="1917" t="s">
        <v>2408</v>
      </c>
      <c r="B2498" s="1918"/>
      <c r="C2498" s="1918"/>
      <c r="D2498" s="1918"/>
      <c r="E2498" s="1918"/>
      <c r="F2498" s="1918"/>
      <c r="G2498" s="1918"/>
      <c r="H2498" s="1919"/>
      <c r="I2498" s="1778">
        <f>SUM(I2490:I2497)</f>
        <v>69.3</v>
      </c>
      <c r="J2498" s="1768"/>
    </row>
    <row r="2499" spans="1:10">
      <c r="A2499" s="1920"/>
      <c r="B2499" s="1921"/>
      <c r="C2499" s="1921"/>
      <c r="D2499" s="1921"/>
      <c r="E2499" s="1921"/>
      <c r="F2499" s="1921"/>
      <c r="G2499" s="1921"/>
      <c r="H2499" s="1921"/>
      <c r="I2499" s="1922"/>
      <c r="J2499" s="1768"/>
    </row>
    <row r="2500" spans="1:10" ht="24" customHeight="1">
      <c r="A2500" s="1757">
        <f>'PLANILHA SEM DESON'!B397</f>
        <v>104111</v>
      </c>
      <c r="B2500" s="1923" t="str">
        <f>VLOOKUP(A2500,'PLANILHA SEM DESON'!$B$17:$D$1699,2,FALSE)</f>
        <v>ARMAÇÃO DE PILAR OU VIGA DE ESTRUTURA DE CONCRETO ARMADO EMBUTIDA EM ALVENARIA DE VEDAÇÃO UTILIZANDO AÇO CA-60 DE 5,0 MM - MONTAGEM. AF_06/2022</v>
      </c>
      <c r="C2500" s="1924"/>
      <c r="D2500" s="1924"/>
      <c r="E2500" s="1924"/>
      <c r="F2500" s="1924"/>
      <c r="G2500" s="1924"/>
      <c r="H2500" s="1925"/>
      <c r="I2500" s="1758" t="str">
        <f>VLOOKUP(A2500,'PLANILHA SEM DESON'!$B$17:$D$1699,3,FALSE)</f>
        <v>Kg</v>
      </c>
      <c r="J2500" s="1759">
        <f>I2507</f>
        <v>21.68</v>
      </c>
    </row>
    <row r="2501" spans="1:10" ht="24">
      <c r="A2501" s="1761" t="s">
        <v>2401</v>
      </c>
      <c r="B2501" s="1762" t="s">
        <v>2402</v>
      </c>
      <c r="C2501" s="1763" t="s">
        <v>2399</v>
      </c>
      <c r="D2501" s="1764" t="s">
        <v>284</v>
      </c>
      <c r="E2501" s="1763" t="s">
        <v>193</v>
      </c>
      <c r="F2501" s="1765" t="s">
        <v>2403</v>
      </c>
      <c r="G2501" s="1763" t="s">
        <v>2404</v>
      </c>
      <c r="H2501" s="1766" t="s">
        <v>2405</v>
      </c>
      <c r="I2501" s="1767" t="s">
        <v>2406</v>
      </c>
      <c r="J2501" s="1768"/>
    </row>
    <row r="2502" spans="1:10" ht="36">
      <c r="A2502" s="1770" t="s">
        <v>2407</v>
      </c>
      <c r="B2502" s="1771" t="s">
        <v>2410</v>
      </c>
      <c r="C2502" s="1771">
        <v>39017</v>
      </c>
      <c r="D2502" s="1772" t="s">
        <v>2558</v>
      </c>
      <c r="E2502" s="1773" t="s">
        <v>2432</v>
      </c>
      <c r="F2502" s="1780">
        <v>1.19</v>
      </c>
      <c r="G2502" s="1774">
        <v>0.22</v>
      </c>
      <c r="H2502" s="1775">
        <f>IF(E2502="H",G2502,TRUNC(G2502*(1-$K$7),2))</f>
        <v>0.21</v>
      </c>
      <c r="I2502" s="1776">
        <f t="shared" ref="I2502:I2506" si="359">TRUNC(H2502*F2502,2)</f>
        <v>0.24</v>
      </c>
      <c r="J2502" s="1768"/>
    </row>
    <row r="2503" spans="1:10" ht="24">
      <c r="A2503" s="1770" t="s">
        <v>2407</v>
      </c>
      <c r="B2503" s="1771" t="s">
        <v>2410</v>
      </c>
      <c r="C2503" s="1771">
        <v>43132</v>
      </c>
      <c r="D2503" s="1772" t="s">
        <v>2559</v>
      </c>
      <c r="E2503" s="1773" t="s">
        <v>1340</v>
      </c>
      <c r="F2503" s="1780">
        <v>2.5000000000000001E-2</v>
      </c>
      <c r="G2503" s="1774">
        <v>24.9</v>
      </c>
      <c r="H2503" s="1775">
        <f>IF(E2503="H",G2503,TRUNC(G2503*(1-$K$7),2))</f>
        <v>24.75</v>
      </c>
      <c r="I2503" s="1776">
        <f t="shared" si="359"/>
        <v>0.61</v>
      </c>
      <c r="J2503" s="1768"/>
    </row>
    <row r="2504" spans="1:10" ht="24">
      <c r="A2504" s="1770" t="s">
        <v>2407</v>
      </c>
      <c r="B2504" s="1771" t="s">
        <v>7</v>
      </c>
      <c r="C2504" s="1771">
        <v>88238</v>
      </c>
      <c r="D2504" s="1772" t="s">
        <v>1173</v>
      </c>
      <c r="E2504" s="1773" t="s">
        <v>387</v>
      </c>
      <c r="F2504" s="1780">
        <v>5.0500000000000003E-2</v>
      </c>
      <c r="G2504" s="1774">
        <v>19.41</v>
      </c>
      <c r="H2504" s="1775">
        <f>IF(E2504="H",G2504,TRUNC(G2504*(1-$K$7),2))</f>
        <v>19.41</v>
      </c>
      <c r="I2504" s="1776">
        <f t="shared" si="359"/>
        <v>0.98</v>
      </c>
      <c r="J2504" s="1768"/>
    </row>
    <row r="2505" spans="1:10">
      <c r="A2505" s="1770" t="s">
        <v>2407</v>
      </c>
      <c r="B2505" s="1771" t="s">
        <v>7</v>
      </c>
      <c r="C2505" s="1771">
        <v>88245</v>
      </c>
      <c r="D2505" s="1772" t="s">
        <v>1174</v>
      </c>
      <c r="E2505" s="1773" t="s">
        <v>387</v>
      </c>
      <c r="F2505" s="1780">
        <v>0.30940000000000001</v>
      </c>
      <c r="G2505" s="1774">
        <v>24.44</v>
      </c>
      <c r="H2505" s="1775">
        <f>IF(E2505="H",G2505,TRUNC(G2505*(1-$K$7),2))</f>
        <v>24.44</v>
      </c>
      <c r="I2505" s="1776">
        <f t="shared" si="359"/>
        <v>7.56</v>
      </c>
      <c r="J2505" s="1768"/>
    </row>
    <row r="2506" spans="1:10" ht="24">
      <c r="A2506" s="1770" t="s">
        <v>2407</v>
      </c>
      <c r="B2506" s="1771" t="s">
        <v>7</v>
      </c>
      <c r="C2506" s="1771">
        <v>92800</v>
      </c>
      <c r="D2506" s="1772" t="s">
        <v>2366</v>
      </c>
      <c r="E2506" s="1773" t="s">
        <v>1145</v>
      </c>
      <c r="F2506" s="1780">
        <v>1</v>
      </c>
      <c r="G2506" s="1774">
        <v>12.37</v>
      </c>
      <c r="H2506" s="1775">
        <f>IF(E2506="H",G2506,TRUNC(G2506*(1-$K$7),2))</f>
        <v>12.29</v>
      </c>
      <c r="I2506" s="1776">
        <f t="shared" si="359"/>
        <v>12.29</v>
      </c>
      <c r="J2506" s="1768"/>
    </row>
    <row r="2507" spans="1:10">
      <c r="A2507" s="1917" t="s">
        <v>2408</v>
      </c>
      <c r="B2507" s="1918"/>
      <c r="C2507" s="1918"/>
      <c r="D2507" s="1918"/>
      <c r="E2507" s="1918"/>
      <c r="F2507" s="1918"/>
      <c r="G2507" s="1918"/>
      <c r="H2507" s="1919"/>
      <c r="I2507" s="1778">
        <f>SUM(I2502:I2506)</f>
        <v>21.68</v>
      </c>
      <c r="J2507" s="1768"/>
    </row>
    <row r="2508" spans="1:10">
      <c r="A2508" s="1920"/>
      <c r="B2508" s="1921"/>
      <c r="C2508" s="1921"/>
      <c r="D2508" s="1921"/>
      <c r="E2508" s="1921"/>
      <c r="F2508" s="1921"/>
      <c r="G2508" s="1921"/>
      <c r="H2508" s="1921"/>
      <c r="I2508" s="1922"/>
      <c r="J2508" s="1768"/>
    </row>
    <row r="2509" spans="1:10" ht="27.75" customHeight="1">
      <c r="A2509" s="1757">
        <f>'PLANILHA SEM DESON'!B401</f>
        <v>87894</v>
      </c>
      <c r="B2509" s="1923" t="str">
        <f>VLOOKUP(A2509,'PLANILHA SEM DESON'!$B$17:$D$1699,2,FALSE)</f>
        <v>CHAPISCO APLICADO EM ALVENARIA (SEM PRESENÇA DE VÃOS) E ESTRUTURAS DE CONCRETO DE FACHADA, COM COLHER DE PEDREIRO. ARGAMASSA TRAÇO 1:3 COM PREPARO EM BETONEIRA 400L. AF_06/2014</v>
      </c>
      <c r="C2509" s="1924"/>
      <c r="D2509" s="1924"/>
      <c r="E2509" s="1924"/>
      <c r="F2509" s="1924"/>
      <c r="G2509" s="1924"/>
      <c r="H2509" s="1925"/>
      <c r="I2509" s="1758" t="str">
        <f>VLOOKUP(A2509,'PLANILHA SEM DESON'!$B$17:$D$1699,3,FALSE)</f>
        <v>m²</v>
      </c>
      <c r="J2509" s="1759">
        <f>I2514</f>
        <v>6.53</v>
      </c>
    </row>
    <row r="2510" spans="1:10" ht="24">
      <c r="A2510" s="1761" t="s">
        <v>2401</v>
      </c>
      <c r="B2510" s="1762" t="s">
        <v>2402</v>
      </c>
      <c r="C2510" s="1763" t="s">
        <v>2399</v>
      </c>
      <c r="D2510" s="1764" t="s">
        <v>284</v>
      </c>
      <c r="E2510" s="1763" t="s">
        <v>193</v>
      </c>
      <c r="F2510" s="1765" t="s">
        <v>2403</v>
      </c>
      <c r="G2510" s="1763" t="s">
        <v>2404</v>
      </c>
      <c r="H2510" s="1766" t="s">
        <v>2405</v>
      </c>
      <c r="I2510" s="1767" t="s">
        <v>2406</v>
      </c>
      <c r="J2510" s="1768"/>
    </row>
    <row r="2511" spans="1:10" ht="48">
      <c r="A2511" s="1770" t="s">
        <v>2407</v>
      </c>
      <c r="B2511" s="1771" t="s">
        <v>7</v>
      </c>
      <c r="C2511" s="1771">
        <v>87313</v>
      </c>
      <c r="D2511" s="1772" t="s">
        <v>2593</v>
      </c>
      <c r="E2511" s="1773" t="s">
        <v>1132</v>
      </c>
      <c r="F2511" s="1780">
        <v>3.7000000000000002E-3</v>
      </c>
      <c r="G2511" s="1774">
        <v>601.51</v>
      </c>
      <c r="H2511" s="1775">
        <f>IF(E2511="H",G2511,TRUNC(G2511*(1-$K$7),2))</f>
        <v>597.9</v>
      </c>
      <c r="I2511" s="1776">
        <f t="shared" ref="I2511:I2513" si="360">TRUNC(H2511*F2511,2)</f>
        <v>2.21</v>
      </c>
      <c r="J2511" s="1768"/>
    </row>
    <row r="2512" spans="1:10">
      <c r="A2512" s="1770" t="s">
        <v>2407</v>
      </c>
      <c r="B2512" s="1771" t="s">
        <v>7</v>
      </c>
      <c r="C2512" s="1771">
        <v>88309</v>
      </c>
      <c r="D2512" s="1772" t="s">
        <v>103</v>
      </c>
      <c r="E2512" s="1773" t="s">
        <v>387</v>
      </c>
      <c r="F2512" s="1780">
        <v>0.1394</v>
      </c>
      <c r="G2512" s="1774">
        <v>24.59</v>
      </c>
      <c r="H2512" s="1775">
        <f>IF(E2512="H",G2512,TRUNC(G2512*(1-$K$7),2))</f>
        <v>24.59</v>
      </c>
      <c r="I2512" s="1776">
        <f t="shared" si="360"/>
        <v>3.42</v>
      </c>
      <c r="J2512" s="1768"/>
    </row>
    <row r="2513" spans="1:10">
      <c r="A2513" s="1770" t="s">
        <v>2407</v>
      </c>
      <c r="B2513" s="1771" t="s">
        <v>7</v>
      </c>
      <c r="C2513" s="1771">
        <v>88316</v>
      </c>
      <c r="D2513" s="1772" t="s">
        <v>66</v>
      </c>
      <c r="E2513" s="1773" t="s">
        <v>387</v>
      </c>
      <c r="F2513" s="1780">
        <v>4.65E-2</v>
      </c>
      <c r="G2513" s="1774">
        <v>19.45</v>
      </c>
      <c r="H2513" s="1775">
        <f>IF(E2513="H",G2513,TRUNC(G2513*(1-$K$7),2))</f>
        <v>19.45</v>
      </c>
      <c r="I2513" s="1776">
        <f t="shared" si="360"/>
        <v>0.9</v>
      </c>
      <c r="J2513" s="1768"/>
    </row>
    <row r="2514" spans="1:10">
      <c r="A2514" s="1917" t="s">
        <v>2408</v>
      </c>
      <c r="B2514" s="1918"/>
      <c r="C2514" s="1918"/>
      <c r="D2514" s="1918"/>
      <c r="E2514" s="1918"/>
      <c r="F2514" s="1918"/>
      <c r="G2514" s="1918"/>
      <c r="H2514" s="1919"/>
      <c r="I2514" s="1778">
        <f>SUM(I2511:I2513)</f>
        <v>6.53</v>
      </c>
      <c r="J2514" s="1768"/>
    </row>
    <row r="2515" spans="1:10">
      <c r="A2515" s="1920"/>
      <c r="B2515" s="1921"/>
      <c r="C2515" s="1921"/>
      <c r="D2515" s="1921"/>
      <c r="E2515" s="1921"/>
      <c r="F2515" s="1921"/>
      <c r="G2515" s="1921"/>
      <c r="H2515" s="1921"/>
      <c r="I2515" s="1922"/>
      <c r="J2515" s="1768"/>
    </row>
    <row r="2516" spans="1:10" ht="33" customHeight="1">
      <c r="A2516" s="1757">
        <f>'PLANILHA SEM DESON'!B402</f>
        <v>87792</v>
      </c>
      <c r="B2516" s="1923" t="str">
        <f>VLOOKUP(A2516,'PLANILHA SEM DESON'!$B$17:$D$1699,2,FALSE)</f>
        <v>EMBOÇO OU MASSA ÚNICA EM ARGAMASSA TRAÇO 1:2:8, PREPARO MECÂNICO COM BETONEIRA 400 L, APLICADA MANUALMENTE EM PANOS CEGOS DE FACHADA (SEM PRESENÇA DE VÃOS), ESPESSURA DE 25 MM. AF_08/2022</v>
      </c>
      <c r="C2516" s="1924"/>
      <c r="D2516" s="1924"/>
      <c r="E2516" s="1924"/>
      <c r="F2516" s="1924"/>
      <c r="G2516" s="1924"/>
      <c r="H2516" s="1925"/>
      <c r="I2516" s="1758" t="str">
        <f>VLOOKUP(A2516,'PLANILHA SEM DESON'!$B$17:$D$1699,3,FALSE)</f>
        <v>m²</v>
      </c>
      <c r="J2516" s="1759">
        <f>I2522</f>
        <v>39.03</v>
      </c>
    </row>
    <row r="2517" spans="1:10" ht="24">
      <c r="A2517" s="1761" t="s">
        <v>2401</v>
      </c>
      <c r="B2517" s="1762" t="s">
        <v>2402</v>
      </c>
      <c r="C2517" s="1763" t="s">
        <v>2399</v>
      </c>
      <c r="D2517" s="1764" t="s">
        <v>284</v>
      </c>
      <c r="E2517" s="1763" t="s">
        <v>193</v>
      </c>
      <c r="F2517" s="1765" t="s">
        <v>2403</v>
      </c>
      <c r="G2517" s="1763" t="s">
        <v>2404</v>
      </c>
      <c r="H2517" s="1766" t="s">
        <v>2405</v>
      </c>
      <c r="I2517" s="1767" t="s">
        <v>2406</v>
      </c>
      <c r="J2517" s="1768"/>
    </row>
    <row r="2518" spans="1:10" ht="24">
      <c r="A2518" s="1770" t="s">
        <v>2407</v>
      </c>
      <c r="B2518" s="1771" t="s">
        <v>2410</v>
      </c>
      <c r="C2518" s="1771">
        <v>37411</v>
      </c>
      <c r="D2518" s="1772" t="s">
        <v>2755</v>
      </c>
      <c r="E2518" s="1773" t="s">
        <v>1137</v>
      </c>
      <c r="F2518" s="1780">
        <v>0.15809999999999999</v>
      </c>
      <c r="G2518" s="1774">
        <v>26.78</v>
      </c>
      <c r="H2518" s="1775">
        <f>IF(E2518="H",G2518,TRUNC(G2518*(1-$K$7),2))</f>
        <v>26.61</v>
      </c>
      <c r="I2518" s="1776">
        <f t="shared" ref="I2518:I2521" si="361">TRUNC(H2518*F2518,2)</f>
        <v>4.2</v>
      </c>
      <c r="J2518" s="1768"/>
    </row>
    <row r="2519" spans="1:10" ht="60">
      <c r="A2519" s="1770" t="s">
        <v>2407</v>
      </c>
      <c r="B2519" s="1771" t="s">
        <v>7</v>
      </c>
      <c r="C2519" s="1771">
        <v>87292</v>
      </c>
      <c r="D2519" s="1772" t="s">
        <v>2579</v>
      </c>
      <c r="E2519" s="1773" t="s">
        <v>1132</v>
      </c>
      <c r="F2519" s="1780">
        <v>2.93E-2</v>
      </c>
      <c r="G2519" s="1774">
        <v>578.16</v>
      </c>
      <c r="H2519" s="1775">
        <f>IF(E2519="H",G2519,TRUNC(G2519*(1-$K$7),2))</f>
        <v>574.69000000000005</v>
      </c>
      <c r="I2519" s="1776">
        <f t="shared" si="361"/>
        <v>16.829999999999998</v>
      </c>
      <c r="J2519" s="1768"/>
    </row>
    <row r="2520" spans="1:10">
      <c r="A2520" s="1770" t="s">
        <v>2407</v>
      </c>
      <c r="B2520" s="1771" t="s">
        <v>7</v>
      </c>
      <c r="C2520" s="1771">
        <v>88309</v>
      </c>
      <c r="D2520" s="1772" t="s">
        <v>103</v>
      </c>
      <c r="E2520" s="1773" t="s">
        <v>387</v>
      </c>
      <c r="F2520" s="1780">
        <v>0.40899999999999997</v>
      </c>
      <c r="G2520" s="1774">
        <v>24.59</v>
      </c>
      <c r="H2520" s="1775">
        <f>IF(E2520="H",G2520,TRUNC(G2520*(1-$K$7),2))</f>
        <v>24.59</v>
      </c>
      <c r="I2520" s="1776">
        <f t="shared" si="361"/>
        <v>10.050000000000001</v>
      </c>
      <c r="J2520" s="1768"/>
    </row>
    <row r="2521" spans="1:10">
      <c r="A2521" s="1770" t="s">
        <v>2407</v>
      </c>
      <c r="B2521" s="1771" t="s">
        <v>7</v>
      </c>
      <c r="C2521" s="1771">
        <v>88316</v>
      </c>
      <c r="D2521" s="1772" t="s">
        <v>66</v>
      </c>
      <c r="E2521" s="1773" t="s">
        <v>387</v>
      </c>
      <c r="F2521" s="1780">
        <v>0.40899999999999997</v>
      </c>
      <c r="G2521" s="1774">
        <v>19.45</v>
      </c>
      <c r="H2521" s="1775">
        <f>IF(E2521="H",G2521,TRUNC(G2521*(1-$K$7),2))</f>
        <v>19.45</v>
      </c>
      <c r="I2521" s="1776">
        <f t="shared" si="361"/>
        <v>7.95</v>
      </c>
      <c r="J2521" s="1768"/>
    </row>
    <row r="2522" spans="1:10">
      <c r="A2522" s="1917" t="s">
        <v>2408</v>
      </c>
      <c r="B2522" s="1918"/>
      <c r="C2522" s="1918"/>
      <c r="D2522" s="1918"/>
      <c r="E2522" s="1918"/>
      <c r="F2522" s="1918"/>
      <c r="G2522" s="1918"/>
      <c r="H2522" s="1919"/>
      <c r="I2522" s="1778">
        <f>SUM(I2518:I2521)</f>
        <v>39.03</v>
      </c>
      <c r="J2522" s="1768"/>
    </row>
    <row r="2523" spans="1:10">
      <c r="A2523" s="1920"/>
      <c r="B2523" s="1921"/>
      <c r="C2523" s="1921"/>
      <c r="D2523" s="1921"/>
      <c r="E2523" s="1921"/>
      <c r="F2523" s="1921"/>
      <c r="G2523" s="1921"/>
      <c r="H2523" s="1921"/>
      <c r="I2523" s="1922"/>
      <c r="J2523" s="1768"/>
    </row>
    <row r="2524" spans="1:10">
      <c r="A2524" s="1757" t="str">
        <f>'PLANILHA SEM DESON'!B403</f>
        <v>COMP 08</v>
      </c>
      <c r="B2524" s="1923" t="str">
        <f>VLOOKUP(A2524,'PLANILHA SEM DESON'!$B$17:$D$1699,2,FALSE)</f>
        <v xml:space="preserve">FORNECIMENTO E INSTALAÇÃO DE GRADIL METÁLICO </v>
      </c>
      <c r="C2524" s="1924"/>
      <c r="D2524" s="1924"/>
      <c r="E2524" s="1924"/>
      <c r="F2524" s="1924"/>
      <c r="G2524" s="1924"/>
      <c r="H2524" s="1925"/>
      <c r="I2524" s="1758" t="str">
        <f>VLOOKUP(A2524,'PLANILHA SEM DESON'!$B$17:$D$1699,3,FALSE)</f>
        <v>m²</v>
      </c>
      <c r="J2524" s="1759">
        <f>I2530</f>
        <v>1103.67</v>
      </c>
    </row>
    <row r="2525" spans="1:10" ht="24">
      <c r="A2525" s="1761" t="s">
        <v>2401</v>
      </c>
      <c r="B2525" s="1762" t="s">
        <v>2402</v>
      </c>
      <c r="C2525" s="1763" t="s">
        <v>2399</v>
      </c>
      <c r="D2525" s="1764" t="s">
        <v>284</v>
      </c>
      <c r="E2525" s="1763" t="s">
        <v>193</v>
      </c>
      <c r="F2525" s="1765" t="s">
        <v>2403</v>
      </c>
      <c r="G2525" s="1763" t="s">
        <v>2404</v>
      </c>
      <c r="H2525" s="1766" t="s">
        <v>2405</v>
      </c>
      <c r="I2525" s="1767" t="s">
        <v>2406</v>
      </c>
      <c r="J2525" s="1768"/>
    </row>
    <row r="2526" spans="1:10">
      <c r="A2526" s="1770"/>
      <c r="B2526" s="1771"/>
      <c r="C2526" s="1771">
        <v>88315</v>
      </c>
      <c r="D2526" s="1772" t="s">
        <v>1330</v>
      </c>
      <c r="E2526" s="1773" t="s">
        <v>57</v>
      </c>
      <c r="F2526" s="1782">
        <v>0.97740000000000005</v>
      </c>
      <c r="G2526" s="1781">
        <v>24.44</v>
      </c>
      <c r="H2526" s="1775">
        <f>IF(E2526="H",G2526,TRUNC(G2526*(1-$K$7),2))</f>
        <v>24.44</v>
      </c>
      <c r="I2526" s="1776">
        <f t="shared" ref="I2526:I2529" si="362">TRUNC(H2526*F2526,2)</f>
        <v>23.88</v>
      </c>
      <c r="J2526" s="1768"/>
    </row>
    <row r="2527" spans="1:10">
      <c r="A2527" s="1770"/>
      <c r="B2527" s="1771"/>
      <c r="C2527" s="1771">
        <v>88316</v>
      </c>
      <c r="D2527" s="1772" t="s">
        <v>66</v>
      </c>
      <c r="E2527" s="1773" t="s">
        <v>57</v>
      </c>
      <c r="F2527" s="1782">
        <v>0.97740000000000005</v>
      </c>
      <c r="G2527" s="1781">
        <v>19.45</v>
      </c>
      <c r="H2527" s="1775">
        <f>IF(E2527="H",G2527,TRUNC(G2527*(1-$K$7),2))</f>
        <v>19.45</v>
      </c>
      <c r="I2527" s="1776">
        <f t="shared" si="362"/>
        <v>19.010000000000002</v>
      </c>
      <c r="J2527" s="1768"/>
    </row>
    <row r="2528" spans="1:10" ht="24">
      <c r="A2528" s="1770"/>
      <c r="B2528" s="1771"/>
      <c r="C2528" s="1771" t="s">
        <v>65</v>
      </c>
      <c r="D2528" s="1772" t="s">
        <v>531</v>
      </c>
      <c r="E2528" s="1773" t="s">
        <v>46</v>
      </c>
      <c r="F2528" s="1784">
        <v>1.02</v>
      </c>
      <c r="G2528" s="1779">
        <v>1044.33</v>
      </c>
      <c r="H2528" s="1775">
        <f>IF(E2528="H",G2528,TRUNC(G2528*(1-$K$7),2))</f>
        <v>1038.06</v>
      </c>
      <c r="I2528" s="1776">
        <f t="shared" si="362"/>
        <v>1058.82</v>
      </c>
      <c r="J2528" s="1768"/>
    </row>
    <row r="2529" spans="1:10" ht="48">
      <c r="A2529" s="1770"/>
      <c r="B2529" s="1771"/>
      <c r="C2529" s="1771">
        <v>94962</v>
      </c>
      <c r="D2529" s="1772" t="s">
        <v>1685</v>
      </c>
      <c r="E2529" s="1773" t="s">
        <v>47</v>
      </c>
      <c r="F2529" s="1782">
        <v>4.4999999999999997E-3</v>
      </c>
      <c r="G2529" s="1779">
        <v>438.71</v>
      </c>
      <c r="H2529" s="1775">
        <f>IF(E2529="H",G2529,TRUNC(G2529*(1-$K$7),2))</f>
        <v>436.07</v>
      </c>
      <c r="I2529" s="1776">
        <f t="shared" si="362"/>
        <v>1.96</v>
      </c>
      <c r="J2529" s="1768"/>
    </row>
    <row r="2530" spans="1:10">
      <c r="A2530" s="1917" t="s">
        <v>2408</v>
      </c>
      <c r="B2530" s="1918"/>
      <c r="C2530" s="1918"/>
      <c r="D2530" s="1918"/>
      <c r="E2530" s="1918"/>
      <c r="F2530" s="1918"/>
      <c r="G2530" s="1918"/>
      <c r="H2530" s="1919"/>
      <c r="I2530" s="1778">
        <f>SUM(I2526:I2529)</f>
        <v>1103.67</v>
      </c>
      <c r="J2530" s="1768"/>
    </row>
    <row r="2531" spans="1:10">
      <c r="A2531" s="1920"/>
      <c r="B2531" s="1921"/>
      <c r="C2531" s="1921"/>
      <c r="D2531" s="1921"/>
      <c r="E2531" s="1921"/>
      <c r="F2531" s="1921"/>
      <c r="G2531" s="1921"/>
      <c r="H2531" s="1921"/>
      <c r="I2531" s="1922"/>
      <c r="J2531" s="1768"/>
    </row>
    <row r="2532" spans="1:10">
      <c r="A2532" s="1757" t="str">
        <f>'PLANILHA SEM DESON'!B409</f>
        <v>COMP 23</v>
      </c>
      <c r="B2532" s="1923" t="str">
        <f>VLOOKUP(A2532,'PLANILHA SEM DESON'!$B$17:$D$1699,2,FALSE)</f>
        <v>ESTRUTURA METÁLICA PARA FIXAÇÃO DE BRISE EM MADEIRA NA FACHADA</v>
      </c>
      <c r="C2532" s="1924"/>
      <c r="D2532" s="1924"/>
      <c r="E2532" s="1924"/>
      <c r="F2532" s="1924"/>
      <c r="G2532" s="1924"/>
      <c r="H2532" s="1925"/>
      <c r="I2532" s="1758" t="str">
        <f>VLOOKUP(A2532,'PLANILHA SEM DESON'!$B$17:$D$1699,3,FALSE)</f>
        <v xml:space="preserve">un </v>
      </c>
      <c r="J2532" s="1759">
        <f>I2535</f>
        <v>13001.52</v>
      </c>
    </row>
    <row r="2533" spans="1:10" ht="24">
      <c r="A2533" s="1761" t="s">
        <v>2401</v>
      </c>
      <c r="B2533" s="1762" t="s">
        <v>2402</v>
      </c>
      <c r="C2533" s="1763" t="s">
        <v>2399</v>
      </c>
      <c r="D2533" s="1764" t="s">
        <v>284</v>
      </c>
      <c r="E2533" s="1763" t="s">
        <v>193</v>
      </c>
      <c r="F2533" s="1765" t="s">
        <v>2403</v>
      </c>
      <c r="G2533" s="1763" t="s">
        <v>2404</v>
      </c>
      <c r="H2533" s="1766" t="s">
        <v>2405</v>
      </c>
      <c r="I2533" s="1767" t="s">
        <v>2406</v>
      </c>
      <c r="J2533" s="1768"/>
    </row>
    <row r="2534" spans="1:10">
      <c r="A2534" s="1770"/>
      <c r="B2534" s="1771"/>
      <c r="C2534" s="1771" t="s">
        <v>65</v>
      </c>
      <c r="D2534" s="1772" t="s">
        <v>303</v>
      </c>
      <c r="E2534" s="1773" t="s">
        <v>55</v>
      </c>
      <c r="F2534" s="1779">
        <v>1</v>
      </c>
      <c r="G2534" s="1779">
        <v>13080</v>
      </c>
      <c r="H2534" s="1775">
        <f>IF(E2534="H",G2534,TRUNC(G2534*(1-$K$7),2))</f>
        <v>13001.52</v>
      </c>
      <c r="I2534" s="1776">
        <f t="shared" ref="I2534" si="363">TRUNC(H2534*F2534,2)</f>
        <v>13001.52</v>
      </c>
      <c r="J2534" s="1768"/>
    </row>
    <row r="2535" spans="1:10">
      <c r="A2535" s="1917" t="s">
        <v>2408</v>
      </c>
      <c r="B2535" s="1918"/>
      <c r="C2535" s="1918"/>
      <c r="D2535" s="1918"/>
      <c r="E2535" s="1918"/>
      <c r="F2535" s="1918"/>
      <c r="G2535" s="1918"/>
      <c r="H2535" s="1919"/>
      <c r="I2535" s="1778">
        <f>SUM(I2534:I2534)</f>
        <v>13001.52</v>
      </c>
      <c r="J2535" s="1768"/>
    </row>
    <row r="2536" spans="1:10">
      <c r="A2536" s="1920"/>
      <c r="B2536" s="1921"/>
      <c r="C2536" s="1921"/>
      <c r="D2536" s="1921"/>
      <c r="E2536" s="1921"/>
      <c r="F2536" s="1921"/>
      <c r="G2536" s="1921"/>
      <c r="H2536" s="1921"/>
      <c r="I2536" s="1922"/>
      <c r="J2536" s="1768"/>
    </row>
    <row r="2537" spans="1:10">
      <c r="A2537" s="1757" t="str">
        <f>'PLANILHA SEM DESON'!B410</f>
        <v>COMP 24</v>
      </c>
      <c r="B2537" s="1923" t="str">
        <f>VLOOKUP(A2537,'PLANILHA SEM DESON'!$B$17:$D$1699,2,FALSE)</f>
        <v>PAINEL EM MADEIRA DE ITAÚBA PARA BRISE EM FACHADA - FORNECIMENTO E INSTALAÇÃO</v>
      </c>
      <c r="C2537" s="1924"/>
      <c r="D2537" s="1924"/>
      <c r="E2537" s="1924"/>
      <c r="F2537" s="1924"/>
      <c r="G2537" s="1924"/>
      <c r="H2537" s="1925"/>
      <c r="I2537" s="1758" t="str">
        <f>VLOOKUP(A2537,'PLANILHA SEM DESON'!$B$17:$D$1699,3,FALSE)</f>
        <v xml:space="preserve">un </v>
      </c>
      <c r="J2537" s="1759">
        <f>I2540</f>
        <v>13388.48</v>
      </c>
    </row>
    <row r="2538" spans="1:10" ht="24">
      <c r="A2538" s="1761" t="s">
        <v>2401</v>
      </c>
      <c r="B2538" s="1762" t="s">
        <v>2402</v>
      </c>
      <c r="C2538" s="1763" t="s">
        <v>2399</v>
      </c>
      <c r="D2538" s="1764" t="s">
        <v>284</v>
      </c>
      <c r="E2538" s="1763" t="s">
        <v>193</v>
      </c>
      <c r="F2538" s="1765" t="s">
        <v>2403</v>
      </c>
      <c r="G2538" s="1763" t="s">
        <v>2404</v>
      </c>
      <c r="H2538" s="1766" t="s">
        <v>2405</v>
      </c>
      <c r="I2538" s="1767" t="s">
        <v>2406</v>
      </c>
      <c r="J2538" s="1768"/>
    </row>
    <row r="2539" spans="1:10" ht="24">
      <c r="A2539" s="1770"/>
      <c r="B2539" s="1771"/>
      <c r="C2539" s="1771" t="s">
        <v>65</v>
      </c>
      <c r="D2539" s="1772" t="s">
        <v>2038</v>
      </c>
      <c r="E2539" s="1773" t="s">
        <v>55</v>
      </c>
      <c r="F2539" s="1779">
        <v>1</v>
      </c>
      <c r="G2539" s="1779">
        <v>13469.3</v>
      </c>
      <c r="H2539" s="1775">
        <f>IF(E2539="H",G2539,TRUNC(G2539*(1-$K$7),2))</f>
        <v>13388.48</v>
      </c>
      <c r="I2539" s="1776">
        <f t="shared" ref="I2539" si="364">TRUNC(H2539*F2539,2)</f>
        <v>13388.48</v>
      </c>
      <c r="J2539" s="1768"/>
    </row>
    <row r="2540" spans="1:10">
      <c r="A2540" s="1917" t="s">
        <v>2408</v>
      </c>
      <c r="B2540" s="1918"/>
      <c r="C2540" s="1918"/>
      <c r="D2540" s="1918"/>
      <c r="E2540" s="1918"/>
      <c r="F2540" s="1918"/>
      <c r="G2540" s="1918"/>
      <c r="H2540" s="1919"/>
      <c r="I2540" s="1778">
        <f>SUM(I2539:I2539)</f>
        <v>13388.48</v>
      </c>
      <c r="J2540" s="1768"/>
    </row>
    <row r="2541" spans="1:10">
      <c r="A2541" s="1920"/>
      <c r="B2541" s="1921"/>
      <c r="C2541" s="1921"/>
      <c r="D2541" s="1921"/>
      <c r="E2541" s="1921"/>
      <c r="F2541" s="1921"/>
      <c r="G2541" s="1921"/>
      <c r="H2541" s="1921"/>
      <c r="I2541" s="1922"/>
      <c r="J2541" s="1768"/>
    </row>
    <row r="2542" spans="1:10">
      <c r="A2542" s="1757" t="str">
        <f>'PLANILHA SEM DESON'!B411</f>
        <v>COMP 25</v>
      </c>
      <c r="B2542" s="1923" t="str">
        <f>VLOOKUP(A2542,'PLANILHA SEM DESON'!$B$17:$D$1699,2,FALSE)</f>
        <v>CONJUNTO DE LETRAS EM CAIXA EM AÇO INOX BRILHANTE</v>
      </c>
      <c r="C2542" s="1924"/>
      <c r="D2542" s="1924"/>
      <c r="E2542" s="1924"/>
      <c r="F2542" s="1924"/>
      <c r="G2542" s="1924"/>
      <c r="H2542" s="1925"/>
      <c r="I2542" s="1758" t="str">
        <f>VLOOKUP(A2542,'PLANILHA SEM DESON'!$B$17:$D$1699,3,FALSE)</f>
        <v xml:space="preserve">un </v>
      </c>
      <c r="J2542" s="1759">
        <f>I2545</f>
        <v>5467</v>
      </c>
    </row>
    <row r="2543" spans="1:10" ht="24">
      <c r="A2543" s="1761" t="s">
        <v>2401</v>
      </c>
      <c r="B2543" s="1762" t="s">
        <v>2402</v>
      </c>
      <c r="C2543" s="1763" t="s">
        <v>2399</v>
      </c>
      <c r="D2543" s="1764" t="s">
        <v>284</v>
      </c>
      <c r="E2543" s="1763" t="s">
        <v>193</v>
      </c>
      <c r="F2543" s="1765" t="s">
        <v>2403</v>
      </c>
      <c r="G2543" s="1763" t="s">
        <v>2404</v>
      </c>
      <c r="H2543" s="1766" t="s">
        <v>2405</v>
      </c>
      <c r="I2543" s="1767" t="s">
        <v>2406</v>
      </c>
      <c r="J2543" s="1768"/>
    </row>
    <row r="2544" spans="1:10" ht="24">
      <c r="A2544" s="1770"/>
      <c r="B2544" s="1771"/>
      <c r="C2544" s="1771" t="s">
        <v>65</v>
      </c>
      <c r="D2544" s="1772" t="s">
        <v>2165</v>
      </c>
      <c r="E2544" s="1773" t="s">
        <v>55</v>
      </c>
      <c r="F2544" s="1779">
        <v>1</v>
      </c>
      <c r="G2544" s="1779">
        <v>5500</v>
      </c>
      <c r="H2544" s="1775">
        <f>IF(E2544="H",G2544,TRUNC(G2544*(1-$K$7),2))</f>
        <v>5467</v>
      </c>
      <c r="I2544" s="1776">
        <f t="shared" ref="I2544" si="365">TRUNC(H2544*F2544,2)</f>
        <v>5467</v>
      </c>
      <c r="J2544" s="1768"/>
    </row>
    <row r="2545" spans="1:10">
      <c r="A2545" s="1917" t="s">
        <v>2408</v>
      </c>
      <c r="B2545" s="1918"/>
      <c r="C2545" s="1918"/>
      <c r="D2545" s="1918"/>
      <c r="E2545" s="1918"/>
      <c r="F2545" s="1918"/>
      <c r="G2545" s="1918"/>
      <c r="H2545" s="1919"/>
      <c r="I2545" s="1778">
        <f>SUM(I2544:I2544)</f>
        <v>5467</v>
      </c>
      <c r="J2545" s="1768"/>
    </row>
    <row r="2546" spans="1:10">
      <c r="A2546" s="1920"/>
      <c r="B2546" s="1921"/>
      <c r="C2546" s="1921"/>
      <c r="D2546" s="1921"/>
      <c r="E2546" s="1921"/>
      <c r="F2546" s="1921"/>
      <c r="G2546" s="1921"/>
      <c r="H2546" s="1921"/>
      <c r="I2546" s="1922"/>
      <c r="J2546" s="1768"/>
    </row>
    <row r="2547" spans="1:10" ht="25.5" customHeight="1">
      <c r="A2547" s="1757">
        <f>'PLANILHA SEM DESON'!B412</f>
        <v>92398</v>
      </c>
      <c r="B2547" s="1923" t="str">
        <f>VLOOKUP(A2547,'PLANILHA SEM DESON'!$B$17:$D$1699,2,FALSE)</f>
        <v>EXECUÇÃO DE PÁTIO/ESTACIONAMENTO EM PISO INTERTRAVADO, COM BLOCO RETANGULAR COR NATURAL  DE 20 X 10 CM, ESPESSURA 8 CM. AF_12/2015</v>
      </c>
      <c r="C2547" s="1924"/>
      <c r="D2547" s="1924"/>
      <c r="E2547" s="1924"/>
      <c r="F2547" s="1924"/>
      <c r="G2547" s="1924"/>
      <c r="H2547" s="1925"/>
      <c r="I2547" s="1758" t="str">
        <f>VLOOKUP(A2547,'PLANILHA SEM DESON'!$B$17:$D$1699,3,FALSE)</f>
        <v>m²</v>
      </c>
      <c r="J2547" s="1759">
        <f>I2558</f>
        <v>100.25999999999999</v>
      </c>
    </row>
    <row r="2548" spans="1:10" ht="24">
      <c r="A2548" s="1761" t="s">
        <v>2401</v>
      </c>
      <c r="B2548" s="1762" t="s">
        <v>2402</v>
      </c>
      <c r="C2548" s="1763" t="s">
        <v>2399</v>
      </c>
      <c r="D2548" s="1764" t="s">
        <v>284</v>
      </c>
      <c r="E2548" s="1763" t="s">
        <v>193</v>
      </c>
      <c r="F2548" s="1765" t="s">
        <v>2403</v>
      </c>
      <c r="G2548" s="1763" t="s">
        <v>2404</v>
      </c>
      <c r="H2548" s="1766" t="s">
        <v>2405</v>
      </c>
      <c r="I2548" s="1767" t="s">
        <v>2406</v>
      </c>
      <c r="J2548" s="1768"/>
    </row>
    <row r="2549" spans="1:10" ht="24">
      <c r="A2549" s="1770" t="s">
        <v>2407</v>
      </c>
      <c r="B2549" s="1771" t="s">
        <v>2410</v>
      </c>
      <c r="C2549" s="1771">
        <v>370</v>
      </c>
      <c r="D2549" s="1772" t="s">
        <v>2550</v>
      </c>
      <c r="E2549" s="1773" t="s">
        <v>1132</v>
      </c>
      <c r="F2549" s="1780">
        <v>5.6800000000000003E-2</v>
      </c>
      <c r="G2549" s="1774">
        <v>125</v>
      </c>
      <c r="H2549" s="1775">
        <f t="shared" ref="H2549:H2557" si="366">IF(E2549="H",G2549,TRUNC(G2549*(1-$K$7),2))</f>
        <v>124.25</v>
      </c>
      <c r="I2549" s="1776">
        <f t="shared" ref="I2549:I2557" si="367">TRUNC(H2549*F2549,2)</f>
        <v>7.05</v>
      </c>
      <c r="J2549" s="1768"/>
    </row>
    <row r="2550" spans="1:10" ht="24">
      <c r="A2550" s="1770" t="s">
        <v>2407</v>
      </c>
      <c r="B2550" s="1771" t="s">
        <v>2410</v>
      </c>
      <c r="C2550" s="1771">
        <v>4741</v>
      </c>
      <c r="D2550" s="1772" t="s">
        <v>2756</v>
      </c>
      <c r="E2550" s="1773" t="s">
        <v>1132</v>
      </c>
      <c r="F2550" s="1780">
        <v>9.7999999999999997E-3</v>
      </c>
      <c r="G2550" s="1774">
        <v>101.65</v>
      </c>
      <c r="H2550" s="1775">
        <f t="shared" si="366"/>
        <v>101.04</v>
      </c>
      <c r="I2550" s="1776">
        <f t="shared" si="367"/>
        <v>0.99</v>
      </c>
      <c r="J2550" s="1768"/>
    </row>
    <row r="2551" spans="1:10" ht="60">
      <c r="A2551" s="1770" t="s">
        <v>2407</v>
      </c>
      <c r="B2551" s="1771" t="s">
        <v>2410</v>
      </c>
      <c r="C2551" s="1771">
        <v>36170</v>
      </c>
      <c r="D2551" s="1772" t="s">
        <v>2757</v>
      </c>
      <c r="E2551" s="1773" t="s">
        <v>1137</v>
      </c>
      <c r="F2551" s="1780">
        <v>1.0041</v>
      </c>
      <c r="G2551" s="1774">
        <v>81.06</v>
      </c>
      <c r="H2551" s="1775">
        <f t="shared" si="366"/>
        <v>80.569999999999993</v>
      </c>
      <c r="I2551" s="1776">
        <f t="shared" ref="I2551:I2552" si="368">TRUNC(H2551*F2551,2)</f>
        <v>80.900000000000006</v>
      </c>
      <c r="J2551" s="1768"/>
    </row>
    <row r="2552" spans="1:10">
      <c r="A2552" s="1770" t="s">
        <v>2407</v>
      </c>
      <c r="B2552" s="1771" t="s">
        <v>7</v>
      </c>
      <c r="C2552" s="1771">
        <v>88260</v>
      </c>
      <c r="D2552" s="1772" t="s">
        <v>2758</v>
      </c>
      <c r="E2552" s="1773" t="s">
        <v>387</v>
      </c>
      <c r="F2552" s="1780">
        <v>0.26319999999999999</v>
      </c>
      <c r="G2552" s="1774">
        <v>22.58</v>
      </c>
      <c r="H2552" s="1775">
        <f t="shared" si="366"/>
        <v>22.58</v>
      </c>
      <c r="I2552" s="1776">
        <f t="shared" si="368"/>
        <v>5.94</v>
      </c>
      <c r="J2552" s="1768"/>
    </row>
    <row r="2553" spans="1:10">
      <c r="A2553" s="1770" t="s">
        <v>2407</v>
      </c>
      <c r="B2553" s="1771" t="s">
        <v>7</v>
      </c>
      <c r="C2553" s="1771">
        <v>88316</v>
      </c>
      <c r="D2553" s="1772" t="s">
        <v>66</v>
      </c>
      <c r="E2553" s="1773" t="s">
        <v>387</v>
      </c>
      <c r="F2553" s="1780">
        <v>0.26319999999999999</v>
      </c>
      <c r="G2553" s="1774">
        <v>19.45</v>
      </c>
      <c r="H2553" s="1775">
        <f t="shared" si="366"/>
        <v>19.45</v>
      </c>
      <c r="I2553" s="1776">
        <f t="shared" si="367"/>
        <v>5.1100000000000003</v>
      </c>
      <c r="J2553" s="1768"/>
    </row>
    <row r="2554" spans="1:10" ht="36">
      <c r="A2554" s="1770" t="s">
        <v>2407</v>
      </c>
      <c r="B2554" s="1771" t="s">
        <v>7</v>
      </c>
      <c r="C2554" s="1771">
        <v>91277</v>
      </c>
      <c r="D2554" s="1772" t="s">
        <v>2732</v>
      </c>
      <c r="E2554" s="1773" t="s">
        <v>425</v>
      </c>
      <c r="F2554" s="1780">
        <v>5.4999999999999997E-3</v>
      </c>
      <c r="G2554" s="1774">
        <v>8.18</v>
      </c>
      <c r="H2554" s="1775">
        <f t="shared" si="366"/>
        <v>8.1300000000000008</v>
      </c>
      <c r="I2554" s="1776">
        <f t="shared" si="367"/>
        <v>0.04</v>
      </c>
      <c r="J2554" s="1768"/>
    </row>
    <row r="2555" spans="1:10" ht="36">
      <c r="A2555" s="1770" t="s">
        <v>2407</v>
      </c>
      <c r="B2555" s="1771" t="s">
        <v>7</v>
      </c>
      <c r="C2555" s="1771">
        <v>91278</v>
      </c>
      <c r="D2555" s="1772" t="s">
        <v>2733</v>
      </c>
      <c r="E2555" s="1773" t="s">
        <v>545</v>
      </c>
      <c r="F2555" s="1780">
        <v>0.12609999999999999</v>
      </c>
      <c r="G2555" s="1774">
        <v>0.57999999999999996</v>
      </c>
      <c r="H2555" s="1775">
        <f t="shared" si="366"/>
        <v>0.56999999999999995</v>
      </c>
      <c r="I2555" s="1776">
        <f t="shared" si="367"/>
        <v>7.0000000000000007E-2</v>
      </c>
      <c r="J2555" s="1768"/>
    </row>
    <row r="2556" spans="1:10" ht="60">
      <c r="A2556" s="1770" t="s">
        <v>2407</v>
      </c>
      <c r="B2556" s="1771" t="s">
        <v>7</v>
      </c>
      <c r="C2556" s="1771">
        <v>91283</v>
      </c>
      <c r="D2556" s="1772" t="s">
        <v>2759</v>
      </c>
      <c r="E2556" s="1773" t="s">
        <v>425</v>
      </c>
      <c r="F2556" s="1780">
        <v>3.8E-3</v>
      </c>
      <c r="G2556" s="1774">
        <v>9.2799999999999994</v>
      </c>
      <c r="H2556" s="1775">
        <f t="shared" si="366"/>
        <v>9.2200000000000006</v>
      </c>
      <c r="I2556" s="1776">
        <f t="shared" si="367"/>
        <v>0.03</v>
      </c>
      <c r="J2556" s="1768"/>
    </row>
    <row r="2557" spans="1:10" ht="60">
      <c r="A2557" s="1770" t="s">
        <v>2407</v>
      </c>
      <c r="B2557" s="1771" t="s">
        <v>7</v>
      </c>
      <c r="C2557" s="1771">
        <v>91285</v>
      </c>
      <c r="D2557" s="1772" t="s">
        <v>2760</v>
      </c>
      <c r="E2557" s="1773" t="s">
        <v>545</v>
      </c>
      <c r="F2557" s="1780">
        <v>0.1278</v>
      </c>
      <c r="G2557" s="1774">
        <v>1.07</v>
      </c>
      <c r="H2557" s="1775">
        <f t="shared" si="366"/>
        <v>1.06</v>
      </c>
      <c r="I2557" s="1776">
        <f t="shared" si="367"/>
        <v>0.13</v>
      </c>
      <c r="J2557" s="1768"/>
    </row>
    <row r="2558" spans="1:10">
      <c r="A2558" s="1917" t="s">
        <v>2408</v>
      </c>
      <c r="B2558" s="1918"/>
      <c r="C2558" s="1918"/>
      <c r="D2558" s="1918"/>
      <c r="E2558" s="1918"/>
      <c r="F2558" s="1918"/>
      <c r="G2558" s="1918"/>
      <c r="H2558" s="1919"/>
      <c r="I2558" s="1778">
        <f>SUM(I2549:I2557)</f>
        <v>100.25999999999999</v>
      </c>
      <c r="J2558" s="1768"/>
    </row>
    <row r="2559" spans="1:10">
      <c r="A2559" s="1920"/>
      <c r="B2559" s="1921"/>
      <c r="C2559" s="1921"/>
      <c r="D2559" s="1921"/>
      <c r="E2559" s="1921"/>
      <c r="F2559" s="1921"/>
      <c r="G2559" s="1921"/>
      <c r="H2559" s="1921"/>
      <c r="I2559" s="1922"/>
      <c r="J2559" s="1768"/>
    </row>
    <row r="2560" spans="1:10" ht="34.5" customHeight="1">
      <c r="A2560" s="1757">
        <f>'PLANILHA SEM DESON'!B413</f>
        <v>94994</v>
      </c>
      <c r="B2560" s="1923" t="str">
        <f>VLOOKUP(A2560,'PLANILHA SEM DESON'!$B$17:$D$1699,2,FALSE)</f>
        <v>EXECUÇÃO DE PASSEIO (CALÇADA) OU PISO DE CONCRETO COM CONCRETO MOLDADO IN LOCO, FEITO EM OBRA, ACABAMENTO CONVENCIONAL, ESPESSURA 8 CM, ARMADO. AF_07/2016</v>
      </c>
      <c r="C2560" s="1924"/>
      <c r="D2560" s="1924"/>
      <c r="E2560" s="1924"/>
      <c r="F2560" s="1924"/>
      <c r="G2560" s="1924"/>
      <c r="H2560" s="1925"/>
      <c r="I2560" s="1758" t="str">
        <f>VLOOKUP(A2560,'PLANILHA SEM DESON'!$B$17:$D$1699,3,FALSE)</f>
        <v>m²</v>
      </c>
      <c r="J2560" s="1759">
        <f>I2571</f>
        <v>114.27999999999999</v>
      </c>
    </row>
    <row r="2561" spans="1:10" ht="24">
      <c r="A2561" s="1761" t="s">
        <v>2401</v>
      </c>
      <c r="B2561" s="1762" t="s">
        <v>2402</v>
      </c>
      <c r="C2561" s="1763" t="s">
        <v>2399</v>
      </c>
      <c r="D2561" s="1764" t="s">
        <v>284</v>
      </c>
      <c r="E2561" s="1763" t="s">
        <v>193</v>
      </c>
      <c r="F2561" s="1765" t="s">
        <v>2403</v>
      </c>
      <c r="G2561" s="1763" t="s">
        <v>2404</v>
      </c>
      <c r="H2561" s="1766" t="s">
        <v>2405</v>
      </c>
      <c r="I2561" s="1767" t="s">
        <v>2406</v>
      </c>
      <c r="J2561" s="1768"/>
    </row>
    <row r="2562" spans="1:10" ht="24">
      <c r="A2562" s="1770" t="s">
        <v>2407</v>
      </c>
      <c r="B2562" s="1771" t="s">
        <v>2410</v>
      </c>
      <c r="C2562" s="1771">
        <v>2692</v>
      </c>
      <c r="D2562" s="1772" t="s">
        <v>1679</v>
      </c>
      <c r="E2562" s="1773" t="s">
        <v>424</v>
      </c>
      <c r="F2562" s="1780">
        <v>1.6999999999999999E-3</v>
      </c>
      <c r="G2562" s="1774">
        <v>8.84</v>
      </c>
      <c r="H2562" s="1775">
        <f t="shared" ref="H2562:H2570" si="369">IF(E2562="H",G2562,TRUNC(G2562*(1-$K$7),2))</f>
        <v>8.7799999999999994</v>
      </c>
      <c r="I2562" s="1776">
        <f t="shared" ref="I2562:I2570" si="370">TRUNC(H2562*F2562,2)</f>
        <v>0.01</v>
      </c>
      <c r="J2562" s="1768"/>
    </row>
    <row r="2563" spans="1:10" ht="24">
      <c r="A2563" s="1770" t="s">
        <v>2407</v>
      </c>
      <c r="B2563" s="1771" t="s">
        <v>2410</v>
      </c>
      <c r="C2563" s="1771">
        <v>4509</v>
      </c>
      <c r="D2563" s="1772" t="s">
        <v>2761</v>
      </c>
      <c r="E2563" s="1773" t="s">
        <v>158</v>
      </c>
      <c r="F2563" s="1780">
        <v>0.25</v>
      </c>
      <c r="G2563" s="1774">
        <v>5.92</v>
      </c>
      <c r="H2563" s="1775">
        <f t="shared" si="369"/>
        <v>5.88</v>
      </c>
      <c r="I2563" s="1776">
        <f>TRUNC(H2563*F2563,2)</f>
        <v>1.47</v>
      </c>
      <c r="J2563" s="1768"/>
    </row>
    <row r="2564" spans="1:10" ht="24">
      <c r="A2564" s="1770" t="s">
        <v>2407</v>
      </c>
      <c r="B2564" s="1771" t="s">
        <v>2410</v>
      </c>
      <c r="C2564" s="1771">
        <v>4517</v>
      </c>
      <c r="D2564" s="1772" t="s">
        <v>1680</v>
      </c>
      <c r="E2564" s="1773" t="s">
        <v>158</v>
      </c>
      <c r="F2564" s="1780">
        <v>0.2</v>
      </c>
      <c r="G2564" s="1774">
        <v>4.08</v>
      </c>
      <c r="H2564" s="1775">
        <f t="shared" si="369"/>
        <v>4.05</v>
      </c>
      <c r="I2564" s="1776">
        <f t="shared" ref="I2564:I2565" si="371">TRUNC(H2564*F2564,2)</f>
        <v>0.81</v>
      </c>
      <c r="J2564" s="1768"/>
    </row>
    <row r="2565" spans="1:10">
      <c r="A2565" s="1770" t="s">
        <v>2407</v>
      </c>
      <c r="B2565" s="1771" t="s">
        <v>2410</v>
      </c>
      <c r="C2565" s="1771">
        <v>5068</v>
      </c>
      <c r="D2565" s="1772" t="s">
        <v>2428</v>
      </c>
      <c r="E2565" s="1773" t="s">
        <v>1145</v>
      </c>
      <c r="F2565" s="1780">
        <v>2.4E-2</v>
      </c>
      <c r="G2565" s="1774">
        <v>25.89</v>
      </c>
      <c r="H2565" s="1775">
        <f t="shared" si="369"/>
        <v>25.73</v>
      </c>
      <c r="I2565" s="1776">
        <f t="shared" si="371"/>
        <v>0.61</v>
      </c>
      <c r="J2565" s="1768"/>
    </row>
    <row r="2566" spans="1:10" ht="36">
      <c r="A2566" s="1770" t="s">
        <v>2407</v>
      </c>
      <c r="B2566" s="1771" t="s">
        <v>2410</v>
      </c>
      <c r="C2566" s="1771">
        <v>7156</v>
      </c>
      <c r="D2566" s="1772" t="s">
        <v>2762</v>
      </c>
      <c r="E2566" s="1773" t="s">
        <v>1137</v>
      </c>
      <c r="F2566" s="1780">
        <v>1.0815999999999999</v>
      </c>
      <c r="G2566" s="1774">
        <v>41.33</v>
      </c>
      <c r="H2566" s="1775">
        <f t="shared" si="369"/>
        <v>41.08</v>
      </c>
      <c r="I2566" s="1776">
        <f t="shared" si="370"/>
        <v>44.43</v>
      </c>
      <c r="J2566" s="1768"/>
    </row>
    <row r="2567" spans="1:10" ht="24">
      <c r="A2567" s="1770" t="s">
        <v>2407</v>
      </c>
      <c r="B2567" s="1771" t="s">
        <v>7</v>
      </c>
      <c r="C2567" s="1771">
        <v>88262</v>
      </c>
      <c r="D2567" s="1772" t="s">
        <v>411</v>
      </c>
      <c r="E2567" s="1773" t="s">
        <v>387</v>
      </c>
      <c r="F2567" s="1780">
        <v>0.13009999999999999</v>
      </c>
      <c r="G2567" s="1774">
        <v>24.32</v>
      </c>
      <c r="H2567" s="1775">
        <f t="shared" si="369"/>
        <v>24.32</v>
      </c>
      <c r="I2567" s="1776">
        <f t="shared" si="370"/>
        <v>3.16</v>
      </c>
      <c r="J2567" s="1768"/>
    </row>
    <row r="2568" spans="1:10">
      <c r="A2568" s="1770" t="s">
        <v>2407</v>
      </c>
      <c r="B2568" s="1771" t="s">
        <v>7</v>
      </c>
      <c r="C2568" s="1771">
        <v>88309</v>
      </c>
      <c r="D2568" s="1772" t="s">
        <v>103</v>
      </c>
      <c r="E2568" s="1773" t="s">
        <v>387</v>
      </c>
      <c r="F2568" s="1780">
        <v>0.18820000000000001</v>
      </c>
      <c r="G2568" s="1774">
        <v>24.59</v>
      </c>
      <c r="H2568" s="1775">
        <f t="shared" si="369"/>
        <v>24.59</v>
      </c>
      <c r="I2568" s="1776">
        <f t="shared" si="370"/>
        <v>4.62</v>
      </c>
      <c r="J2568" s="1768"/>
    </row>
    <row r="2569" spans="1:10">
      <c r="A2569" s="1770" t="s">
        <v>2407</v>
      </c>
      <c r="B2569" s="1771" t="s">
        <v>7</v>
      </c>
      <c r="C2569" s="1771">
        <v>88316</v>
      </c>
      <c r="D2569" s="1772" t="s">
        <v>66</v>
      </c>
      <c r="E2569" s="1773" t="s">
        <v>387</v>
      </c>
      <c r="F2569" s="1780">
        <v>0.31830000000000003</v>
      </c>
      <c r="G2569" s="1774">
        <v>19.45</v>
      </c>
      <c r="H2569" s="1775">
        <f t="shared" si="369"/>
        <v>19.45</v>
      </c>
      <c r="I2569" s="1776">
        <f t="shared" si="370"/>
        <v>6.19</v>
      </c>
      <c r="J2569" s="1768"/>
    </row>
    <row r="2570" spans="1:10" ht="36">
      <c r="A2570" s="1770" t="s">
        <v>2407</v>
      </c>
      <c r="B2570" s="1771" t="s">
        <v>7</v>
      </c>
      <c r="C2570" s="1771">
        <v>94964</v>
      </c>
      <c r="D2570" s="1772" t="s">
        <v>2763</v>
      </c>
      <c r="E2570" s="1773" t="s">
        <v>1132</v>
      </c>
      <c r="F2570" s="1780">
        <v>9.8500000000000004E-2</v>
      </c>
      <c r="G2570" s="1774">
        <v>541.14</v>
      </c>
      <c r="H2570" s="1775">
        <f t="shared" si="369"/>
        <v>537.89</v>
      </c>
      <c r="I2570" s="1776">
        <f t="shared" si="370"/>
        <v>52.98</v>
      </c>
      <c r="J2570" s="1768"/>
    </row>
    <row r="2571" spans="1:10">
      <c r="A2571" s="1917" t="s">
        <v>2408</v>
      </c>
      <c r="B2571" s="1918"/>
      <c r="C2571" s="1918"/>
      <c r="D2571" s="1918"/>
      <c r="E2571" s="1918"/>
      <c r="F2571" s="1918"/>
      <c r="G2571" s="1918"/>
      <c r="H2571" s="1919"/>
      <c r="I2571" s="1778">
        <f>SUM(I2562:I2570)</f>
        <v>114.27999999999999</v>
      </c>
      <c r="J2571" s="1768"/>
    </row>
    <row r="2572" spans="1:10">
      <c r="A2572" s="1920"/>
      <c r="B2572" s="1921"/>
      <c r="C2572" s="1921"/>
      <c r="D2572" s="1921"/>
      <c r="E2572" s="1921"/>
      <c r="F2572" s="1921"/>
      <c r="G2572" s="1921"/>
      <c r="H2572" s="1921"/>
      <c r="I2572" s="1922"/>
      <c r="J2572" s="1768"/>
    </row>
    <row r="2573" spans="1:10" ht="27" customHeight="1">
      <c r="A2573" s="1757" t="e">
        <f>'PLANILHA SEM DESON'!#REF!</f>
        <v>#REF!</v>
      </c>
      <c r="B2573" s="1923" t="e">
        <f>VLOOKUP(A2573,'PLANILHA SEM DESON'!$B$17:$D$1699,2,FALSE)</f>
        <v>#REF!</v>
      </c>
      <c r="C2573" s="1924"/>
      <c r="D2573" s="1924"/>
      <c r="E2573" s="1924"/>
      <c r="F2573" s="1924"/>
      <c r="G2573" s="1924"/>
      <c r="H2573" s="1925"/>
      <c r="I2573" s="1758" t="e">
        <f>VLOOKUP(A2573,'PLANILHA SEM DESON'!$B$17:$D$1699,3,FALSE)</f>
        <v>#REF!</v>
      </c>
      <c r="J2573" s="1759">
        <f>I2583</f>
        <v>53.210000000000008</v>
      </c>
    </row>
    <row r="2574" spans="1:10" ht="24">
      <c r="A2574" s="1761" t="s">
        <v>2401</v>
      </c>
      <c r="B2574" s="1762" t="s">
        <v>2402</v>
      </c>
      <c r="C2574" s="1763" t="s">
        <v>2399</v>
      </c>
      <c r="D2574" s="1764" t="s">
        <v>284</v>
      </c>
      <c r="E2574" s="1763" t="s">
        <v>193</v>
      </c>
      <c r="F2574" s="1765" t="s">
        <v>2403</v>
      </c>
      <c r="G2574" s="1763" t="s">
        <v>2404</v>
      </c>
      <c r="H2574" s="1766" t="s">
        <v>2405</v>
      </c>
      <c r="I2574" s="1767" t="s">
        <v>2406</v>
      </c>
      <c r="J2574" s="1768"/>
    </row>
    <row r="2575" spans="1:10" ht="24">
      <c r="A2575" s="1770" t="s">
        <v>2407</v>
      </c>
      <c r="B2575" s="1771" t="s">
        <v>2410</v>
      </c>
      <c r="C2575" s="1771">
        <v>370</v>
      </c>
      <c r="D2575" s="1772" t="s">
        <v>2550</v>
      </c>
      <c r="E2575" s="1773" t="s">
        <v>1132</v>
      </c>
      <c r="F2575" s="1780">
        <v>7.0000000000000001E-3</v>
      </c>
      <c r="G2575" s="1774">
        <v>125</v>
      </c>
      <c r="H2575" s="1775">
        <f t="shared" ref="H2575:H2582" si="372">IF(E2575="H",G2575,TRUNC(G2575*(1-$K$7),2))</f>
        <v>124.25</v>
      </c>
      <c r="I2575" s="1776">
        <f t="shared" ref="I2575:I2582" si="373">TRUNC(H2575*F2575,2)</f>
        <v>0.86</v>
      </c>
      <c r="J2575" s="1768"/>
    </row>
    <row r="2576" spans="1:10" ht="36">
      <c r="A2576" s="1770" t="s">
        <v>2407</v>
      </c>
      <c r="B2576" s="1771" t="s">
        <v>2410</v>
      </c>
      <c r="C2576" s="1771">
        <v>34492</v>
      </c>
      <c r="D2576" s="1772" t="s">
        <v>2764</v>
      </c>
      <c r="E2576" s="1773" t="s">
        <v>1132</v>
      </c>
      <c r="F2576" s="1780">
        <v>0.05</v>
      </c>
      <c r="G2576" s="1774">
        <v>595</v>
      </c>
      <c r="H2576" s="1775">
        <f t="shared" si="372"/>
        <v>591.42999999999995</v>
      </c>
      <c r="I2576" s="1776">
        <f t="shared" si="373"/>
        <v>29.57</v>
      </c>
      <c r="J2576" s="1768"/>
    </row>
    <row r="2577" spans="1:10" ht="24">
      <c r="A2577" s="1770" t="s">
        <v>2407</v>
      </c>
      <c r="B2577" s="1771" t="s">
        <v>7</v>
      </c>
      <c r="C2577" s="1771">
        <v>88243</v>
      </c>
      <c r="D2577" s="1772" t="s">
        <v>2765</v>
      </c>
      <c r="E2577" s="1773" t="s">
        <v>387</v>
      </c>
      <c r="F2577" s="1780">
        <v>0.14199999999999999</v>
      </c>
      <c r="G2577" s="1774">
        <v>20.53</v>
      </c>
      <c r="H2577" s="1775">
        <f t="shared" si="372"/>
        <v>20.53</v>
      </c>
      <c r="I2577" s="1776">
        <f t="shared" ref="I2577" si="374">TRUNC(H2577*F2577,2)</f>
        <v>2.91</v>
      </c>
      <c r="J2577" s="1768"/>
    </row>
    <row r="2578" spans="1:10">
      <c r="A2578" s="1770" t="s">
        <v>2407</v>
      </c>
      <c r="B2578" s="1771" t="s">
        <v>7</v>
      </c>
      <c r="C2578" s="1771">
        <v>88309</v>
      </c>
      <c r="D2578" s="1772" t="s">
        <v>103</v>
      </c>
      <c r="E2578" s="1773" t="s">
        <v>387</v>
      </c>
      <c r="F2578" s="1780">
        <v>0.27600000000000002</v>
      </c>
      <c r="G2578" s="1774">
        <v>24.59</v>
      </c>
      <c r="H2578" s="1775">
        <f t="shared" si="372"/>
        <v>24.59</v>
      </c>
      <c r="I2578" s="1776">
        <f t="shared" si="373"/>
        <v>6.78</v>
      </c>
      <c r="J2578" s="1768"/>
    </row>
    <row r="2579" spans="1:10">
      <c r="A2579" s="1770" t="s">
        <v>2407</v>
      </c>
      <c r="B2579" s="1771" t="s">
        <v>7</v>
      </c>
      <c r="C2579" s="1771">
        <v>88316</v>
      </c>
      <c r="D2579" s="1772" t="s">
        <v>66</v>
      </c>
      <c r="E2579" s="1773" t="s">
        <v>387</v>
      </c>
      <c r="F2579" s="1780">
        <v>0.55200000000000005</v>
      </c>
      <c r="G2579" s="1774">
        <v>19.45</v>
      </c>
      <c r="H2579" s="1775">
        <f t="shared" si="372"/>
        <v>19.45</v>
      </c>
      <c r="I2579" s="1776">
        <f t="shared" si="373"/>
        <v>10.73</v>
      </c>
      <c r="J2579" s="1768"/>
    </row>
    <row r="2580" spans="1:10" ht="24">
      <c r="A2580" s="1770" t="s">
        <v>2407</v>
      </c>
      <c r="B2580" s="1771" t="s">
        <v>7</v>
      </c>
      <c r="C2580" s="1771">
        <v>88631</v>
      </c>
      <c r="D2580" s="1772" t="s">
        <v>2766</v>
      </c>
      <c r="E2580" s="1773" t="s">
        <v>1132</v>
      </c>
      <c r="F2580" s="1780">
        <v>2E-3</v>
      </c>
      <c r="G2580" s="1774">
        <v>671.15</v>
      </c>
      <c r="H2580" s="1775">
        <f t="shared" si="372"/>
        <v>667.12</v>
      </c>
      <c r="I2580" s="1776">
        <f t="shared" si="373"/>
        <v>1.33</v>
      </c>
      <c r="J2580" s="1768"/>
    </row>
    <row r="2581" spans="1:10" ht="36">
      <c r="A2581" s="1770" t="s">
        <v>2407</v>
      </c>
      <c r="B2581" s="1771" t="s">
        <v>7</v>
      </c>
      <c r="C2581" s="1771">
        <v>92960</v>
      </c>
      <c r="D2581" s="1772" t="s">
        <v>2767</v>
      </c>
      <c r="E2581" s="1773" t="s">
        <v>425</v>
      </c>
      <c r="F2581" s="1780">
        <v>2.4E-2</v>
      </c>
      <c r="G2581" s="1774">
        <v>19.97</v>
      </c>
      <c r="H2581" s="1775">
        <f t="shared" si="372"/>
        <v>19.850000000000001</v>
      </c>
      <c r="I2581" s="1776">
        <f t="shared" si="373"/>
        <v>0.47</v>
      </c>
      <c r="J2581" s="1768"/>
    </row>
    <row r="2582" spans="1:10" ht="36">
      <c r="A2582" s="1770" t="s">
        <v>2407</v>
      </c>
      <c r="B2582" s="1771" t="s">
        <v>7</v>
      </c>
      <c r="C2582" s="1771">
        <v>92961</v>
      </c>
      <c r="D2582" s="1772" t="s">
        <v>2768</v>
      </c>
      <c r="E2582" s="1773" t="s">
        <v>545</v>
      </c>
      <c r="F2582" s="1780">
        <v>0.11799999999999999</v>
      </c>
      <c r="G2582" s="1774">
        <v>4.8600000000000003</v>
      </c>
      <c r="H2582" s="1775">
        <f t="shared" si="372"/>
        <v>4.83</v>
      </c>
      <c r="I2582" s="1776">
        <f t="shared" si="373"/>
        <v>0.56000000000000005</v>
      </c>
      <c r="J2582" s="1768"/>
    </row>
    <row r="2583" spans="1:10">
      <c r="A2583" s="1917" t="s">
        <v>2408</v>
      </c>
      <c r="B2583" s="1918"/>
      <c r="C2583" s="1918"/>
      <c r="D2583" s="1918"/>
      <c r="E2583" s="1918"/>
      <c r="F2583" s="1918"/>
      <c r="G2583" s="1918"/>
      <c r="H2583" s="1919"/>
      <c r="I2583" s="1778">
        <f>SUM(I2575:I2582)</f>
        <v>53.210000000000008</v>
      </c>
      <c r="J2583" s="1768"/>
    </row>
    <row r="2584" spans="1:10">
      <c r="A2584" s="1920"/>
      <c r="B2584" s="1921"/>
      <c r="C2584" s="1921"/>
      <c r="D2584" s="1921"/>
      <c r="E2584" s="1921"/>
      <c r="F2584" s="1921"/>
      <c r="G2584" s="1921"/>
      <c r="H2584" s="1921"/>
      <c r="I2584" s="1922"/>
      <c r="J2584" s="1768"/>
    </row>
    <row r="2585" spans="1:10" ht="25.5" customHeight="1">
      <c r="A2585" s="1757">
        <f>'PLANILHA SEM DESON'!B414</f>
        <v>94265</v>
      </c>
      <c r="B2585" s="1923" t="str">
        <f>VLOOKUP(A2585,'PLANILHA SEM DESON'!$B$17:$D$1699,2,FALSE)</f>
        <v>GUIA (MEIO-FIO) CONCRETO, MOLDADA IN LOCO EM TRECHO RETO COM EXTRUSORA, 15 CM BASE X 30 CM ALTURA. AF_06/2016</v>
      </c>
      <c r="C2585" s="1924"/>
      <c r="D2585" s="1924"/>
      <c r="E2585" s="1924"/>
      <c r="F2585" s="1924"/>
      <c r="G2585" s="1924"/>
      <c r="H2585" s="1925"/>
      <c r="I2585" s="1758" t="str">
        <f>VLOOKUP(A2585,'PLANILHA SEM DESON'!$B$17:$D$1699,3,FALSE)</f>
        <v>m</v>
      </c>
      <c r="J2585" s="1759">
        <f>I2595</f>
        <v>49.349999999999994</v>
      </c>
    </row>
    <row r="2586" spans="1:10" ht="24">
      <c r="A2586" s="1761" t="s">
        <v>2401</v>
      </c>
      <c r="B2586" s="1762" t="s">
        <v>2402</v>
      </c>
      <c r="C2586" s="1763" t="s">
        <v>2399</v>
      </c>
      <c r="D2586" s="1764" t="s">
        <v>284</v>
      </c>
      <c r="E2586" s="1763" t="s">
        <v>193</v>
      </c>
      <c r="F2586" s="1765" t="s">
        <v>2403</v>
      </c>
      <c r="G2586" s="1763" t="s">
        <v>2404</v>
      </c>
      <c r="H2586" s="1766" t="s">
        <v>2405</v>
      </c>
      <c r="I2586" s="1767" t="s">
        <v>2406</v>
      </c>
      <c r="J2586" s="1768"/>
    </row>
    <row r="2587" spans="1:10" ht="24">
      <c r="A2587" s="1770" t="s">
        <v>2407</v>
      </c>
      <c r="B2587" s="1771" t="s">
        <v>2410</v>
      </c>
      <c r="C2587" s="1771">
        <v>370</v>
      </c>
      <c r="D2587" s="1772" t="s">
        <v>2550</v>
      </c>
      <c r="E2587" s="1773" t="s">
        <v>1132</v>
      </c>
      <c r="F2587" s="1780">
        <v>7.0000000000000001E-3</v>
      </c>
      <c r="G2587" s="1774">
        <v>125</v>
      </c>
      <c r="H2587" s="1775">
        <f t="shared" ref="H2587:H2594" si="375">IF(E2587="H",G2587,TRUNC(G2587*(1-$K$7),2))</f>
        <v>124.25</v>
      </c>
      <c r="I2587" s="1776">
        <f t="shared" ref="I2587:I2594" si="376">TRUNC(H2587*F2587,2)</f>
        <v>0.86</v>
      </c>
      <c r="J2587" s="1768"/>
    </row>
    <row r="2588" spans="1:10" ht="36">
      <c r="A2588" s="1770" t="s">
        <v>2407</v>
      </c>
      <c r="B2588" s="1771" t="s">
        <v>2410</v>
      </c>
      <c r="C2588" s="1771">
        <v>34492</v>
      </c>
      <c r="D2588" s="1772" t="s">
        <v>2764</v>
      </c>
      <c r="E2588" s="1773" t="s">
        <v>1132</v>
      </c>
      <c r="F2588" s="1780">
        <v>0.05</v>
      </c>
      <c r="G2588" s="1774">
        <v>595</v>
      </c>
      <c r="H2588" s="1775">
        <f t="shared" si="375"/>
        <v>591.42999999999995</v>
      </c>
      <c r="I2588" s="1776">
        <f t="shared" si="376"/>
        <v>29.57</v>
      </c>
      <c r="J2588" s="1768"/>
    </row>
    <row r="2589" spans="1:10" ht="24">
      <c r="A2589" s="1770" t="s">
        <v>2407</v>
      </c>
      <c r="B2589" s="1771" t="s">
        <v>7</v>
      </c>
      <c r="C2589" s="1771">
        <v>88243</v>
      </c>
      <c r="D2589" s="1772" t="s">
        <v>2765</v>
      </c>
      <c r="E2589" s="1773" t="s">
        <v>387</v>
      </c>
      <c r="F2589" s="1780">
        <v>9.9000000000000005E-2</v>
      </c>
      <c r="G2589" s="1774">
        <v>20.53</v>
      </c>
      <c r="H2589" s="1775">
        <f t="shared" si="375"/>
        <v>20.53</v>
      </c>
      <c r="I2589" s="1776">
        <f t="shared" ref="I2589" si="377">TRUNC(H2589*F2589,2)</f>
        <v>2.0299999999999998</v>
      </c>
      <c r="J2589" s="1768"/>
    </row>
    <row r="2590" spans="1:10" ht="14.25" customHeight="1">
      <c r="A2590" s="1770" t="s">
        <v>2407</v>
      </c>
      <c r="B2590" s="1771" t="s">
        <v>7</v>
      </c>
      <c r="C2590" s="1771">
        <v>88309</v>
      </c>
      <c r="D2590" s="1772" t="s">
        <v>103</v>
      </c>
      <c r="E2590" s="1773" t="s">
        <v>387</v>
      </c>
      <c r="F2590" s="1780">
        <v>0.23400000000000001</v>
      </c>
      <c r="G2590" s="1774">
        <v>24.59</v>
      </c>
      <c r="H2590" s="1775">
        <f t="shared" si="375"/>
        <v>24.59</v>
      </c>
      <c r="I2590" s="1776">
        <f t="shared" si="376"/>
        <v>5.75</v>
      </c>
      <c r="J2590" s="1768"/>
    </row>
    <row r="2591" spans="1:10">
      <c r="A2591" s="1770" t="s">
        <v>2407</v>
      </c>
      <c r="B2591" s="1771" t="s">
        <v>7</v>
      </c>
      <c r="C2591" s="1771">
        <v>88316</v>
      </c>
      <c r="D2591" s="1772" t="s">
        <v>66</v>
      </c>
      <c r="E2591" s="1773" t="s">
        <v>387</v>
      </c>
      <c r="F2591" s="1780">
        <v>0.46700000000000003</v>
      </c>
      <c r="G2591" s="1774">
        <v>19.45</v>
      </c>
      <c r="H2591" s="1775">
        <f t="shared" si="375"/>
        <v>19.45</v>
      </c>
      <c r="I2591" s="1776">
        <f t="shared" si="376"/>
        <v>9.08</v>
      </c>
      <c r="J2591" s="1768"/>
    </row>
    <row r="2592" spans="1:10" ht="24">
      <c r="A2592" s="1770" t="s">
        <v>2407</v>
      </c>
      <c r="B2592" s="1771" t="s">
        <v>7</v>
      </c>
      <c r="C2592" s="1771">
        <v>88631</v>
      </c>
      <c r="D2592" s="1772" t="s">
        <v>2766</v>
      </c>
      <c r="E2592" s="1773" t="s">
        <v>1132</v>
      </c>
      <c r="F2592" s="1780">
        <v>2E-3</v>
      </c>
      <c r="G2592" s="1774">
        <v>671.15</v>
      </c>
      <c r="H2592" s="1775">
        <f t="shared" si="375"/>
        <v>667.12</v>
      </c>
      <c r="I2592" s="1776">
        <f t="shared" si="376"/>
        <v>1.33</v>
      </c>
      <c r="J2592" s="1768"/>
    </row>
    <row r="2593" spans="1:12" ht="36">
      <c r="A2593" s="1770" t="s">
        <v>2407</v>
      </c>
      <c r="B2593" s="1771" t="s">
        <v>7</v>
      </c>
      <c r="C2593" s="1771">
        <v>92960</v>
      </c>
      <c r="D2593" s="1772" t="s">
        <v>2767</v>
      </c>
      <c r="E2593" s="1773" t="s">
        <v>425</v>
      </c>
      <c r="F2593" s="1780">
        <v>1.7000000000000001E-2</v>
      </c>
      <c r="G2593" s="1774">
        <v>19.97</v>
      </c>
      <c r="H2593" s="1775">
        <f t="shared" si="375"/>
        <v>19.850000000000001</v>
      </c>
      <c r="I2593" s="1776">
        <f t="shared" si="376"/>
        <v>0.33</v>
      </c>
      <c r="J2593" s="1768"/>
    </row>
    <row r="2594" spans="1:12" ht="36">
      <c r="A2594" s="1770" t="s">
        <v>2407</v>
      </c>
      <c r="B2594" s="1771" t="s">
        <v>7</v>
      </c>
      <c r="C2594" s="1771">
        <v>92961</v>
      </c>
      <c r="D2594" s="1772" t="s">
        <v>2768</v>
      </c>
      <c r="E2594" s="1773" t="s">
        <v>545</v>
      </c>
      <c r="F2594" s="1780">
        <v>8.3000000000000004E-2</v>
      </c>
      <c r="G2594" s="1774">
        <v>4.8600000000000003</v>
      </c>
      <c r="H2594" s="1775">
        <f t="shared" si="375"/>
        <v>4.83</v>
      </c>
      <c r="I2594" s="1776">
        <f t="shared" si="376"/>
        <v>0.4</v>
      </c>
      <c r="J2594" s="1768"/>
    </row>
    <row r="2595" spans="1:12">
      <c r="A2595" s="1917" t="s">
        <v>2408</v>
      </c>
      <c r="B2595" s="1918"/>
      <c r="C2595" s="1918"/>
      <c r="D2595" s="1918"/>
      <c r="E2595" s="1918"/>
      <c r="F2595" s="1918"/>
      <c r="G2595" s="1918"/>
      <c r="H2595" s="1919"/>
      <c r="I2595" s="1778">
        <f>SUM(I2587:I2594)</f>
        <v>49.349999999999994</v>
      </c>
      <c r="J2595" s="1768"/>
    </row>
    <row r="2596" spans="1:12">
      <c r="A2596" s="1920"/>
      <c r="B2596" s="1921"/>
      <c r="C2596" s="1921"/>
      <c r="D2596" s="1921"/>
      <c r="E2596" s="1921"/>
      <c r="F2596" s="1921"/>
      <c r="G2596" s="1921"/>
      <c r="H2596" s="1921"/>
      <c r="I2596" s="1922"/>
      <c r="J2596" s="1768"/>
    </row>
    <row r="2597" spans="1:12">
      <c r="A2597" s="1757" t="str">
        <f>'PLANILHA SEM DESON'!B415</f>
        <v>COMP 26</v>
      </c>
      <c r="B2597" s="1923" t="str">
        <f>VLOOKUP(A2597,'PLANILHA SEM DESON'!$B$17:$D$1699,2,FALSE)</f>
        <v>FORNECIMENTO E ESPALHAMENTO DE TERRA VEGETAL PREPARADA</v>
      </c>
      <c r="C2597" s="1924"/>
      <c r="D2597" s="1924"/>
      <c r="E2597" s="1924"/>
      <c r="F2597" s="1924"/>
      <c r="G2597" s="1924"/>
      <c r="H2597" s="1925"/>
      <c r="I2597" s="1758" t="str">
        <f>VLOOKUP(A2597,'PLANILHA SEM DESON'!$B$17:$D$1699,3,FALSE)</f>
        <v>m³</v>
      </c>
      <c r="J2597" s="1759">
        <f>I2601</f>
        <v>191.32</v>
      </c>
    </row>
    <row r="2598" spans="1:12" ht="24">
      <c r="A2598" s="1761" t="s">
        <v>2401</v>
      </c>
      <c r="B2598" s="1762" t="s">
        <v>2402</v>
      </c>
      <c r="C2598" s="1763" t="s">
        <v>2399</v>
      </c>
      <c r="D2598" s="1764" t="s">
        <v>284</v>
      </c>
      <c r="E2598" s="1763" t="s">
        <v>193</v>
      </c>
      <c r="F2598" s="1765" t="s">
        <v>2403</v>
      </c>
      <c r="G2598" s="1763" t="s">
        <v>2404</v>
      </c>
      <c r="H2598" s="1766" t="s">
        <v>2405</v>
      </c>
      <c r="I2598" s="1767" t="s">
        <v>2406</v>
      </c>
      <c r="J2598" s="1768"/>
    </row>
    <row r="2599" spans="1:12">
      <c r="A2599" s="1770"/>
      <c r="B2599" s="1771"/>
      <c r="C2599" s="1771">
        <v>88316</v>
      </c>
      <c r="D2599" s="1772" t="s">
        <v>66</v>
      </c>
      <c r="E2599" s="1773" t="s">
        <v>57</v>
      </c>
      <c r="F2599" s="1782">
        <v>2.5</v>
      </c>
      <c r="G2599" s="1781">
        <v>19.45</v>
      </c>
      <c r="H2599" s="1775">
        <f>IF(E2599="H",G2599,TRUNC(G2599*(1-$K$7),2))</f>
        <v>19.45</v>
      </c>
      <c r="I2599" s="1776">
        <f t="shared" ref="I2599:I2600" si="378">TRUNC(H2599*F2599,2)</f>
        <v>48.62</v>
      </c>
      <c r="J2599" s="1768"/>
    </row>
    <row r="2600" spans="1:12">
      <c r="A2600" s="1770"/>
      <c r="B2600" s="1771"/>
      <c r="C2600" s="1771">
        <v>7253</v>
      </c>
      <c r="D2600" s="1772" t="s">
        <v>1609</v>
      </c>
      <c r="E2600" s="1773" t="s">
        <v>47</v>
      </c>
      <c r="F2600" s="1779">
        <v>1</v>
      </c>
      <c r="G2600" s="1779">
        <v>143.57</v>
      </c>
      <c r="H2600" s="1775">
        <f>IF(E2600="H",G2600,TRUNC(G2600*(1-$K$7),2))</f>
        <v>142.69999999999999</v>
      </c>
      <c r="I2600" s="1776">
        <f t="shared" si="378"/>
        <v>142.69999999999999</v>
      </c>
      <c r="J2600" s="1768"/>
    </row>
    <row r="2601" spans="1:12">
      <c r="A2601" s="1917" t="s">
        <v>2408</v>
      </c>
      <c r="B2601" s="1918"/>
      <c r="C2601" s="1918"/>
      <c r="D2601" s="1918"/>
      <c r="E2601" s="1918"/>
      <c r="F2601" s="1918"/>
      <c r="G2601" s="1918"/>
      <c r="H2601" s="1919"/>
      <c r="I2601" s="1778">
        <f>SUM(I2599:I2600)</f>
        <v>191.32</v>
      </c>
      <c r="J2601" s="1768"/>
    </row>
    <row r="2602" spans="1:12">
      <c r="A2602" s="1920"/>
      <c r="B2602" s="1921"/>
      <c r="C2602" s="1921"/>
      <c r="D2602" s="1921"/>
      <c r="E2602" s="1921"/>
      <c r="F2602" s="1921"/>
      <c r="G2602" s="1921"/>
      <c r="H2602" s="1921"/>
      <c r="I2602" s="1922"/>
      <c r="J2602" s="1768"/>
    </row>
    <row r="2603" spans="1:12">
      <c r="A2603" s="1757">
        <f>'PLANILHA SEM DESON'!B416</f>
        <v>98504</v>
      </c>
      <c r="B2603" s="1923" t="str">
        <f>VLOOKUP(A2603,'PLANILHA SEM DESON'!$B$17:$D$1699,2,FALSE)</f>
        <v>PLANTIO DE GRAMA EM PLACAS. AF_05/2018</v>
      </c>
      <c r="C2603" s="1924"/>
      <c r="D2603" s="1924"/>
      <c r="E2603" s="1924"/>
      <c r="F2603" s="1924"/>
      <c r="G2603" s="1924"/>
      <c r="H2603" s="1925"/>
      <c r="I2603" s="1758" t="str">
        <f>VLOOKUP(A2603,'PLANILHA SEM DESON'!$B$17:$D$1699,3,FALSE)</f>
        <v>m²</v>
      </c>
      <c r="J2603" s="1759">
        <f>I2608</f>
        <v>11.870000000000001</v>
      </c>
    </row>
    <row r="2604" spans="1:12" ht="24">
      <c r="A2604" s="1761" t="s">
        <v>2401</v>
      </c>
      <c r="B2604" s="1762" t="s">
        <v>2402</v>
      </c>
      <c r="C2604" s="1763" t="s">
        <v>2399</v>
      </c>
      <c r="D2604" s="1764" t="s">
        <v>284</v>
      </c>
      <c r="E2604" s="1763" t="s">
        <v>193</v>
      </c>
      <c r="F2604" s="1765" t="s">
        <v>2403</v>
      </c>
      <c r="G2604" s="1763" t="s">
        <v>2404</v>
      </c>
      <c r="H2604" s="1766" t="s">
        <v>2405</v>
      </c>
      <c r="I2604" s="1767" t="s">
        <v>2406</v>
      </c>
      <c r="J2604" s="1768"/>
    </row>
    <row r="2605" spans="1:12">
      <c r="A2605" s="1770" t="s">
        <v>2776</v>
      </c>
      <c r="B2605" s="1771" t="s">
        <v>65</v>
      </c>
      <c r="C2605" s="1771" t="s">
        <v>2777</v>
      </c>
      <c r="D2605" s="1772" t="s">
        <v>2769</v>
      </c>
      <c r="E2605" s="1773" t="s">
        <v>1137</v>
      </c>
      <c r="F2605" s="1780">
        <v>1</v>
      </c>
      <c r="G2605" s="1774">
        <v>8.0649999999999995</v>
      </c>
      <c r="H2605" s="1775">
        <f>IF(E2605="H",G2605,TRUNC(G2605*(1-$K$7),2))</f>
        <v>8.01</v>
      </c>
      <c r="I2605" s="1776">
        <f t="shared" ref="I2605:I2607" si="379">TRUNC(H2605*F2605,2)</f>
        <v>8.01</v>
      </c>
      <c r="J2605" s="1768"/>
      <c r="L2605">
        <f>'PLANILHA SEM DESON'!I416</f>
        <v>17.8</v>
      </c>
    </row>
    <row r="2606" spans="1:12">
      <c r="A2606" s="1770" t="s">
        <v>2407</v>
      </c>
      <c r="B2606" s="1771" t="s">
        <v>7</v>
      </c>
      <c r="C2606" s="1771">
        <v>88316</v>
      </c>
      <c r="D2606" s="1772" t="s">
        <v>66</v>
      </c>
      <c r="E2606" s="1773" t="s">
        <v>387</v>
      </c>
      <c r="F2606" s="1780">
        <v>0.15640000000000001</v>
      </c>
      <c r="G2606" s="1774">
        <v>19.45</v>
      </c>
      <c r="H2606" s="1775">
        <f>IF(E2606="H",G2606,TRUNC(G2606*(1-$K$7),2))</f>
        <v>19.45</v>
      </c>
      <c r="I2606" s="1776">
        <f t="shared" si="379"/>
        <v>3.04</v>
      </c>
      <c r="J2606" s="1768"/>
    </row>
    <row r="2607" spans="1:12">
      <c r="A2607" s="1770" t="s">
        <v>2407</v>
      </c>
      <c r="B2607" s="1771" t="s">
        <v>7</v>
      </c>
      <c r="C2607" s="1771">
        <v>88441</v>
      </c>
      <c r="D2607" s="1772" t="s">
        <v>2411</v>
      </c>
      <c r="E2607" s="1773" t="s">
        <v>387</v>
      </c>
      <c r="F2607" s="1780">
        <v>3.9100000000000003E-2</v>
      </c>
      <c r="G2607" s="1774">
        <v>21.15</v>
      </c>
      <c r="H2607" s="1775">
        <f>IF(E2607="H",G2607,TRUNC(G2607*(1-$K$7),2))</f>
        <v>21.15</v>
      </c>
      <c r="I2607" s="1776">
        <f t="shared" si="379"/>
        <v>0.82</v>
      </c>
      <c r="J2607" s="1768"/>
    </row>
    <row r="2608" spans="1:12">
      <c r="A2608" s="1917" t="s">
        <v>2408</v>
      </c>
      <c r="B2608" s="1918"/>
      <c r="C2608" s="1918"/>
      <c r="D2608" s="1918"/>
      <c r="E2608" s="1918"/>
      <c r="F2608" s="1918"/>
      <c r="G2608" s="1918"/>
      <c r="H2608" s="1919"/>
      <c r="I2608" s="1778">
        <f>SUM(I2605:I2607)</f>
        <v>11.870000000000001</v>
      </c>
      <c r="J2608" s="1768"/>
    </row>
    <row r="2609" spans="1:13">
      <c r="A2609" s="1920"/>
      <c r="B2609" s="1921"/>
      <c r="C2609" s="1921"/>
      <c r="D2609" s="1921"/>
      <c r="E2609" s="1921"/>
      <c r="F2609" s="1921"/>
      <c r="G2609" s="1921"/>
      <c r="H2609" s="1921"/>
      <c r="I2609" s="1922"/>
      <c r="J2609" s="1768"/>
    </row>
    <row r="2610" spans="1:13">
      <c r="A2610" s="1757">
        <f>'PLANILHA SEM DESON'!B417</f>
        <v>98510</v>
      </c>
      <c r="B2610" s="1923" t="str">
        <f>VLOOKUP(A2610,'PLANILHA SEM DESON'!$B$17:$D$1699,2,FALSE)</f>
        <v>PLANTIO DE ÁRVORE ORNAMENTAL COM ALTURA DE MUDA MENOR OU IGUAL A 2,00 M. AF_05/2018</v>
      </c>
      <c r="C2610" s="1924"/>
      <c r="D2610" s="1924"/>
      <c r="E2610" s="1924"/>
      <c r="F2610" s="1924"/>
      <c r="G2610" s="1924"/>
      <c r="H2610" s="1925"/>
      <c r="I2610" s="1758" t="str">
        <f>VLOOKUP(A2610,'PLANILHA SEM DESON'!$B$17:$D$1699,3,FALSE)</f>
        <v xml:space="preserve">un </v>
      </c>
      <c r="J2610" s="1759">
        <f>I2615</f>
        <v>83.9</v>
      </c>
    </row>
    <row r="2611" spans="1:13" ht="24">
      <c r="A2611" s="1761" t="s">
        <v>2401</v>
      </c>
      <c r="B2611" s="1762" t="s">
        <v>2402</v>
      </c>
      <c r="C2611" s="1763" t="s">
        <v>2399</v>
      </c>
      <c r="D2611" s="1764" t="s">
        <v>284</v>
      </c>
      <c r="E2611" s="1763" t="s">
        <v>193</v>
      </c>
      <c r="F2611" s="1765" t="s">
        <v>2403</v>
      </c>
      <c r="G2611" s="1763" t="s">
        <v>2404</v>
      </c>
      <c r="H2611" s="1766" t="s">
        <v>2405</v>
      </c>
      <c r="I2611" s="1767" t="s">
        <v>2406</v>
      </c>
      <c r="J2611" s="1768"/>
    </row>
    <row r="2612" spans="1:13" ht="36">
      <c r="A2612" s="1770" t="s">
        <v>2776</v>
      </c>
      <c r="B2612" s="1771" t="s">
        <v>65</v>
      </c>
      <c r="C2612" s="1771" t="s">
        <v>2777</v>
      </c>
      <c r="D2612" s="1772" t="s">
        <v>2770</v>
      </c>
      <c r="E2612" s="1773" t="s">
        <v>2432</v>
      </c>
      <c r="F2612" s="1780">
        <v>1</v>
      </c>
      <c r="G2612" s="1774">
        <v>66.319999999999993</v>
      </c>
      <c r="H2612" s="1775">
        <f>IF(E2612="H",G2612,TRUNC(G2612*(1-$K$7),2))</f>
        <v>65.92</v>
      </c>
      <c r="I2612" s="1776">
        <f t="shared" ref="I2612:I2614" si="380">TRUNC(H2612*F2612,2)</f>
        <v>65.92</v>
      </c>
      <c r="J2612" s="1768"/>
    </row>
    <row r="2613" spans="1:13">
      <c r="A2613" s="1770" t="s">
        <v>2407</v>
      </c>
      <c r="B2613" s="1771" t="s">
        <v>7</v>
      </c>
      <c r="C2613" s="1771">
        <v>88316</v>
      </c>
      <c r="D2613" s="1772" t="s">
        <v>66</v>
      </c>
      <c r="E2613" s="1773" t="s">
        <v>387</v>
      </c>
      <c r="F2613" s="1780">
        <v>0.72719999999999996</v>
      </c>
      <c r="G2613" s="1774">
        <v>19.45</v>
      </c>
      <c r="H2613" s="1775">
        <f>IF(E2613="H",G2613,TRUNC(G2613*(1-$K$7),2))</f>
        <v>19.45</v>
      </c>
      <c r="I2613" s="1776">
        <f t="shared" si="380"/>
        <v>14.14</v>
      </c>
      <c r="J2613" s="1768"/>
    </row>
    <row r="2614" spans="1:13">
      <c r="A2614" s="1770" t="s">
        <v>2407</v>
      </c>
      <c r="B2614" s="1771" t="s">
        <v>7</v>
      </c>
      <c r="C2614" s="1771">
        <v>88441</v>
      </c>
      <c r="D2614" s="1772" t="s">
        <v>2411</v>
      </c>
      <c r="E2614" s="1773" t="s">
        <v>387</v>
      </c>
      <c r="F2614" s="1780">
        <v>0.18179999999999999</v>
      </c>
      <c r="G2614" s="1774">
        <v>21.15</v>
      </c>
      <c r="H2614" s="1775">
        <f>IF(E2614="H",G2614,TRUNC(G2614*(1-$K$7),2))</f>
        <v>21.15</v>
      </c>
      <c r="I2614" s="1776">
        <f t="shared" si="380"/>
        <v>3.84</v>
      </c>
      <c r="J2614" s="1768"/>
      <c r="L2614">
        <f>'PLANILHA SEM DESON'!I417</f>
        <v>125.93</v>
      </c>
    </row>
    <row r="2615" spans="1:13">
      <c r="A2615" s="1917" t="s">
        <v>2408</v>
      </c>
      <c r="B2615" s="1918"/>
      <c r="C2615" s="1918"/>
      <c r="D2615" s="1918"/>
      <c r="E2615" s="1918"/>
      <c r="F2615" s="1918"/>
      <c r="G2615" s="1918"/>
      <c r="H2615" s="1919"/>
      <c r="I2615" s="1778">
        <f>SUM(I2612:I2614)</f>
        <v>83.9</v>
      </c>
      <c r="J2615" s="1768"/>
    </row>
    <row r="2616" spans="1:13">
      <c r="A2616" s="1920"/>
      <c r="B2616" s="1921"/>
      <c r="C2616" s="1921"/>
      <c r="D2616" s="1921"/>
      <c r="E2616" s="1921"/>
      <c r="F2616" s="1921"/>
      <c r="G2616" s="1921"/>
      <c r="H2616" s="1921"/>
      <c r="I2616" s="1922"/>
      <c r="J2616" s="1768"/>
    </row>
    <row r="2617" spans="1:13">
      <c r="A2617" s="1757">
        <f>'PLANILHA SEM DESON'!B418</f>
        <v>98505</v>
      </c>
      <c r="B2617" s="1923" t="str">
        <f>VLOOKUP(A2617,'PLANILHA SEM DESON'!$B$17:$D$1699,2,FALSE)</f>
        <v>PLANTIO DE FORRAÇÃO. AF_05/2018</v>
      </c>
      <c r="C2617" s="1924"/>
      <c r="D2617" s="1924"/>
      <c r="E2617" s="1924"/>
      <c r="F2617" s="1924"/>
      <c r="G2617" s="1924"/>
      <c r="H2617" s="1925"/>
      <c r="I2617" s="1758" t="str">
        <f>VLOOKUP(A2617,'PLANILHA SEM DESON'!$B$17:$D$1699,3,FALSE)</f>
        <v>m²</v>
      </c>
      <c r="J2617" s="1759">
        <f>I2622</f>
        <v>85.46</v>
      </c>
    </row>
    <row r="2618" spans="1:13" ht="24">
      <c r="A2618" s="1761" t="s">
        <v>2401</v>
      </c>
      <c r="B2618" s="1762" t="s">
        <v>2402</v>
      </c>
      <c r="C2618" s="1763" t="s">
        <v>2399</v>
      </c>
      <c r="D2618" s="1764" t="s">
        <v>284</v>
      </c>
      <c r="E2618" s="1763" t="s">
        <v>193</v>
      </c>
      <c r="F2618" s="1765" t="s">
        <v>2403</v>
      </c>
      <c r="G2618" s="1763" t="s">
        <v>2404</v>
      </c>
      <c r="H2618" s="1766" t="s">
        <v>2405</v>
      </c>
      <c r="I2618" s="1767" t="s">
        <v>2406</v>
      </c>
      <c r="J2618" s="1768"/>
    </row>
    <row r="2619" spans="1:13" ht="36">
      <c r="A2619" s="1770" t="s">
        <v>2776</v>
      </c>
      <c r="B2619" s="1771" t="s">
        <v>65</v>
      </c>
      <c r="C2619" s="1771" t="s">
        <v>2777</v>
      </c>
      <c r="D2619" s="1772" t="s">
        <v>2771</v>
      </c>
      <c r="E2619" s="1773" t="s">
        <v>2432</v>
      </c>
      <c r="F2619" s="1780">
        <v>25</v>
      </c>
      <c r="G2619" s="1774">
        <v>3.23</v>
      </c>
      <c r="H2619" s="1775">
        <f>IF(E2619="H",G2619,TRUNC(G2619*(1-$K$7),2))</f>
        <v>3.21</v>
      </c>
      <c r="I2619" s="1776">
        <f t="shared" ref="I2619:I2621" si="381">TRUNC(H2619*F2619,2)</f>
        <v>80.25</v>
      </c>
      <c r="J2619" s="1768"/>
    </row>
    <row r="2620" spans="1:13">
      <c r="A2620" s="1770" t="s">
        <v>2407</v>
      </c>
      <c r="B2620" s="1771" t="s">
        <v>7</v>
      </c>
      <c r="C2620" s="1771">
        <v>88316</v>
      </c>
      <c r="D2620" s="1772" t="s">
        <v>66</v>
      </c>
      <c r="E2620" s="1773" t="s">
        <v>387</v>
      </c>
      <c r="F2620" s="1780">
        <v>0.21099999999999999</v>
      </c>
      <c r="G2620" s="1774">
        <v>19.45</v>
      </c>
      <c r="H2620" s="1775">
        <f>IF(E2620="H",G2620,TRUNC(G2620*(1-$K$7),2))</f>
        <v>19.45</v>
      </c>
      <c r="I2620" s="1776">
        <f t="shared" si="381"/>
        <v>4.0999999999999996</v>
      </c>
      <c r="J2620" s="1768"/>
      <c r="M2620">
        <f>'PLANILHA SEM DESON'!I418</f>
        <v>128.59</v>
      </c>
    </row>
    <row r="2621" spans="1:13">
      <c r="A2621" s="1770" t="s">
        <v>2407</v>
      </c>
      <c r="B2621" s="1771" t="s">
        <v>7</v>
      </c>
      <c r="C2621" s="1771">
        <v>88441</v>
      </c>
      <c r="D2621" s="1772" t="s">
        <v>2411</v>
      </c>
      <c r="E2621" s="1773" t="s">
        <v>387</v>
      </c>
      <c r="F2621" s="1780">
        <v>5.28E-2</v>
      </c>
      <c r="G2621" s="1774">
        <v>21.15</v>
      </c>
      <c r="H2621" s="1775">
        <f>IF(E2621="H",G2621,TRUNC(G2621*(1-$K$7),2))</f>
        <v>21.15</v>
      </c>
      <c r="I2621" s="1776">
        <f t="shared" si="381"/>
        <v>1.1100000000000001</v>
      </c>
      <c r="J2621" s="1768"/>
    </row>
    <row r="2622" spans="1:13">
      <c r="A2622" s="1917" t="s">
        <v>2408</v>
      </c>
      <c r="B2622" s="1918"/>
      <c r="C2622" s="1918"/>
      <c r="D2622" s="1918"/>
      <c r="E2622" s="1918"/>
      <c r="F2622" s="1918"/>
      <c r="G2622" s="1918"/>
      <c r="H2622" s="1919"/>
      <c r="I2622" s="1778">
        <f>SUM(I2619:I2621)</f>
        <v>85.46</v>
      </c>
      <c r="J2622" s="1768"/>
    </row>
    <row r="2623" spans="1:13">
      <c r="A2623" s="1920"/>
      <c r="B2623" s="1921"/>
      <c r="C2623" s="1921"/>
      <c r="D2623" s="1921"/>
      <c r="E2623" s="1921"/>
      <c r="F2623" s="1921"/>
      <c r="G2623" s="1921"/>
      <c r="H2623" s="1921"/>
      <c r="I2623" s="1922"/>
      <c r="J2623" s="1768"/>
    </row>
    <row r="2624" spans="1:13">
      <c r="A2624" s="1757">
        <f>'PLANILHA SEM DESON'!B419</f>
        <v>101094</v>
      </c>
      <c r="B2624" s="1923" t="str">
        <f>VLOOKUP(A2624,'PLANILHA SEM DESON'!$B$17:$D$1699,2,FALSE)</f>
        <v>PISO PODOTÁTIL,DIRECIONAL OU ALERTA,ASSENTADO SOBRE ARGAMASSA.  AF_05/2020</v>
      </c>
      <c r="C2624" s="1924"/>
      <c r="D2624" s="1924"/>
      <c r="E2624" s="1924"/>
      <c r="F2624" s="1924"/>
      <c r="G2624" s="1924"/>
      <c r="H2624" s="1925"/>
      <c r="I2624" s="1758" t="str">
        <f>VLOOKUP(A2624,'PLANILHA SEM DESON'!$B$17:$D$1699,3,FALSE)</f>
        <v>m</v>
      </c>
      <c r="J2624" s="1759">
        <f>I2631</f>
        <v>179.77</v>
      </c>
    </row>
    <row r="2625" spans="1:14" ht="24">
      <c r="A2625" s="1761" t="s">
        <v>2401</v>
      </c>
      <c r="B2625" s="1762" t="s">
        <v>2402</v>
      </c>
      <c r="C2625" s="1763" t="s">
        <v>2399</v>
      </c>
      <c r="D2625" s="1764" t="s">
        <v>284</v>
      </c>
      <c r="E2625" s="1763" t="s">
        <v>193</v>
      </c>
      <c r="F2625" s="1765" t="s">
        <v>2403</v>
      </c>
      <c r="G2625" s="1763" t="s">
        <v>2404</v>
      </c>
      <c r="H2625" s="1766" t="s">
        <v>2405</v>
      </c>
      <c r="I2625" s="1767" t="s">
        <v>2406</v>
      </c>
      <c r="J2625" s="1768"/>
    </row>
    <row r="2626" spans="1:14">
      <c r="A2626" s="1770" t="s">
        <v>2407</v>
      </c>
      <c r="B2626" s="1771" t="s">
        <v>2410</v>
      </c>
      <c r="C2626" s="1771">
        <v>1379</v>
      </c>
      <c r="D2626" s="1772" t="s">
        <v>2551</v>
      </c>
      <c r="E2626" s="1773" t="s">
        <v>1145</v>
      </c>
      <c r="F2626" s="1780">
        <v>0.24</v>
      </c>
      <c r="G2626" s="1774">
        <v>0.94</v>
      </c>
      <c r="H2626" s="1775">
        <f>IF(E2626="H",G2626,TRUNC(G2626*(1-$K$7),2))</f>
        <v>0.93</v>
      </c>
      <c r="I2626" s="1776">
        <f t="shared" ref="I2626:I2630" si="382">TRUNC(H2626*F2626,2)</f>
        <v>0.22</v>
      </c>
      <c r="J2626" s="1768"/>
    </row>
    <row r="2627" spans="1:14">
      <c r="A2627" s="1770" t="s">
        <v>2407</v>
      </c>
      <c r="B2627" s="1771" t="s">
        <v>2410</v>
      </c>
      <c r="C2627" s="1771">
        <v>37595</v>
      </c>
      <c r="D2627" s="1772" t="s">
        <v>536</v>
      </c>
      <c r="E2627" s="1773" t="s">
        <v>1145</v>
      </c>
      <c r="F2627" s="1780">
        <v>1.2150000000000001</v>
      </c>
      <c r="G2627" s="1774">
        <v>3.07</v>
      </c>
      <c r="H2627" s="1775">
        <f>IF(E2627="H",G2627,TRUNC(G2627*(1-$K$7),2))</f>
        <v>3.05</v>
      </c>
      <c r="I2627" s="1776">
        <f t="shared" si="382"/>
        <v>3.7</v>
      </c>
      <c r="J2627" s="1768"/>
      <c r="N2627">
        <f>'PLANILHA SEM DESON'!I419</f>
        <v>270.08999999999997</v>
      </c>
    </row>
    <row r="2628" spans="1:14" ht="24">
      <c r="A2628" s="1770" t="s">
        <v>2776</v>
      </c>
      <c r="B2628" s="1771" t="s">
        <v>65</v>
      </c>
      <c r="C2628" s="1771" t="s">
        <v>2777</v>
      </c>
      <c r="D2628" s="1772" t="s">
        <v>2772</v>
      </c>
      <c r="E2628" s="1773" t="s">
        <v>1137</v>
      </c>
      <c r="F2628" s="1780">
        <v>0.25</v>
      </c>
      <c r="G2628" s="1774">
        <v>647.4</v>
      </c>
      <c r="H2628" s="1775">
        <f>IF(E2628="H",G2628,TRUNC(G2628*(1-$K$7),2))</f>
        <v>643.51</v>
      </c>
      <c r="I2628" s="1776">
        <f t="shared" si="382"/>
        <v>160.87</v>
      </c>
      <c r="J2628" s="1768"/>
    </row>
    <row r="2629" spans="1:14">
      <c r="A2629" s="1770" t="s">
        <v>2407</v>
      </c>
      <c r="B2629" s="1771" t="s">
        <v>7</v>
      </c>
      <c r="C2629" s="1771">
        <v>88309</v>
      </c>
      <c r="D2629" s="1772" t="s">
        <v>103</v>
      </c>
      <c r="E2629" s="1773" t="s">
        <v>387</v>
      </c>
      <c r="F2629" s="1780">
        <v>0.437</v>
      </c>
      <c r="G2629" s="1774">
        <v>24.59</v>
      </c>
      <c r="H2629" s="1775">
        <f>IF(E2629="H",G2629,TRUNC(G2629*(1-$K$7),2))</f>
        <v>24.59</v>
      </c>
      <c r="I2629" s="1776">
        <f t="shared" si="382"/>
        <v>10.74</v>
      </c>
      <c r="J2629" s="1768"/>
    </row>
    <row r="2630" spans="1:14">
      <c r="A2630" s="1770" t="s">
        <v>2407</v>
      </c>
      <c r="B2630" s="1771" t="s">
        <v>7</v>
      </c>
      <c r="C2630" s="1771">
        <v>88316</v>
      </c>
      <c r="D2630" s="1772" t="s">
        <v>66</v>
      </c>
      <c r="E2630" s="1773" t="s">
        <v>387</v>
      </c>
      <c r="F2630" s="1780">
        <v>0.218</v>
      </c>
      <c r="G2630" s="1774">
        <v>19.45</v>
      </c>
      <c r="H2630" s="1775">
        <f>IF(E2630="H",G2630,TRUNC(G2630*(1-$K$7),2))</f>
        <v>19.45</v>
      </c>
      <c r="I2630" s="1776">
        <f t="shared" si="382"/>
        <v>4.24</v>
      </c>
      <c r="J2630" s="1768"/>
    </row>
    <row r="2631" spans="1:14">
      <c r="A2631" s="1917" t="s">
        <v>2408</v>
      </c>
      <c r="B2631" s="1918"/>
      <c r="C2631" s="1918"/>
      <c r="D2631" s="1918"/>
      <c r="E2631" s="1918"/>
      <c r="F2631" s="1918"/>
      <c r="G2631" s="1918"/>
      <c r="H2631" s="1919"/>
      <c r="I2631" s="1778">
        <f>SUM(I2626:I2630)</f>
        <v>179.77</v>
      </c>
      <c r="J2631" s="1768"/>
    </row>
    <row r="2632" spans="1:14">
      <c r="A2632" s="1920"/>
      <c r="B2632" s="1921"/>
      <c r="C2632" s="1921"/>
      <c r="D2632" s="1921"/>
      <c r="E2632" s="1921"/>
      <c r="F2632" s="1921"/>
      <c r="G2632" s="1921"/>
      <c r="H2632" s="1921"/>
      <c r="I2632" s="1922"/>
      <c r="J2632" s="1768"/>
    </row>
    <row r="2633" spans="1:14" ht="25.5" customHeight="1">
      <c r="A2633" s="1757">
        <f>'PLANILHA SEM DESON'!B420</f>
        <v>102513</v>
      </c>
      <c r="B2633" s="1923" t="str">
        <f>VLOOKUP(A2633,'PLANILHA SEM DESON'!$B$17:$D$1699,2,FALSE)</f>
        <v>PINTURA DE SÍMBOLOS E TEXTOS COM TINTA ACRÍLICA, DEMARCAÇÃO COM FITA ADESIVA E APLICAÇÃO COM ROLO. AF_05/2021</v>
      </c>
      <c r="C2633" s="1924"/>
      <c r="D2633" s="1924"/>
      <c r="E2633" s="1924"/>
      <c r="F2633" s="1924"/>
      <c r="G2633" s="1924"/>
      <c r="H2633" s="1925"/>
      <c r="I2633" s="1758" t="str">
        <f>VLOOKUP(A2633,'PLANILHA SEM DESON'!$B$17:$D$1699,3,FALSE)</f>
        <v>m²</v>
      </c>
      <c r="J2633" s="1759">
        <f>I2639</f>
        <v>34.68</v>
      </c>
    </row>
    <row r="2634" spans="1:14" ht="24">
      <c r="A2634" s="1761" t="s">
        <v>2401</v>
      </c>
      <c r="B2634" s="1762" t="s">
        <v>2402</v>
      </c>
      <c r="C2634" s="1763" t="s">
        <v>2399</v>
      </c>
      <c r="D2634" s="1764" t="s">
        <v>284</v>
      </c>
      <c r="E2634" s="1763" t="s">
        <v>193</v>
      </c>
      <c r="F2634" s="1765" t="s">
        <v>2403</v>
      </c>
      <c r="G2634" s="1763" t="s">
        <v>2404</v>
      </c>
      <c r="H2634" s="1766" t="s">
        <v>2405</v>
      </c>
      <c r="I2634" s="1767" t="s">
        <v>2406</v>
      </c>
      <c r="J2634" s="1768"/>
      <c r="N2634">
        <f>'PLANILHA SEM DESON'!I420</f>
        <v>51.93</v>
      </c>
    </row>
    <row r="2635" spans="1:14">
      <c r="A2635" s="1770" t="s">
        <v>2407</v>
      </c>
      <c r="B2635" s="1771" t="s">
        <v>2410</v>
      </c>
      <c r="C2635" s="1771">
        <v>7348</v>
      </c>
      <c r="D2635" s="1772" t="s">
        <v>2773</v>
      </c>
      <c r="E2635" s="1773" t="s">
        <v>424</v>
      </c>
      <c r="F2635" s="1780">
        <v>0.42699999999999999</v>
      </c>
      <c r="G2635" s="1774">
        <v>18.02</v>
      </c>
      <c r="H2635" s="1775">
        <f>IF(E2635="H",G2635,TRUNC(G2635*(1-$K$7),2))</f>
        <v>17.91</v>
      </c>
      <c r="I2635" s="1776">
        <f t="shared" ref="I2635:I2638" si="383">TRUNC(H2635*F2635,2)</f>
        <v>7.64</v>
      </c>
      <c r="J2635" s="1768"/>
    </row>
    <row r="2636" spans="1:14">
      <c r="A2636" s="1770" t="s">
        <v>2407</v>
      </c>
      <c r="B2636" s="1771" t="s">
        <v>2410</v>
      </c>
      <c r="C2636" s="1771">
        <v>12815</v>
      </c>
      <c r="D2636" s="1772" t="s">
        <v>2774</v>
      </c>
      <c r="E2636" s="1773" t="s">
        <v>2432</v>
      </c>
      <c r="F2636" s="1780">
        <v>0.23</v>
      </c>
      <c r="G2636" s="1774">
        <v>10.48</v>
      </c>
      <c r="H2636" s="1775">
        <f>IF(E2636="H",G2636,TRUNC(G2636*(1-$K$7),2))</f>
        <v>10.41</v>
      </c>
      <c r="I2636" s="1776">
        <f t="shared" si="383"/>
        <v>2.39</v>
      </c>
      <c r="J2636" s="1768"/>
    </row>
    <row r="2637" spans="1:14">
      <c r="A2637" s="1770" t="s">
        <v>2407</v>
      </c>
      <c r="B2637" s="1771" t="s">
        <v>7</v>
      </c>
      <c r="C2637" s="1771">
        <v>88310</v>
      </c>
      <c r="D2637" s="1772" t="s">
        <v>127</v>
      </c>
      <c r="E2637" s="1773" t="s">
        <v>387</v>
      </c>
      <c r="F2637" s="1780">
        <v>0.65800000000000003</v>
      </c>
      <c r="G2637" s="1774">
        <v>25.64</v>
      </c>
      <c r="H2637" s="1775">
        <f>IF(E2637="H",G2637,TRUNC(G2637*(1-$K$7),2))</f>
        <v>25.64</v>
      </c>
      <c r="I2637" s="1776">
        <f t="shared" si="383"/>
        <v>16.87</v>
      </c>
      <c r="J2637" s="1768"/>
    </row>
    <row r="2638" spans="1:14">
      <c r="A2638" s="1770" t="s">
        <v>2407</v>
      </c>
      <c r="B2638" s="1771" t="s">
        <v>7</v>
      </c>
      <c r="C2638" s="1771">
        <v>88316</v>
      </c>
      <c r="D2638" s="1772" t="s">
        <v>66</v>
      </c>
      <c r="E2638" s="1773" t="s">
        <v>387</v>
      </c>
      <c r="F2638" s="1780">
        <v>0.4</v>
      </c>
      <c r="G2638" s="1774">
        <v>19.45</v>
      </c>
      <c r="H2638" s="1775">
        <f>IF(E2638="H",G2638,TRUNC(G2638*(1-$K$7),2))</f>
        <v>19.45</v>
      </c>
      <c r="I2638" s="1776">
        <f t="shared" si="383"/>
        <v>7.78</v>
      </c>
      <c r="J2638" s="1768"/>
    </row>
    <row r="2639" spans="1:14">
      <c r="A2639" s="1917" t="s">
        <v>2408</v>
      </c>
      <c r="B2639" s="1918"/>
      <c r="C2639" s="1918"/>
      <c r="D2639" s="1918"/>
      <c r="E2639" s="1918"/>
      <c r="F2639" s="1918"/>
      <c r="G2639" s="1918"/>
      <c r="H2639" s="1919"/>
      <c r="I2639" s="1778">
        <f>SUM(I2635:I2638)</f>
        <v>34.68</v>
      </c>
      <c r="J2639" s="1768"/>
    </row>
    <row r="2640" spans="1:14">
      <c r="A2640" s="1920"/>
      <c r="B2640" s="1921"/>
      <c r="C2640" s="1921"/>
      <c r="D2640" s="1921"/>
      <c r="E2640" s="1921"/>
      <c r="F2640" s="1921"/>
      <c r="G2640" s="1921"/>
      <c r="H2640" s="1921"/>
      <c r="I2640" s="1922"/>
      <c r="J2640" s="1768"/>
    </row>
    <row r="2641" spans="1:14">
      <c r="A2641" s="1757">
        <f>'PLANILHA SEM DESON'!B421</f>
        <v>102500</v>
      </c>
      <c r="B2641" s="1923" t="str">
        <f>VLOOKUP(A2641,'PLANILHA SEM DESON'!$B$17:$D$1699,2,FALSE)</f>
        <v>PINTURA DE DEMARCAÇÃO DE VAGA COM TINTA ACRÍLICA, E = 10 CM, APLICAÇÃO MANUAL. AF_05/2021</v>
      </c>
      <c r="C2641" s="1924"/>
      <c r="D2641" s="1924"/>
      <c r="E2641" s="1924"/>
      <c r="F2641" s="1924"/>
      <c r="G2641" s="1924"/>
      <c r="H2641" s="1925"/>
      <c r="I2641" s="1758" t="str">
        <f>VLOOKUP(A2641,'PLANILHA SEM DESON'!$B$17:$D$1699,3,FALSE)</f>
        <v>m</v>
      </c>
      <c r="J2641" s="1759">
        <f>I2647</f>
        <v>3.2399999999999998</v>
      </c>
    </row>
    <row r="2642" spans="1:14" ht="24">
      <c r="A2642" s="1761" t="s">
        <v>2401</v>
      </c>
      <c r="B2642" s="1762" t="s">
        <v>2402</v>
      </c>
      <c r="C2642" s="1763" t="s">
        <v>2399</v>
      </c>
      <c r="D2642" s="1764" t="s">
        <v>284</v>
      </c>
      <c r="E2642" s="1763" t="s">
        <v>193</v>
      </c>
      <c r="F2642" s="1765" t="s">
        <v>2403</v>
      </c>
      <c r="G2642" s="1763" t="s">
        <v>2404</v>
      </c>
      <c r="H2642" s="1766" t="s">
        <v>2405</v>
      </c>
      <c r="I2642" s="1767" t="s">
        <v>2406</v>
      </c>
      <c r="J2642" s="1768"/>
    </row>
    <row r="2643" spans="1:14">
      <c r="A2643" s="1770"/>
      <c r="B2643" s="1771" t="s">
        <v>2410</v>
      </c>
      <c r="C2643" s="1771">
        <v>7348</v>
      </c>
      <c r="D2643" s="1772" t="s">
        <v>2773</v>
      </c>
      <c r="E2643" s="1773" t="s">
        <v>424</v>
      </c>
      <c r="F2643" s="1780">
        <v>4.2999999999999997E-2</v>
      </c>
      <c r="G2643" s="1774">
        <v>18.02</v>
      </c>
      <c r="H2643" s="1775">
        <f>IF(E2643="H",G2643,TRUNC(G2643*(1-$K$7),2))</f>
        <v>17.91</v>
      </c>
      <c r="I2643" s="1776">
        <f t="shared" ref="I2643:I2646" si="384">TRUNC(H2643*F2643,2)</f>
        <v>0.77</v>
      </c>
      <c r="J2643" s="1768"/>
      <c r="N2643">
        <f>'PLANILHA SEM DESON'!I421</f>
        <v>4.8600000000000003</v>
      </c>
    </row>
    <row r="2644" spans="1:14">
      <c r="A2644" s="1770"/>
      <c r="B2644" s="1771" t="s">
        <v>2410</v>
      </c>
      <c r="C2644" s="1771">
        <v>12815</v>
      </c>
      <c r="D2644" s="1772" t="s">
        <v>2774</v>
      </c>
      <c r="E2644" s="1773" t="s">
        <v>2432</v>
      </c>
      <c r="F2644" s="1780">
        <v>0.04</v>
      </c>
      <c r="G2644" s="1774">
        <v>10.48</v>
      </c>
      <c r="H2644" s="1775">
        <f>IF(E2644="H",G2644,TRUNC(G2644*(1-$K$7),2))</f>
        <v>10.41</v>
      </c>
      <c r="I2644" s="1776">
        <f t="shared" si="384"/>
        <v>0.41</v>
      </c>
      <c r="J2644" s="1768"/>
    </row>
    <row r="2645" spans="1:14">
      <c r="A2645" s="1770"/>
      <c r="B2645" s="1771" t="s">
        <v>7</v>
      </c>
      <c r="C2645" s="1771">
        <v>88310</v>
      </c>
      <c r="D2645" s="1772" t="s">
        <v>127</v>
      </c>
      <c r="E2645" s="1773" t="s">
        <v>387</v>
      </c>
      <c r="F2645" s="1780">
        <v>5.3999999999999999E-2</v>
      </c>
      <c r="G2645" s="1774">
        <v>25.64</v>
      </c>
      <c r="H2645" s="1775">
        <f>IF(E2645="H",G2645,TRUNC(G2645*(1-$K$7),2))</f>
        <v>25.64</v>
      </c>
      <c r="I2645" s="1776">
        <f t="shared" si="384"/>
        <v>1.38</v>
      </c>
      <c r="J2645" s="1768"/>
    </row>
    <row r="2646" spans="1:14">
      <c r="A2646" s="1770"/>
      <c r="B2646" s="1771" t="s">
        <v>7</v>
      </c>
      <c r="C2646" s="1771">
        <v>88316</v>
      </c>
      <c r="D2646" s="1772" t="s">
        <v>66</v>
      </c>
      <c r="E2646" s="1773" t="s">
        <v>387</v>
      </c>
      <c r="F2646" s="1780">
        <v>3.5000000000000003E-2</v>
      </c>
      <c r="G2646" s="1774">
        <v>19.45</v>
      </c>
      <c r="H2646" s="1775">
        <f>IF(E2646="H",G2646,TRUNC(G2646*(1-$K$7),2))</f>
        <v>19.45</v>
      </c>
      <c r="I2646" s="1776">
        <f t="shared" si="384"/>
        <v>0.68</v>
      </c>
      <c r="J2646" s="1768"/>
    </row>
    <row r="2647" spans="1:14">
      <c r="A2647" s="1917" t="s">
        <v>2408</v>
      </c>
      <c r="B2647" s="1918"/>
      <c r="C2647" s="1918"/>
      <c r="D2647" s="1918"/>
      <c r="E2647" s="1918"/>
      <c r="F2647" s="1918"/>
      <c r="G2647" s="1918"/>
      <c r="H2647" s="1919"/>
      <c r="I2647" s="1778">
        <f>SUM(I2643:I2646)</f>
        <v>3.2399999999999998</v>
      </c>
      <c r="J2647" s="1768"/>
    </row>
    <row r="2648" spans="1:14">
      <c r="A2648" s="1920"/>
      <c r="B2648" s="1921"/>
      <c r="C2648" s="1921"/>
      <c r="D2648" s="1921"/>
      <c r="E2648" s="1921"/>
      <c r="F2648" s="1921"/>
      <c r="G2648" s="1921"/>
      <c r="H2648" s="1921"/>
      <c r="I2648" s="1922"/>
      <c r="J2648" s="1768"/>
    </row>
    <row r="2649" spans="1:14">
      <c r="A2649" s="1757" t="str">
        <f>'PLANILHA SEM DESON'!B422</f>
        <v>COMP 33</v>
      </c>
      <c r="B2649" s="1923" t="str">
        <f>VLOOKUP(A2649,'PLANILHA SEM DESON'!$B$17:$D$1699,2,FALSE)</f>
        <v>PLACA DE INAUGURAÇÃO - FORNECIMENTO E INSTALAÇÃO</v>
      </c>
      <c r="C2649" s="1924"/>
      <c r="D2649" s="1924"/>
      <c r="E2649" s="1924"/>
      <c r="F2649" s="1924"/>
      <c r="G2649" s="1924"/>
      <c r="H2649" s="1925"/>
      <c r="I2649" s="1758" t="str">
        <f>VLOOKUP(A2649,'PLANILHA SEM DESON'!$B$17:$D$1699,3,FALSE)</f>
        <v xml:space="preserve">un </v>
      </c>
      <c r="J2649" s="1759">
        <f>I2654</f>
        <v>986.38</v>
      </c>
    </row>
    <row r="2650" spans="1:14" ht="24">
      <c r="A2650" s="1761" t="s">
        <v>2401</v>
      </c>
      <c r="B2650" s="1762" t="s">
        <v>2402</v>
      </c>
      <c r="C2650" s="1763" t="s">
        <v>2399</v>
      </c>
      <c r="D2650" s="1764" t="s">
        <v>284</v>
      </c>
      <c r="E2650" s="1763" t="s">
        <v>193</v>
      </c>
      <c r="F2650" s="1765" t="s">
        <v>2403</v>
      </c>
      <c r="G2650" s="1763" t="s">
        <v>2404</v>
      </c>
      <c r="H2650" s="1766" t="s">
        <v>2405</v>
      </c>
      <c r="I2650" s="1767" t="s">
        <v>2406</v>
      </c>
      <c r="J2650" s="1768"/>
    </row>
    <row r="2651" spans="1:14">
      <c r="A2651" s="1770"/>
      <c r="B2651" s="1771"/>
      <c r="C2651" s="1771">
        <v>88309</v>
      </c>
      <c r="D2651" s="1772" t="s">
        <v>103</v>
      </c>
      <c r="E2651" s="1773" t="s">
        <v>57</v>
      </c>
      <c r="F2651" s="1782">
        <v>0.25</v>
      </c>
      <c r="G2651" s="1780">
        <v>24.59</v>
      </c>
      <c r="H2651" s="1775">
        <f>IF(E2651="H",G2651,TRUNC(G2651*(1-$K$7),2))</f>
        <v>24.59</v>
      </c>
      <c r="I2651" s="1776">
        <f t="shared" ref="I2651:I2653" si="385">TRUNC(H2651*F2651,2)</f>
        <v>6.14</v>
      </c>
      <c r="J2651" s="1768"/>
    </row>
    <row r="2652" spans="1:14" ht="24">
      <c r="A2652" s="1770" t="s">
        <v>2776</v>
      </c>
      <c r="B2652" s="1771" t="s">
        <v>65</v>
      </c>
      <c r="C2652" s="1771" t="s">
        <v>2777</v>
      </c>
      <c r="D2652" s="1772" t="s">
        <v>2386</v>
      </c>
      <c r="E2652" s="1773" t="s">
        <v>55</v>
      </c>
      <c r="F2652" s="1784">
        <v>1</v>
      </c>
      <c r="G2652" s="1779">
        <v>985.4</v>
      </c>
      <c r="H2652" s="1775">
        <f>IF(E2652="H",G2652,TRUNC(G2652*(1-$K$7),2))</f>
        <v>979.48</v>
      </c>
      <c r="I2652" s="1776">
        <f t="shared" si="385"/>
        <v>979.48</v>
      </c>
      <c r="J2652" s="1768"/>
      <c r="N2652">
        <f>'PLANILHA SEM DESON'!I422</f>
        <v>1482.58</v>
      </c>
    </row>
    <row r="2653" spans="1:14" ht="36">
      <c r="A2653" s="1770"/>
      <c r="B2653" s="1771"/>
      <c r="C2653" s="1771">
        <v>11950</v>
      </c>
      <c r="D2653" s="1772" t="s">
        <v>2104</v>
      </c>
      <c r="E2653" s="1773" t="s">
        <v>55</v>
      </c>
      <c r="F2653" s="1782">
        <v>4</v>
      </c>
      <c r="G2653" s="1779">
        <v>0.2</v>
      </c>
      <c r="H2653" s="1775">
        <f>IF(E2653="H",G2653,TRUNC(G2653*(1-$K$7),2))</f>
        <v>0.19</v>
      </c>
      <c r="I2653" s="1776">
        <f t="shared" si="385"/>
        <v>0.76</v>
      </c>
      <c r="J2653" s="1768"/>
    </row>
    <row r="2654" spans="1:14">
      <c r="A2654" s="1917" t="s">
        <v>2408</v>
      </c>
      <c r="B2654" s="1918"/>
      <c r="C2654" s="1918"/>
      <c r="D2654" s="1918"/>
      <c r="E2654" s="1918"/>
      <c r="F2654" s="1918"/>
      <c r="G2654" s="1918"/>
      <c r="H2654" s="1919"/>
      <c r="I2654" s="1778">
        <f>SUM(I2651:I2653)</f>
        <v>986.38</v>
      </c>
      <c r="J2654" s="1768"/>
    </row>
    <row r="2655" spans="1:14">
      <c r="A2655" s="1920"/>
      <c r="B2655" s="1921"/>
      <c r="C2655" s="1921"/>
      <c r="D2655" s="1921"/>
      <c r="E2655" s="1921"/>
      <c r="F2655" s="1921"/>
      <c r="G2655" s="1921"/>
      <c r="H2655" s="1921"/>
      <c r="I2655" s="1922"/>
      <c r="J2655" s="1768"/>
    </row>
    <row r="2656" spans="1:14">
      <c r="A2656" s="1757">
        <f>'PLANILHA SEM DESON'!B425</f>
        <v>99803</v>
      </c>
      <c r="B2656" s="1923" t="str">
        <f>VLOOKUP(A2656,'PLANILHA SEM DESON'!$B$17:$D$1699,2,FALSE)</f>
        <v>LIMPEZA DE PISO CERÂMICO OU PORCELANATO COM PANO ÚMIDO. AF_04/2019</v>
      </c>
      <c r="C2656" s="1924"/>
      <c r="D2656" s="1924"/>
      <c r="E2656" s="1924"/>
      <c r="F2656" s="1924"/>
      <c r="G2656" s="1924"/>
      <c r="H2656" s="1925"/>
      <c r="I2656" s="1758" t="str">
        <f>VLOOKUP(A2656,'PLANILHA SEM DESON'!$B$17:$D$1699,3,FALSE)</f>
        <v>m²</v>
      </c>
      <c r="J2656" s="1759">
        <f>I2659</f>
        <v>1.88</v>
      </c>
    </row>
    <row r="2657" spans="1:10" ht="24">
      <c r="A2657" s="1761" t="s">
        <v>2401</v>
      </c>
      <c r="B2657" s="1762" t="s">
        <v>2402</v>
      </c>
      <c r="C2657" s="1763" t="s">
        <v>2399</v>
      </c>
      <c r="D2657" s="1764" t="s">
        <v>284</v>
      </c>
      <c r="E2657" s="1763" t="s">
        <v>193</v>
      </c>
      <c r="F2657" s="1765" t="s">
        <v>2403</v>
      </c>
      <c r="G2657" s="1763" t="s">
        <v>2404</v>
      </c>
      <c r="H2657" s="1766" t="s">
        <v>2405</v>
      </c>
      <c r="I2657" s="1767" t="s">
        <v>2406</v>
      </c>
      <c r="J2657" s="1768"/>
    </row>
    <row r="2658" spans="1:10">
      <c r="A2658" s="1770" t="s">
        <v>2407</v>
      </c>
      <c r="B2658" s="1771" t="s">
        <v>7</v>
      </c>
      <c r="C2658" s="1771">
        <v>88316</v>
      </c>
      <c r="D2658" s="1772" t="s">
        <v>66</v>
      </c>
      <c r="E2658" s="1773" t="s">
        <v>387</v>
      </c>
      <c r="F2658" s="1780">
        <v>9.7000000000000003E-2</v>
      </c>
      <c r="G2658" s="1774">
        <v>19.45</v>
      </c>
      <c r="H2658" s="1775">
        <f>IF(E2658="H",G2658,TRUNC(G2658*(1-$K$7),2))</f>
        <v>19.45</v>
      </c>
      <c r="I2658" s="1776">
        <f t="shared" ref="I2658" si="386">TRUNC(H2658*F2658,2)</f>
        <v>1.88</v>
      </c>
      <c r="J2658" s="1768"/>
    </row>
    <row r="2659" spans="1:10">
      <c r="A2659" s="1917" t="s">
        <v>2408</v>
      </c>
      <c r="B2659" s="1918"/>
      <c r="C2659" s="1918"/>
      <c r="D2659" s="1918"/>
      <c r="E2659" s="1918"/>
      <c r="F2659" s="1918"/>
      <c r="G2659" s="1918"/>
      <c r="H2659" s="1919"/>
      <c r="I2659" s="1778">
        <f>SUM(I2658:I2658)</f>
        <v>1.88</v>
      </c>
      <c r="J2659" s="1768"/>
    </row>
    <row r="2660" spans="1:10">
      <c r="A2660" s="1920"/>
      <c r="B2660" s="1921"/>
      <c r="C2660" s="1921"/>
      <c r="D2660" s="1921"/>
      <c r="E2660" s="1921"/>
      <c r="F2660" s="1921"/>
      <c r="G2660" s="1921"/>
      <c r="H2660" s="1921"/>
      <c r="I2660" s="1922"/>
      <c r="J2660" s="1768"/>
    </row>
    <row r="2661" spans="1:10">
      <c r="A2661" s="1757">
        <f>'PLANILHA SEM DESON'!B426</f>
        <v>99806</v>
      </c>
      <c r="B2661" s="1923" t="str">
        <f>VLOOKUP(A2661,'PLANILHA SEM DESON'!$B$17:$D$1699,2,FALSE)</f>
        <v>LIMPEZA DE REVESTIMENTO CERÂMICO EM PAREDE COM PANO ÚMIDO AF_04/2019</v>
      </c>
      <c r="C2661" s="1924"/>
      <c r="D2661" s="1924"/>
      <c r="E2661" s="1924"/>
      <c r="F2661" s="1924"/>
      <c r="G2661" s="1924"/>
      <c r="H2661" s="1925"/>
      <c r="I2661" s="1758" t="str">
        <f>VLOOKUP(A2661,'PLANILHA SEM DESON'!$B$17:$D$1699,3,FALSE)</f>
        <v>m²</v>
      </c>
      <c r="J2661" s="1759">
        <f>I2664</f>
        <v>0.77</v>
      </c>
    </row>
    <row r="2662" spans="1:10" ht="24">
      <c r="A2662" s="1761" t="s">
        <v>2401</v>
      </c>
      <c r="B2662" s="1762" t="s">
        <v>2402</v>
      </c>
      <c r="C2662" s="1763" t="s">
        <v>2399</v>
      </c>
      <c r="D2662" s="1764" t="s">
        <v>284</v>
      </c>
      <c r="E2662" s="1763" t="s">
        <v>193</v>
      </c>
      <c r="F2662" s="1765" t="s">
        <v>2403</v>
      </c>
      <c r="G2662" s="1763" t="s">
        <v>2404</v>
      </c>
      <c r="H2662" s="1766" t="s">
        <v>2405</v>
      </c>
      <c r="I2662" s="1767" t="s">
        <v>2406</v>
      </c>
      <c r="J2662" s="1768"/>
    </row>
    <row r="2663" spans="1:10">
      <c r="A2663" s="1770" t="s">
        <v>2407</v>
      </c>
      <c r="B2663" s="1771" t="s">
        <v>7</v>
      </c>
      <c r="C2663" s="1771">
        <v>88316</v>
      </c>
      <c r="D2663" s="1772" t="s">
        <v>66</v>
      </c>
      <c r="E2663" s="1773" t="s">
        <v>387</v>
      </c>
      <c r="F2663" s="1780">
        <v>0.04</v>
      </c>
      <c r="G2663" s="1774">
        <v>19.45</v>
      </c>
      <c r="H2663" s="1775">
        <f>IF(E2663="H",G2663,TRUNC(G2663*(1-$K$7),2))</f>
        <v>19.45</v>
      </c>
      <c r="I2663" s="1776">
        <f t="shared" ref="I2663" si="387">TRUNC(H2663*F2663,2)</f>
        <v>0.77</v>
      </c>
      <c r="J2663" s="1768"/>
    </row>
    <row r="2664" spans="1:10">
      <c r="A2664" s="1917" t="s">
        <v>2408</v>
      </c>
      <c r="B2664" s="1918"/>
      <c r="C2664" s="1918"/>
      <c r="D2664" s="1918"/>
      <c r="E2664" s="1918"/>
      <c r="F2664" s="1918"/>
      <c r="G2664" s="1918"/>
      <c r="H2664" s="1919"/>
      <c r="I2664" s="1778">
        <f>SUM(I2663:I2663)</f>
        <v>0.77</v>
      </c>
      <c r="J2664" s="1768"/>
    </row>
    <row r="2665" spans="1:10">
      <c r="A2665" s="1920"/>
      <c r="B2665" s="1921"/>
      <c r="C2665" s="1921"/>
      <c r="D2665" s="1921"/>
      <c r="E2665" s="1921"/>
      <c r="F2665" s="1921"/>
      <c r="G2665" s="1921"/>
      <c r="H2665" s="1921"/>
      <c r="I2665" s="1922"/>
      <c r="J2665" s="1768"/>
    </row>
    <row r="2666" spans="1:10">
      <c r="A2666" s="1757">
        <f>'PLANILHA SEM DESON'!B427</f>
        <v>99814</v>
      </c>
      <c r="B2666" s="1923" t="str">
        <f>VLOOKUP(A2666,'PLANILHA SEM DESON'!$B$17:$D$1699,2,FALSE)</f>
        <v>LIMPEZA DE SUPERFÍCIE COM JATO DE ALTA PRESSÃO. AF_04/2019</v>
      </c>
      <c r="C2666" s="1924"/>
      <c r="D2666" s="1924"/>
      <c r="E2666" s="1924"/>
      <c r="F2666" s="1924"/>
      <c r="G2666" s="1924"/>
      <c r="H2666" s="1925"/>
      <c r="I2666" s="1758" t="str">
        <f>VLOOKUP(A2666,'PLANILHA SEM DESON'!$B$17:$D$1699,3,FALSE)</f>
        <v>m²</v>
      </c>
      <c r="J2666" s="1759">
        <f>I2670</f>
        <v>1.8</v>
      </c>
    </row>
    <row r="2667" spans="1:10" ht="24">
      <c r="A2667" s="1761" t="s">
        <v>2401</v>
      </c>
      <c r="B2667" s="1762" t="s">
        <v>2402</v>
      </c>
      <c r="C2667" s="1763" t="s">
        <v>2399</v>
      </c>
      <c r="D2667" s="1764" t="s">
        <v>284</v>
      </c>
      <c r="E2667" s="1763" t="s">
        <v>193</v>
      </c>
      <c r="F2667" s="1765" t="s">
        <v>2403</v>
      </c>
      <c r="G2667" s="1763" t="s">
        <v>2404</v>
      </c>
      <c r="H2667" s="1766" t="s">
        <v>2405</v>
      </c>
      <c r="I2667" s="1767" t="s">
        <v>2406</v>
      </c>
      <c r="J2667" s="1768"/>
    </row>
    <row r="2668" spans="1:10">
      <c r="A2668" s="1770" t="s">
        <v>2407</v>
      </c>
      <c r="B2668" s="1771" t="s">
        <v>7</v>
      </c>
      <c r="C2668" s="1771">
        <v>88316</v>
      </c>
      <c r="D2668" s="1772" t="s">
        <v>66</v>
      </c>
      <c r="E2668" s="1773" t="s">
        <v>387</v>
      </c>
      <c r="F2668" s="1780">
        <v>8.8999999999999996E-2</v>
      </c>
      <c r="G2668" s="1774">
        <v>19.45</v>
      </c>
      <c r="H2668" s="1775">
        <f>IF(E2668="H",G2668,TRUNC(G2668*(1-$K$7),2))</f>
        <v>19.45</v>
      </c>
      <c r="I2668" s="1776">
        <f t="shared" ref="I2668:I2669" si="388">TRUNC(H2668*F2668,2)</f>
        <v>1.73</v>
      </c>
      <c r="J2668" s="1768"/>
    </row>
    <row r="2669" spans="1:10" ht="48">
      <c r="A2669" s="1770" t="s">
        <v>2407</v>
      </c>
      <c r="B2669" s="1771" t="s">
        <v>7</v>
      </c>
      <c r="C2669" s="1771">
        <v>99833</v>
      </c>
      <c r="D2669" s="1772" t="s">
        <v>2775</v>
      </c>
      <c r="E2669" s="1773" t="s">
        <v>425</v>
      </c>
      <c r="F2669" s="1780">
        <v>1.4999999999999999E-2</v>
      </c>
      <c r="G2669" s="1774">
        <v>5.29</v>
      </c>
      <c r="H2669" s="1775">
        <f>IF(E2669="H",G2669,TRUNC(G2669*(1-$K$7),2))</f>
        <v>5.25</v>
      </c>
      <c r="I2669" s="1776">
        <f t="shared" si="388"/>
        <v>7.0000000000000007E-2</v>
      </c>
      <c r="J2669" s="1768"/>
    </row>
    <row r="2670" spans="1:10">
      <c r="A2670" s="1917" t="s">
        <v>2408</v>
      </c>
      <c r="B2670" s="1918"/>
      <c r="C2670" s="1918"/>
      <c r="D2670" s="1918"/>
      <c r="E2670" s="1918"/>
      <c r="F2670" s="1918"/>
      <c r="G2670" s="1918"/>
      <c r="H2670" s="1919"/>
      <c r="I2670" s="1778">
        <f>SUM(I2668:I2669)</f>
        <v>1.8</v>
      </c>
      <c r="J2670" s="1768"/>
    </row>
    <row r="2671" spans="1:10">
      <c r="A2671" s="1920"/>
      <c r="B2671" s="1921"/>
      <c r="C2671" s="1921"/>
      <c r="D2671" s="1921"/>
      <c r="E2671" s="1921"/>
      <c r="F2671" s="1921"/>
      <c r="G2671" s="1921"/>
      <c r="H2671" s="1921"/>
      <c r="I2671" s="1922"/>
      <c r="J2671" s="1768"/>
    </row>
    <row r="2673" spans="1:9">
      <c r="I2673" s="1828" t="str">
        <f>'RESUMO SEM DESONERAÇÃO'!$E$41</f>
        <v>CUIABÁ-MT, 15 DE MAIO DE 2023.</v>
      </c>
    </row>
    <row r="2677" spans="1:9">
      <c r="A2677" s="1916" t="str">
        <f>'RESUMO SEM DESONERAÇÃO'!$A$47:$E$47</f>
        <v>_______________________________________</v>
      </c>
      <c r="B2677" s="1916"/>
      <c r="C2677" s="1916"/>
      <c r="D2677" s="1916"/>
      <c r="E2677" s="1916"/>
      <c r="F2677" s="1916"/>
      <c r="G2677" s="1916"/>
      <c r="H2677" s="1916"/>
      <c r="I2677" s="1916"/>
    </row>
    <row r="2678" spans="1:9">
      <c r="A2678" s="1916" t="str">
        <f>'RESUMO SEM DESONERAÇÃO'!$A$48:$E$48</f>
        <v>PAULO PAZETO MEDEIROS</v>
      </c>
      <c r="B2678" s="1916"/>
      <c r="C2678" s="1916"/>
      <c r="D2678" s="1916"/>
      <c r="E2678" s="1916"/>
      <c r="F2678" s="1916"/>
      <c r="G2678" s="1916"/>
      <c r="H2678" s="1916"/>
      <c r="I2678" s="1916"/>
    </row>
    <row r="2679" spans="1:9">
      <c r="A2679" s="1916" t="str">
        <f>'RESUMO SEM DESONERAÇÃO'!$A$49:$E$49</f>
        <v>DIRETOR/ENGENHEIRO CIVIL</v>
      </c>
      <c r="B2679" s="1916"/>
      <c r="C2679" s="1916"/>
      <c r="D2679" s="1916"/>
      <c r="E2679" s="1916"/>
      <c r="F2679" s="1916"/>
      <c r="G2679" s="1916"/>
      <c r="H2679" s="1916"/>
      <c r="I2679" s="1916"/>
    </row>
    <row r="2680" spans="1:9">
      <c r="A2680" s="1916" t="str">
        <f>'RESUMO SEM DESONERAÇÃO'!$A$50:$E$50</f>
        <v>CREA MT034442</v>
      </c>
      <c r="B2680" s="1916"/>
      <c r="C2680" s="1916"/>
      <c r="D2680" s="1916"/>
      <c r="E2680" s="1916"/>
      <c r="F2680" s="1916"/>
      <c r="G2680" s="1916"/>
      <c r="H2680" s="1916"/>
      <c r="I2680" s="1916"/>
    </row>
    <row r="2681" spans="1:9">
      <c r="A2681" s="1916" t="str">
        <f>'RESUMO SEM DESONERAÇÃO'!$A$51:$E$51</f>
        <v>CPF 037.578.081-50</v>
      </c>
      <c r="B2681" s="1916"/>
      <c r="C2681" s="1916"/>
      <c r="D2681" s="1916"/>
      <c r="E2681" s="1916"/>
      <c r="F2681" s="1916"/>
      <c r="G2681" s="1916"/>
      <c r="H2681" s="1916"/>
      <c r="I2681" s="1916"/>
    </row>
  </sheetData>
  <mergeCells count="887">
    <mergeCell ref="A1:I1"/>
    <mergeCell ref="A2677:I2677"/>
    <mergeCell ref="A2678:I2678"/>
    <mergeCell ref="A2679:I2679"/>
    <mergeCell ref="A2680:I2680"/>
    <mergeCell ref="A2681:I2681"/>
    <mergeCell ref="A2:I3"/>
    <mergeCell ref="K2:K5"/>
    <mergeCell ref="L2:O2"/>
    <mergeCell ref="L3:L4"/>
    <mergeCell ref="M3:M4"/>
    <mergeCell ref="N3:O3"/>
    <mergeCell ref="B4:I4"/>
    <mergeCell ref="B5:H5"/>
    <mergeCell ref="A33:I33"/>
    <mergeCell ref="B6:H6"/>
    <mergeCell ref="L6:O6"/>
    <mergeCell ref="B7:H7"/>
    <mergeCell ref="B8:H8"/>
    <mergeCell ref="A13:H13"/>
    <mergeCell ref="A14:I14"/>
    <mergeCell ref="A25:I25"/>
    <mergeCell ref="A24:H24"/>
    <mergeCell ref="B15:H15"/>
    <mergeCell ref="B26:H26"/>
    <mergeCell ref="A32:H32"/>
    <mergeCell ref="A47:I47"/>
    <mergeCell ref="B48:H48"/>
    <mergeCell ref="A59:H59"/>
    <mergeCell ref="A60:I60"/>
    <mergeCell ref="B61:H61"/>
    <mergeCell ref="B34:H34"/>
    <mergeCell ref="A40:H40"/>
    <mergeCell ref="A41:I41"/>
    <mergeCell ref="B42:H42"/>
    <mergeCell ref="A46:H46"/>
    <mergeCell ref="B99:H99"/>
    <mergeCell ref="A177:H177"/>
    <mergeCell ref="A178:I178"/>
    <mergeCell ref="B179:H179"/>
    <mergeCell ref="A223:H223"/>
    <mergeCell ref="A74:H74"/>
    <mergeCell ref="A75:I75"/>
    <mergeCell ref="B76:H76"/>
    <mergeCell ref="A97:H97"/>
    <mergeCell ref="A98:I98"/>
    <mergeCell ref="A348:H348"/>
    <mergeCell ref="A349:I349"/>
    <mergeCell ref="B350:H350"/>
    <mergeCell ref="A360:H360"/>
    <mergeCell ref="A361:I361"/>
    <mergeCell ref="A224:I224"/>
    <mergeCell ref="B225:H225"/>
    <mergeCell ref="A270:H270"/>
    <mergeCell ref="A271:I271"/>
    <mergeCell ref="B272:H272"/>
    <mergeCell ref="A379:I379"/>
    <mergeCell ref="B380:H380"/>
    <mergeCell ref="A391:H391"/>
    <mergeCell ref="A392:I392"/>
    <mergeCell ref="B393:H393"/>
    <mergeCell ref="B362:H362"/>
    <mergeCell ref="A370:H370"/>
    <mergeCell ref="A371:I371"/>
    <mergeCell ref="B372:H372"/>
    <mergeCell ref="A378:H378"/>
    <mergeCell ref="B404:H404"/>
    <mergeCell ref="A416:H416"/>
    <mergeCell ref="A417:I417"/>
    <mergeCell ref="B418:H418"/>
    <mergeCell ref="A427:H427"/>
    <mergeCell ref="A397:H397"/>
    <mergeCell ref="A398:I398"/>
    <mergeCell ref="B399:H399"/>
    <mergeCell ref="A402:H402"/>
    <mergeCell ref="A403:I403"/>
    <mergeCell ref="A445:H445"/>
    <mergeCell ref="A446:I446"/>
    <mergeCell ref="B447:H447"/>
    <mergeCell ref="A454:H454"/>
    <mergeCell ref="A455:I455"/>
    <mergeCell ref="A428:I428"/>
    <mergeCell ref="B429:H429"/>
    <mergeCell ref="A436:H436"/>
    <mergeCell ref="A437:I437"/>
    <mergeCell ref="B438:H438"/>
    <mergeCell ref="A473:I473"/>
    <mergeCell ref="B474:H474"/>
    <mergeCell ref="A483:H483"/>
    <mergeCell ref="A484:I484"/>
    <mergeCell ref="B485:H485"/>
    <mergeCell ref="B456:H456"/>
    <mergeCell ref="A463:H463"/>
    <mergeCell ref="A464:I464"/>
    <mergeCell ref="B465:H465"/>
    <mergeCell ref="A472:H472"/>
    <mergeCell ref="B502:H502"/>
    <mergeCell ref="A510:H510"/>
    <mergeCell ref="A511:I511"/>
    <mergeCell ref="B512:H512"/>
    <mergeCell ref="A519:H519"/>
    <mergeCell ref="A489:H489"/>
    <mergeCell ref="A490:I490"/>
    <mergeCell ref="B491:H491"/>
    <mergeCell ref="A500:H500"/>
    <mergeCell ref="A501:I501"/>
    <mergeCell ref="A537:H537"/>
    <mergeCell ref="A538:I538"/>
    <mergeCell ref="B539:H539"/>
    <mergeCell ref="A546:H546"/>
    <mergeCell ref="A547:I547"/>
    <mergeCell ref="A520:I520"/>
    <mergeCell ref="B521:H521"/>
    <mergeCell ref="A528:H528"/>
    <mergeCell ref="A529:I529"/>
    <mergeCell ref="B530:H530"/>
    <mergeCell ref="A570:I570"/>
    <mergeCell ref="B571:H571"/>
    <mergeCell ref="A581:H581"/>
    <mergeCell ref="A582:I582"/>
    <mergeCell ref="B583:H583"/>
    <mergeCell ref="B548:H548"/>
    <mergeCell ref="A555:H555"/>
    <mergeCell ref="A556:I556"/>
    <mergeCell ref="B557:H557"/>
    <mergeCell ref="A569:H569"/>
    <mergeCell ref="B601:H601"/>
    <mergeCell ref="A610:H610"/>
    <mergeCell ref="A611:I611"/>
    <mergeCell ref="B612:H612"/>
    <mergeCell ref="A619:H619"/>
    <mergeCell ref="A590:H590"/>
    <mergeCell ref="A591:I591"/>
    <mergeCell ref="B592:H592"/>
    <mergeCell ref="A599:H599"/>
    <mergeCell ref="A600:I600"/>
    <mergeCell ref="A638:H638"/>
    <mergeCell ref="A639:I639"/>
    <mergeCell ref="B640:H640"/>
    <mergeCell ref="A646:H646"/>
    <mergeCell ref="A647:I647"/>
    <mergeCell ref="A620:I620"/>
    <mergeCell ref="B621:H621"/>
    <mergeCell ref="A628:H628"/>
    <mergeCell ref="A629:I629"/>
    <mergeCell ref="B630:H630"/>
    <mergeCell ref="A671:I671"/>
    <mergeCell ref="B672:H672"/>
    <mergeCell ref="A682:H682"/>
    <mergeCell ref="A683:I683"/>
    <mergeCell ref="B684:H684"/>
    <mergeCell ref="B648:H648"/>
    <mergeCell ref="A658:H658"/>
    <mergeCell ref="A659:I659"/>
    <mergeCell ref="B660:H660"/>
    <mergeCell ref="A670:H670"/>
    <mergeCell ref="B706:H706"/>
    <mergeCell ref="A714:H714"/>
    <mergeCell ref="A715:I715"/>
    <mergeCell ref="B716:H716"/>
    <mergeCell ref="A719:H719"/>
    <mergeCell ref="A694:H694"/>
    <mergeCell ref="A695:I695"/>
    <mergeCell ref="B696:H696"/>
    <mergeCell ref="A704:H704"/>
    <mergeCell ref="A705:I705"/>
    <mergeCell ref="A733:H733"/>
    <mergeCell ref="A734:I734"/>
    <mergeCell ref="B735:H735"/>
    <mergeCell ref="A742:H742"/>
    <mergeCell ref="A743:I743"/>
    <mergeCell ref="A720:I720"/>
    <mergeCell ref="B721:H721"/>
    <mergeCell ref="A726:H726"/>
    <mergeCell ref="A727:I727"/>
    <mergeCell ref="B728:H728"/>
    <mergeCell ref="A761:I761"/>
    <mergeCell ref="B762:H762"/>
    <mergeCell ref="A769:H769"/>
    <mergeCell ref="A770:I770"/>
    <mergeCell ref="B771:H771"/>
    <mergeCell ref="B744:H744"/>
    <mergeCell ref="A751:H751"/>
    <mergeCell ref="A752:I752"/>
    <mergeCell ref="B753:H753"/>
    <mergeCell ref="A760:H760"/>
    <mergeCell ref="B785:H785"/>
    <mergeCell ref="A790:H790"/>
    <mergeCell ref="A791:I791"/>
    <mergeCell ref="B792:H792"/>
    <mergeCell ref="A797:H797"/>
    <mergeCell ref="A776:H776"/>
    <mergeCell ref="A777:I777"/>
    <mergeCell ref="B778:H778"/>
    <mergeCell ref="A783:H783"/>
    <mergeCell ref="A784:I784"/>
    <mergeCell ref="A813:H813"/>
    <mergeCell ref="A814:I814"/>
    <mergeCell ref="B815:H815"/>
    <mergeCell ref="A820:H820"/>
    <mergeCell ref="A821:I821"/>
    <mergeCell ref="A798:I798"/>
    <mergeCell ref="B799:H799"/>
    <mergeCell ref="A804:H804"/>
    <mergeCell ref="A805:I805"/>
    <mergeCell ref="B806:H806"/>
    <mergeCell ref="A837:I837"/>
    <mergeCell ref="B838:H838"/>
    <mergeCell ref="A845:H845"/>
    <mergeCell ref="A846:I846"/>
    <mergeCell ref="B847:H847"/>
    <mergeCell ref="B822:H822"/>
    <mergeCell ref="A827:H827"/>
    <mergeCell ref="A828:I828"/>
    <mergeCell ref="B829:H829"/>
    <mergeCell ref="A836:H836"/>
    <mergeCell ref="B861:H861"/>
    <mergeCell ref="A864:H864"/>
    <mergeCell ref="A865:I865"/>
    <mergeCell ref="B866:H866"/>
    <mergeCell ref="A874:H874"/>
    <mergeCell ref="A851:H851"/>
    <mergeCell ref="A852:I852"/>
    <mergeCell ref="B853:H853"/>
    <mergeCell ref="A859:H859"/>
    <mergeCell ref="A860:I860"/>
    <mergeCell ref="A890:H890"/>
    <mergeCell ref="A891:I891"/>
    <mergeCell ref="B892:H892"/>
    <mergeCell ref="A900:H900"/>
    <mergeCell ref="A901:I901"/>
    <mergeCell ref="A875:I875"/>
    <mergeCell ref="B876:H876"/>
    <mergeCell ref="A882:H882"/>
    <mergeCell ref="A883:I883"/>
    <mergeCell ref="B884:H884"/>
    <mergeCell ref="A919:I919"/>
    <mergeCell ref="B920:H920"/>
    <mergeCell ref="A923:H923"/>
    <mergeCell ref="A924:I924"/>
    <mergeCell ref="B925:H925"/>
    <mergeCell ref="B902:H902"/>
    <mergeCell ref="A909:H909"/>
    <mergeCell ref="A910:I910"/>
    <mergeCell ref="B911:H911"/>
    <mergeCell ref="A918:H918"/>
    <mergeCell ref="B936:H936"/>
    <mergeCell ref="A942:H942"/>
    <mergeCell ref="A943:I943"/>
    <mergeCell ref="B944:H944"/>
    <mergeCell ref="A949:H949"/>
    <mergeCell ref="A929:H929"/>
    <mergeCell ref="A930:I930"/>
    <mergeCell ref="B931:H931"/>
    <mergeCell ref="A934:H934"/>
    <mergeCell ref="A935:I935"/>
    <mergeCell ref="A963:H963"/>
    <mergeCell ref="A964:I964"/>
    <mergeCell ref="B965:H965"/>
    <mergeCell ref="A970:H970"/>
    <mergeCell ref="A971:I971"/>
    <mergeCell ref="A950:I950"/>
    <mergeCell ref="B951:H951"/>
    <mergeCell ref="A956:H956"/>
    <mergeCell ref="A957:I957"/>
    <mergeCell ref="B958:H958"/>
    <mergeCell ref="A985:I985"/>
    <mergeCell ref="B986:H986"/>
    <mergeCell ref="A991:H991"/>
    <mergeCell ref="A992:I992"/>
    <mergeCell ref="B993:H993"/>
    <mergeCell ref="B972:H972"/>
    <mergeCell ref="A977:H977"/>
    <mergeCell ref="A978:I978"/>
    <mergeCell ref="B979:H979"/>
    <mergeCell ref="A984:H984"/>
    <mergeCell ref="B1008:H1008"/>
    <mergeCell ref="A1023:H1023"/>
    <mergeCell ref="A1024:I1024"/>
    <mergeCell ref="B1025:H1025"/>
    <mergeCell ref="A1030:H1030"/>
    <mergeCell ref="A999:H999"/>
    <mergeCell ref="A1000:I1000"/>
    <mergeCell ref="B1001:H1001"/>
    <mergeCell ref="A1006:H1006"/>
    <mergeCell ref="A1007:I1007"/>
    <mergeCell ref="A1044:H1044"/>
    <mergeCell ref="A1045:I1045"/>
    <mergeCell ref="B1046:H1046"/>
    <mergeCell ref="A1054:H1054"/>
    <mergeCell ref="A1055:I1055"/>
    <mergeCell ref="A1031:I1031"/>
    <mergeCell ref="B1032:H1032"/>
    <mergeCell ref="A1037:H1037"/>
    <mergeCell ref="A1038:I1038"/>
    <mergeCell ref="B1039:H1039"/>
    <mergeCell ref="A1071:I1071"/>
    <mergeCell ref="B1072:H1072"/>
    <mergeCell ref="A1078:H1078"/>
    <mergeCell ref="A1079:I1079"/>
    <mergeCell ref="B1080:H1080"/>
    <mergeCell ref="B1056:H1056"/>
    <mergeCell ref="A1062:H1062"/>
    <mergeCell ref="A1063:I1063"/>
    <mergeCell ref="B1064:H1064"/>
    <mergeCell ref="A1070:H1070"/>
    <mergeCell ref="B1096:H1096"/>
    <mergeCell ref="A1102:H1102"/>
    <mergeCell ref="A1103:I1103"/>
    <mergeCell ref="B1104:H1104"/>
    <mergeCell ref="A1110:H1110"/>
    <mergeCell ref="A1086:H1086"/>
    <mergeCell ref="A1087:I1087"/>
    <mergeCell ref="B1088:H1088"/>
    <mergeCell ref="A1094:H1094"/>
    <mergeCell ref="A1095:I1095"/>
    <mergeCell ref="A1126:H1126"/>
    <mergeCell ref="A1127:I1127"/>
    <mergeCell ref="B1128:H1128"/>
    <mergeCell ref="A1134:H1134"/>
    <mergeCell ref="A1135:I1135"/>
    <mergeCell ref="A1111:I1111"/>
    <mergeCell ref="B1112:H1112"/>
    <mergeCell ref="A1118:H1118"/>
    <mergeCell ref="A1119:I1119"/>
    <mergeCell ref="B1120:H1120"/>
    <mergeCell ref="A1151:I1151"/>
    <mergeCell ref="B1152:H1152"/>
    <mergeCell ref="A1157:H1157"/>
    <mergeCell ref="A1158:I1158"/>
    <mergeCell ref="B1159:H1159"/>
    <mergeCell ref="B1136:H1136"/>
    <mergeCell ref="A1142:H1142"/>
    <mergeCell ref="A1143:I1143"/>
    <mergeCell ref="B1144:H1144"/>
    <mergeCell ref="A1150:H1150"/>
    <mergeCell ref="B1172:H1172"/>
    <mergeCell ref="A1176:H1176"/>
    <mergeCell ref="A1177:I1177"/>
    <mergeCell ref="B1178:H1178"/>
    <mergeCell ref="A1183:H1183"/>
    <mergeCell ref="A1164:H1164"/>
    <mergeCell ref="A1165:I1165"/>
    <mergeCell ref="B1166:H1166"/>
    <mergeCell ref="A1170:H1170"/>
    <mergeCell ref="A1171:I1171"/>
    <mergeCell ref="A1197:H1197"/>
    <mergeCell ref="A1198:I1198"/>
    <mergeCell ref="B1199:H1199"/>
    <mergeCell ref="A1205:H1205"/>
    <mergeCell ref="A1206:I1206"/>
    <mergeCell ref="A1184:I1184"/>
    <mergeCell ref="B1185:H1185"/>
    <mergeCell ref="A1189:H1189"/>
    <mergeCell ref="A1190:I1190"/>
    <mergeCell ref="B1191:H1191"/>
    <mergeCell ref="A1219:I1219"/>
    <mergeCell ref="B1220:H1220"/>
    <mergeCell ref="A1224:H1224"/>
    <mergeCell ref="A1225:I1225"/>
    <mergeCell ref="B1226:H1226"/>
    <mergeCell ref="B1207:H1207"/>
    <mergeCell ref="A1212:H1212"/>
    <mergeCell ref="A1213:I1213"/>
    <mergeCell ref="B1214:H1214"/>
    <mergeCell ref="A1218:H1218"/>
    <mergeCell ref="B1238:H1238"/>
    <mergeCell ref="A1244:H1244"/>
    <mergeCell ref="A1245:I1245"/>
    <mergeCell ref="B1246:H1246"/>
    <mergeCell ref="A1252:H1252"/>
    <mergeCell ref="A1230:H1230"/>
    <mergeCell ref="A1231:I1231"/>
    <mergeCell ref="B1232:H1232"/>
    <mergeCell ref="A1236:H1236"/>
    <mergeCell ref="A1237:I1237"/>
    <mergeCell ref="A1268:H1268"/>
    <mergeCell ref="A1269:I1269"/>
    <mergeCell ref="B1270:H1270"/>
    <mergeCell ref="A1275:H1275"/>
    <mergeCell ref="A1276:I1276"/>
    <mergeCell ref="A1253:I1253"/>
    <mergeCell ref="B1254:H1254"/>
    <mergeCell ref="A1260:H1260"/>
    <mergeCell ref="A1261:I1261"/>
    <mergeCell ref="B1262:H1262"/>
    <mergeCell ref="A1291:I1291"/>
    <mergeCell ref="B1292:H1292"/>
    <mergeCell ref="A1298:H1298"/>
    <mergeCell ref="A1299:I1299"/>
    <mergeCell ref="B1300:H1300"/>
    <mergeCell ref="B1277:H1277"/>
    <mergeCell ref="A1282:H1282"/>
    <mergeCell ref="A1283:I1283"/>
    <mergeCell ref="B1284:H1284"/>
    <mergeCell ref="A1290:H1290"/>
    <mergeCell ref="B1315:H1315"/>
    <mergeCell ref="A1320:H1320"/>
    <mergeCell ref="A1321:I1321"/>
    <mergeCell ref="B1322:H1322"/>
    <mergeCell ref="A1327:H1327"/>
    <mergeCell ref="A1306:H1306"/>
    <mergeCell ref="A1307:I1307"/>
    <mergeCell ref="B1308:H1308"/>
    <mergeCell ref="A1313:H1313"/>
    <mergeCell ref="A1314:I1314"/>
    <mergeCell ref="A1341:H1341"/>
    <mergeCell ref="A1342:I1342"/>
    <mergeCell ref="B1343:H1343"/>
    <mergeCell ref="A1349:H1349"/>
    <mergeCell ref="A1350:I1350"/>
    <mergeCell ref="A1328:I1328"/>
    <mergeCell ref="B1329:H1329"/>
    <mergeCell ref="A1334:H1334"/>
    <mergeCell ref="A1335:I1335"/>
    <mergeCell ref="B1336:H1336"/>
    <mergeCell ref="A1366:I1366"/>
    <mergeCell ref="B1367:H1367"/>
    <mergeCell ref="A1372:H1372"/>
    <mergeCell ref="A1373:I1373"/>
    <mergeCell ref="B1374:H1374"/>
    <mergeCell ref="B1351:H1351"/>
    <mergeCell ref="A1357:H1357"/>
    <mergeCell ref="A1358:I1358"/>
    <mergeCell ref="B1359:H1359"/>
    <mergeCell ref="A1365:H1365"/>
    <mergeCell ref="B1390:H1390"/>
    <mergeCell ref="A1396:H1396"/>
    <mergeCell ref="A1397:I1397"/>
    <mergeCell ref="B1398:H1398"/>
    <mergeCell ref="A1404:H1404"/>
    <mergeCell ref="A1379:H1379"/>
    <mergeCell ref="A1380:I1380"/>
    <mergeCell ref="B1381:H1381"/>
    <mergeCell ref="A1388:H1388"/>
    <mergeCell ref="A1389:I1389"/>
    <mergeCell ref="A1420:H1420"/>
    <mergeCell ref="A1421:I1421"/>
    <mergeCell ref="B1422:H1422"/>
    <mergeCell ref="A1426:H1426"/>
    <mergeCell ref="A1427:I1427"/>
    <mergeCell ref="A1405:I1405"/>
    <mergeCell ref="B1406:H1406"/>
    <mergeCell ref="A1413:H1413"/>
    <mergeCell ref="A1414:I1414"/>
    <mergeCell ref="B1415:H1415"/>
    <mergeCell ref="A1441:I1441"/>
    <mergeCell ref="B1442:H1442"/>
    <mergeCell ref="A1446:H1446"/>
    <mergeCell ref="A1447:I1447"/>
    <mergeCell ref="B1448:H1448"/>
    <mergeCell ref="B1428:H1428"/>
    <mergeCell ref="A1433:H1433"/>
    <mergeCell ref="A1434:I1434"/>
    <mergeCell ref="B1435:H1435"/>
    <mergeCell ref="A1440:H1440"/>
    <mergeCell ref="B1461:H1461"/>
    <mergeCell ref="A1466:H1466"/>
    <mergeCell ref="A1467:I1467"/>
    <mergeCell ref="B1468:H1468"/>
    <mergeCell ref="A1476:H1476"/>
    <mergeCell ref="A1452:H1452"/>
    <mergeCell ref="A1453:I1453"/>
    <mergeCell ref="B1454:H1454"/>
    <mergeCell ref="A1459:H1459"/>
    <mergeCell ref="A1460:I1460"/>
    <mergeCell ref="A1498:H1498"/>
    <mergeCell ref="A1499:I1499"/>
    <mergeCell ref="B1500:H1500"/>
    <mergeCell ref="A1505:H1505"/>
    <mergeCell ref="A1506:I1506"/>
    <mergeCell ref="A1477:I1477"/>
    <mergeCell ref="B1478:H1478"/>
    <mergeCell ref="A1491:H1491"/>
    <mergeCell ref="A1492:I1492"/>
    <mergeCell ref="B1493:H1493"/>
    <mergeCell ref="A1520:I1520"/>
    <mergeCell ref="B1521:H1521"/>
    <mergeCell ref="A1526:H1526"/>
    <mergeCell ref="A1527:I1527"/>
    <mergeCell ref="B1528:H1528"/>
    <mergeCell ref="B1507:H1507"/>
    <mergeCell ref="A1512:H1512"/>
    <mergeCell ref="A1513:I1513"/>
    <mergeCell ref="B1514:H1514"/>
    <mergeCell ref="A1519:H1519"/>
    <mergeCell ref="B1543:H1543"/>
    <mergeCell ref="A1549:H1549"/>
    <mergeCell ref="A1550:I1550"/>
    <mergeCell ref="B1551:H1551"/>
    <mergeCell ref="A1556:H1556"/>
    <mergeCell ref="A1534:H1534"/>
    <mergeCell ref="A1535:I1535"/>
    <mergeCell ref="B1536:H1536"/>
    <mergeCell ref="A1541:H1541"/>
    <mergeCell ref="A1542:I1542"/>
    <mergeCell ref="A1571:H1571"/>
    <mergeCell ref="A1572:I1572"/>
    <mergeCell ref="B1573:H1573"/>
    <mergeCell ref="A1579:H1579"/>
    <mergeCell ref="A1580:I1580"/>
    <mergeCell ref="A1557:I1557"/>
    <mergeCell ref="B1558:H1558"/>
    <mergeCell ref="A1563:H1563"/>
    <mergeCell ref="A1564:I1564"/>
    <mergeCell ref="B1565:H1565"/>
    <mergeCell ref="A1593:I1593"/>
    <mergeCell ref="B1594:H1594"/>
    <mergeCell ref="A1599:H1599"/>
    <mergeCell ref="A1600:I1600"/>
    <mergeCell ref="B1601:H1601"/>
    <mergeCell ref="B1581:H1581"/>
    <mergeCell ref="A1585:H1585"/>
    <mergeCell ref="A1586:I1586"/>
    <mergeCell ref="B1587:H1587"/>
    <mergeCell ref="A1592:H1592"/>
    <mergeCell ref="B1616:H1616"/>
    <mergeCell ref="A1622:H1622"/>
    <mergeCell ref="A1623:I1623"/>
    <mergeCell ref="B1624:H1624"/>
    <mergeCell ref="A1630:H1630"/>
    <mergeCell ref="A1607:H1607"/>
    <mergeCell ref="A1608:I1608"/>
    <mergeCell ref="B1609:H1609"/>
    <mergeCell ref="A1614:H1614"/>
    <mergeCell ref="A1615:I1615"/>
    <mergeCell ref="A1645:H1645"/>
    <mergeCell ref="A1646:I1646"/>
    <mergeCell ref="B1647:H1647"/>
    <mergeCell ref="A1655:H1655"/>
    <mergeCell ref="A1656:I1656"/>
    <mergeCell ref="A1631:I1631"/>
    <mergeCell ref="B1632:H1632"/>
    <mergeCell ref="A1638:H1638"/>
    <mergeCell ref="A1639:I1639"/>
    <mergeCell ref="B1640:H1640"/>
    <mergeCell ref="A1676:I1676"/>
    <mergeCell ref="B1677:H1677"/>
    <mergeCell ref="A1685:H1685"/>
    <mergeCell ref="A1686:I1686"/>
    <mergeCell ref="B1687:H1687"/>
    <mergeCell ref="B1657:H1657"/>
    <mergeCell ref="A1665:H1665"/>
    <mergeCell ref="A1666:I1666"/>
    <mergeCell ref="B1667:H1667"/>
    <mergeCell ref="A1675:H1675"/>
    <mergeCell ref="B1706:H1706"/>
    <mergeCell ref="A1714:H1714"/>
    <mergeCell ref="A1715:I1715"/>
    <mergeCell ref="B1716:H1716"/>
    <mergeCell ref="A1722:H1722"/>
    <mergeCell ref="A1694:H1694"/>
    <mergeCell ref="A1695:I1695"/>
    <mergeCell ref="B1696:H1696"/>
    <mergeCell ref="A1704:H1704"/>
    <mergeCell ref="A1705:I1705"/>
    <mergeCell ref="A1738:H1738"/>
    <mergeCell ref="A1739:I1739"/>
    <mergeCell ref="B1740:H1740"/>
    <mergeCell ref="A1746:H1746"/>
    <mergeCell ref="A1747:I1747"/>
    <mergeCell ref="A1723:I1723"/>
    <mergeCell ref="B1724:H1724"/>
    <mergeCell ref="A1730:H1730"/>
    <mergeCell ref="A1731:I1731"/>
    <mergeCell ref="B1732:H1732"/>
    <mergeCell ref="A1763:I1763"/>
    <mergeCell ref="B1764:H1764"/>
    <mergeCell ref="A1770:H1770"/>
    <mergeCell ref="A1771:I1771"/>
    <mergeCell ref="B1772:H1772"/>
    <mergeCell ref="B1748:H1748"/>
    <mergeCell ref="A1754:H1754"/>
    <mergeCell ref="A1755:I1755"/>
    <mergeCell ref="B1756:H1756"/>
    <mergeCell ref="A1762:H1762"/>
    <mergeCell ref="B1792:H1792"/>
    <mergeCell ref="A1800:H1800"/>
    <mergeCell ref="A1801:I1801"/>
    <mergeCell ref="B1802:H1802"/>
    <mergeCell ref="A1809:H1809"/>
    <mergeCell ref="A1780:H1780"/>
    <mergeCell ref="A1781:I1781"/>
    <mergeCell ref="B1782:H1782"/>
    <mergeCell ref="A1790:H1790"/>
    <mergeCell ref="A1791:I1791"/>
    <mergeCell ref="A1828:H1828"/>
    <mergeCell ref="A1829:I1829"/>
    <mergeCell ref="B1830:H1830"/>
    <mergeCell ref="A1838:H1838"/>
    <mergeCell ref="A1839:I1839"/>
    <mergeCell ref="A1810:I1810"/>
    <mergeCell ref="B1811:H1811"/>
    <mergeCell ref="A1819:H1819"/>
    <mergeCell ref="A1820:I1820"/>
    <mergeCell ref="B1821:H1821"/>
    <mergeCell ref="A1859:I1859"/>
    <mergeCell ref="B1860:H1860"/>
    <mergeCell ref="A1868:H1868"/>
    <mergeCell ref="A1869:I1869"/>
    <mergeCell ref="B1870:H1870"/>
    <mergeCell ref="B1840:H1840"/>
    <mergeCell ref="A1848:H1848"/>
    <mergeCell ref="A1849:I1849"/>
    <mergeCell ref="B1850:H1850"/>
    <mergeCell ref="A1858:H1858"/>
    <mergeCell ref="B1885:H1885"/>
    <mergeCell ref="A1892:H1892"/>
    <mergeCell ref="A1893:I1893"/>
    <mergeCell ref="B1894:H1894"/>
    <mergeCell ref="A1899:H1899"/>
    <mergeCell ref="A1876:H1876"/>
    <mergeCell ref="A1877:I1877"/>
    <mergeCell ref="B1878:H1878"/>
    <mergeCell ref="A1883:H1883"/>
    <mergeCell ref="A1884:I1884"/>
    <mergeCell ref="A1911:H1911"/>
    <mergeCell ref="A1912:I1912"/>
    <mergeCell ref="B1913:H1913"/>
    <mergeCell ref="A1919:H1919"/>
    <mergeCell ref="A1920:I1920"/>
    <mergeCell ref="A1900:I1900"/>
    <mergeCell ref="B1901:H1901"/>
    <mergeCell ref="A1905:H1905"/>
    <mergeCell ref="A1906:I1906"/>
    <mergeCell ref="B1907:H1907"/>
    <mergeCell ref="A1938:I1938"/>
    <mergeCell ref="B1939:H1939"/>
    <mergeCell ref="A1945:H1945"/>
    <mergeCell ref="A1946:I1946"/>
    <mergeCell ref="B1947:H1947"/>
    <mergeCell ref="B1921:H1921"/>
    <mergeCell ref="A1928:H1928"/>
    <mergeCell ref="A1929:I1929"/>
    <mergeCell ref="B1930:H1930"/>
    <mergeCell ref="A1937:H1937"/>
    <mergeCell ref="B1963:H1963"/>
    <mergeCell ref="A1969:H1969"/>
    <mergeCell ref="A1970:I1970"/>
    <mergeCell ref="B1971:H1971"/>
    <mergeCell ref="A1977:H1977"/>
    <mergeCell ref="A1953:H1953"/>
    <mergeCell ref="A1954:I1954"/>
    <mergeCell ref="B1955:H1955"/>
    <mergeCell ref="A1961:H1961"/>
    <mergeCell ref="A1962:I1962"/>
    <mergeCell ref="A1993:H1993"/>
    <mergeCell ref="A1994:I1994"/>
    <mergeCell ref="B1995:H1995"/>
    <mergeCell ref="A2001:H2001"/>
    <mergeCell ref="A2002:I2002"/>
    <mergeCell ref="A1978:I1978"/>
    <mergeCell ref="B1979:H1979"/>
    <mergeCell ref="A1985:H1985"/>
    <mergeCell ref="A1986:I1986"/>
    <mergeCell ref="B1987:H1987"/>
    <mergeCell ref="A2019:I2019"/>
    <mergeCell ref="B2020:H2020"/>
    <mergeCell ref="A2025:H2025"/>
    <mergeCell ref="A2026:I2026"/>
    <mergeCell ref="B2027:H2027"/>
    <mergeCell ref="B2003:H2003"/>
    <mergeCell ref="A2008:H2008"/>
    <mergeCell ref="A2009:I2009"/>
    <mergeCell ref="B2010:H2010"/>
    <mergeCell ref="A2018:H2018"/>
    <mergeCell ref="B2044:H2044"/>
    <mergeCell ref="A2054:H2054"/>
    <mergeCell ref="A2055:I2055"/>
    <mergeCell ref="B2056:H2056"/>
    <mergeCell ref="A2063:H2063"/>
    <mergeCell ref="A2032:H2032"/>
    <mergeCell ref="A2033:I2033"/>
    <mergeCell ref="B2034:H2034"/>
    <mergeCell ref="A2042:H2042"/>
    <mergeCell ref="A2043:I2043"/>
    <mergeCell ref="A2081:H2081"/>
    <mergeCell ref="A2082:I2082"/>
    <mergeCell ref="B2083:H2083"/>
    <mergeCell ref="A2091:H2091"/>
    <mergeCell ref="A2092:I2092"/>
    <mergeCell ref="A2064:I2064"/>
    <mergeCell ref="B2065:H2065"/>
    <mergeCell ref="A2072:H2072"/>
    <mergeCell ref="A2073:I2073"/>
    <mergeCell ref="B2074:H2074"/>
    <mergeCell ref="A2110:I2110"/>
    <mergeCell ref="B2111:H2111"/>
    <mergeCell ref="A2117:H2117"/>
    <mergeCell ref="A2118:I2118"/>
    <mergeCell ref="B2119:H2119"/>
    <mergeCell ref="B2093:H2093"/>
    <mergeCell ref="A2100:H2100"/>
    <mergeCell ref="A2101:I2101"/>
    <mergeCell ref="B2102:H2102"/>
    <mergeCell ref="A2109:H2109"/>
    <mergeCell ref="B2138:H2138"/>
    <mergeCell ref="A2145:H2145"/>
    <mergeCell ref="A2146:I2146"/>
    <mergeCell ref="B2147:H2147"/>
    <mergeCell ref="A2153:H2153"/>
    <mergeCell ref="A2127:H2127"/>
    <mergeCell ref="A2128:I2128"/>
    <mergeCell ref="B2129:H2129"/>
    <mergeCell ref="A2136:H2136"/>
    <mergeCell ref="A2137:I2137"/>
    <mergeCell ref="A2169:H2169"/>
    <mergeCell ref="A2170:I2170"/>
    <mergeCell ref="B2171:H2171"/>
    <mergeCell ref="A2189:H2189"/>
    <mergeCell ref="A2190:I2190"/>
    <mergeCell ref="A2154:I2154"/>
    <mergeCell ref="B2155:H2155"/>
    <mergeCell ref="A2161:H2161"/>
    <mergeCell ref="A2162:I2162"/>
    <mergeCell ref="B2163:H2163"/>
    <mergeCell ref="A2208:I2208"/>
    <mergeCell ref="B2209:H2209"/>
    <mergeCell ref="A2216:H2216"/>
    <mergeCell ref="A2217:I2217"/>
    <mergeCell ref="B2218:H2218"/>
    <mergeCell ref="B2191:H2191"/>
    <mergeCell ref="A2198:H2198"/>
    <mergeCell ref="A2199:I2199"/>
    <mergeCell ref="B2200:H2200"/>
    <mergeCell ref="A2207:H2207"/>
    <mergeCell ref="B2234:H2234"/>
    <mergeCell ref="A2240:H2240"/>
    <mergeCell ref="A2241:I2241"/>
    <mergeCell ref="B2242:H2242"/>
    <mergeCell ref="A2248:H2248"/>
    <mergeCell ref="A2225:H2225"/>
    <mergeCell ref="A2226:I2226"/>
    <mergeCell ref="B2227:H2227"/>
    <mergeCell ref="A2232:H2232"/>
    <mergeCell ref="A2233:I2233"/>
    <mergeCell ref="A2263:H2263"/>
    <mergeCell ref="A2264:I2264"/>
    <mergeCell ref="B2265:H2265"/>
    <mergeCell ref="A2271:H2271"/>
    <mergeCell ref="A2272:I2272"/>
    <mergeCell ref="A2249:I2249"/>
    <mergeCell ref="B2250:H2250"/>
    <mergeCell ref="A2256:H2256"/>
    <mergeCell ref="A2257:I2257"/>
    <mergeCell ref="B2258:H2258"/>
    <mergeCell ref="A2287:I2287"/>
    <mergeCell ref="B2288:H2288"/>
    <mergeCell ref="A2294:H2294"/>
    <mergeCell ref="A2295:I2295"/>
    <mergeCell ref="B2296:H2296"/>
    <mergeCell ref="B2273:H2273"/>
    <mergeCell ref="A2277:H2277"/>
    <mergeCell ref="A2278:I2278"/>
    <mergeCell ref="B2279:H2279"/>
    <mergeCell ref="A2286:H2286"/>
    <mergeCell ref="B2314:H2314"/>
    <mergeCell ref="A2321:H2321"/>
    <mergeCell ref="A2322:I2322"/>
    <mergeCell ref="B2323:H2323"/>
    <mergeCell ref="A2328:H2328"/>
    <mergeCell ref="A2301:H2301"/>
    <mergeCell ref="A2302:I2302"/>
    <mergeCell ref="B2303:H2303"/>
    <mergeCell ref="A2312:H2312"/>
    <mergeCell ref="A2313:I2313"/>
    <mergeCell ref="A2342:H2342"/>
    <mergeCell ref="A2343:I2343"/>
    <mergeCell ref="B2344:H2344"/>
    <mergeCell ref="A2353:H2353"/>
    <mergeCell ref="A2354:I2354"/>
    <mergeCell ref="A2329:I2329"/>
    <mergeCell ref="B2330:H2330"/>
    <mergeCell ref="A2335:H2335"/>
    <mergeCell ref="A2336:I2336"/>
    <mergeCell ref="B2337:H2337"/>
    <mergeCell ref="A2371:I2371"/>
    <mergeCell ref="B2372:H2372"/>
    <mergeCell ref="A2377:H2377"/>
    <mergeCell ref="A2378:I2378"/>
    <mergeCell ref="B2379:H2379"/>
    <mergeCell ref="B2355:H2355"/>
    <mergeCell ref="A2358:H2358"/>
    <mergeCell ref="A2359:I2359"/>
    <mergeCell ref="B2360:H2360"/>
    <mergeCell ref="A2370:H2370"/>
    <mergeCell ref="B2396:H2396"/>
    <mergeCell ref="A2403:H2403"/>
    <mergeCell ref="A2404:I2404"/>
    <mergeCell ref="B2405:H2405"/>
    <mergeCell ref="A2414:H2414"/>
    <mergeCell ref="A2386:H2386"/>
    <mergeCell ref="A2387:I2387"/>
    <mergeCell ref="B2388:H2388"/>
    <mergeCell ref="A2394:H2394"/>
    <mergeCell ref="A2395:I2395"/>
    <mergeCell ref="A2438:H2438"/>
    <mergeCell ref="A2439:I2439"/>
    <mergeCell ref="B2440:H2440"/>
    <mergeCell ref="A2446:H2446"/>
    <mergeCell ref="A2447:I2447"/>
    <mergeCell ref="A2415:I2415"/>
    <mergeCell ref="B2416:H2416"/>
    <mergeCell ref="A2425:H2425"/>
    <mergeCell ref="A2426:I2426"/>
    <mergeCell ref="B2427:H2427"/>
    <mergeCell ref="B2462:H2462"/>
    <mergeCell ref="A2468:H2468"/>
    <mergeCell ref="A2469:I2469"/>
    <mergeCell ref="B2470:H2470"/>
    <mergeCell ref="B2448:H2448"/>
    <mergeCell ref="A2460:H2460"/>
    <mergeCell ref="A2461:I2461"/>
    <mergeCell ref="B2488:H2488"/>
    <mergeCell ref="A2498:H2498"/>
    <mergeCell ref="A2499:I2499"/>
    <mergeCell ref="B2500:H2500"/>
    <mergeCell ref="A2507:H2507"/>
    <mergeCell ref="A2477:H2477"/>
    <mergeCell ref="A2478:I2478"/>
    <mergeCell ref="B2479:H2479"/>
    <mergeCell ref="A2486:H2486"/>
    <mergeCell ref="A2487:I2487"/>
    <mergeCell ref="A2522:H2522"/>
    <mergeCell ref="A2523:I2523"/>
    <mergeCell ref="B2524:H2524"/>
    <mergeCell ref="A2530:H2530"/>
    <mergeCell ref="A2531:I2531"/>
    <mergeCell ref="A2508:I2508"/>
    <mergeCell ref="B2509:H2509"/>
    <mergeCell ref="A2514:H2514"/>
    <mergeCell ref="A2515:I2515"/>
    <mergeCell ref="B2516:H2516"/>
    <mergeCell ref="A2558:H2558"/>
    <mergeCell ref="A2559:I2559"/>
    <mergeCell ref="A2541:I2541"/>
    <mergeCell ref="B2542:H2542"/>
    <mergeCell ref="A2545:H2545"/>
    <mergeCell ref="A2546:I2546"/>
    <mergeCell ref="B2547:H2547"/>
    <mergeCell ref="B2532:H2532"/>
    <mergeCell ref="A2535:H2535"/>
    <mergeCell ref="A2536:I2536"/>
    <mergeCell ref="B2537:H2537"/>
    <mergeCell ref="A2540:H2540"/>
    <mergeCell ref="A2584:I2584"/>
    <mergeCell ref="B2585:H2585"/>
    <mergeCell ref="A2595:H2595"/>
    <mergeCell ref="A2596:I2596"/>
    <mergeCell ref="B2597:H2597"/>
    <mergeCell ref="B2560:H2560"/>
    <mergeCell ref="A2571:H2571"/>
    <mergeCell ref="A2572:I2572"/>
    <mergeCell ref="B2573:H2573"/>
    <mergeCell ref="A2583:H2583"/>
    <mergeCell ref="B2610:H2610"/>
    <mergeCell ref="A2615:H2615"/>
    <mergeCell ref="A2616:I2616"/>
    <mergeCell ref="B2617:H2617"/>
    <mergeCell ref="A2622:H2622"/>
    <mergeCell ref="A2601:H2601"/>
    <mergeCell ref="A2602:I2602"/>
    <mergeCell ref="B2603:H2603"/>
    <mergeCell ref="A2608:H2608"/>
    <mergeCell ref="A2609:I2609"/>
    <mergeCell ref="A2639:H2639"/>
    <mergeCell ref="A2640:I2640"/>
    <mergeCell ref="B2641:H2641"/>
    <mergeCell ref="A2647:H2647"/>
    <mergeCell ref="A2648:I2648"/>
    <mergeCell ref="A2623:I2623"/>
    <mergeCell ref="B2624:H2624"/>
    <mergeCell ref="A2631:H2631"/>
    <mergeCell ref="A2632:I2632"/>
    <mergeCell ref="B2633:H2633"/>
    <mergeCell ref="A2670:H2670"/>
    <mergeCell ref="A2671:I2671"/>
    <mergeCell ref="A2660:I2660"/>
    <mergeCell ref="B2661:H2661"/>
    <mergeCell ref="A2664:H2664"/>
    <mergeCell ref="A2665:I2665"/>
    <mergeCell ref="B2666:H2666"/>
    <mergeCell ref="B2649:H2649"/>
    <mergeCell ref="A2654:H2654"/>
    <mergeCell ref="A2655:I2655"/>
    <mergeCell ref="B2656:H2656"/>
    <mergeCell ref="A2659:H2659"/>
  </mergeCells>
  <printOptions horizontalCentered="1"/>
  <pageMargins left="0.39370078740157483" right="0.39370078740157483" top="0.39370078740157483" bottom="0.39370078740157483" header="0.31496062992125984" footer="0.31496062992125984"/>
  <pageSetup paperSize="9" scale="70" orientation="portrait" r:id="rId1"/>
  <ignoredErrors>
    <ignoredError sqref="C1659:C1664 C1669:C1671 C1673 C1679:C1681 C1683 C1689:C1690 C1726:C1727 C1813:C1814 C1823:C1824 C1842:C1843 C1852:C1853 C1887:C1888 C1896:C1897 C1880:C1881 C2046:C2047 C2113:C2114 C2121:C2122 C2244:C2245 C2211:C2212 C2220:C2221 C2260:C226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01"/>
  <sheetViews>
    <sheetView topLeftCell="A487" workbookViewId="0">
      <selection activeCell="A498" sqref="A498:E499"/>
    </sheetView>
  </sheetViews>
  <sheetFormatPr defaultRowHeight="15"/>
  <cols>
    <col min="1" max="1" width="10.5703125" customWidth="1"/>
    <col min="2" max="2" width="56.85546875" customWidth="1"/>
    <col min="3" max="3" width="10" customWidth="1"/>
    <col min="4" max="4" width="9.28515625" customWidth="1"/>
    <col min="5" max="5" width="11.140625" customWidth="1"/>
    <col min="6" max="6" width="21.5703125" customWidth="1"/>
    <col min="8" max="8" width="19.28515625" customWidth="1"/>
    <col min="9" max="9" width="21.85546875" customWidth="1"/>
  </cols>
  <sheetData>
    <row r="1" spans="1:6">
      <c r="A1" s="58"/>
      <c r="B1" s="59"/>
      <c r="C1" s="59"/>
      <c r="D1" s="59"/>
      <c r="E1" s="59"/>
      <c r="F1" s="60"/>
    </row>
    <row r="2" spans="1:6">
      <c r="A2" s="55"/>
      <c r="B2" s="16"/>
      <c r="C2" s="16"/>
      <c r="D2" s="16"/>
      <c r="E2" s="16"/>
      <c r="F2" s="56"/>
    </row>
    <row r="3" spans="1:6">
      <c r="A3" s="55"/>
      <c r="B3" s="2012"/>
      <c r="C3" s="2012"/>
      <c r="D3" s="2012"/>
      <c r="E3" s="2012"/>
      <c r="F3" s="2013"/>
    </row>
    <row r="4" spans="1:6">
      <c r="A4" s="55"/>
      <c r="B4" s="2012"/>
      <c r="C4" s="2012"/>
      <c r="D4" s="2012"/>
      <c r="E4" s="2012"/>
      <c r="F4" s="2013"/>
    </row>
    <row r="5" spans="1:6">
      <c r="A5" s="55"/>
      <c r="B5" s="2014"/>
      <c r="C5" s="2014"/>
      <c r="D5" s="2014"/>
      <c r="E5" s="2014"/>
      <c r="F5" s="2015"/>
    </row>
    <row r="6" spans="1:6" ht="15.75" thickBot="1">
      <c r="A6" s="1021"/>
      <c r="B6" s="1132"/>
      <c r="C6" s="1132"/>
      <c r="D6" s="1132"/>
      <c r="E6" s="1132"/>
      <c r="F6" s="1133"/>
    </row>
    <row r="7" spans="1:6">
      <c r="A7" s="124" t="s">
        <v>0</v>
      </c>
      <c r="B7" s="208" t="str">
        <f>'PLANILHA SEM DESON'!B9:C9</f>
        <v>SEMA-PRO-2022/00145</v>
      </c>
      <c r="C7" s="209"/>
      <c r="D7" s="59"/>
      <c r="E7" s="125" t="s">
        <v>133</v>
      </c>
      <c r="F7" s="364">
        <f>'PLANILHA SEM DESON'!J12</f>
        <v>0</v>
      </c>
    </row>
    <row r="8" spans="1:6">
      <c r="A8" s="1240"/>
      <c r="B8" s="168"/>
      <c r="C8" s="210"/>
      <c r="D8" s="16"/>
      <c r="E8" s="1214"/>
      <c r="F8" s="1241"/>
    </row>
    <row r="9" spans="1:6">
      <c r="A9" s="103" t="s">
        <v>1</v>
      </c>
      <c r="B9" s="168" t="str">
        <f>'PLANILHA SEM DESON'!B10:C10</f>
        <v>CONSTRUÇÃO DE DIRETORIA DE UNIDADE DESCONCENTRADA DA SEMA - DUDS</v>
      </c>
      <c r="C9" s="210"/>
      <c r="D9" s="16"/>
      <c r="E9" s="16"/>
      <c r="F9" s="56"/>
    </row>
    <row r="10" spans="1:6" ht="25.5">
      <c r="A10" s="103" t="s">
        <v>2</v>
      </c>
      <c r="B10" s="168" t="str">
        <f>'PLANILHA SEM DESON'!B11:C11</f>
        <v>Rua Erichin, esquina com Rua Circular - Bairro Residencial Arco Íris</v>
      </c>
      <c r="C10" s="210"/>
      <c r="D10" s="16"/>
      <c r="E10" s="16"/>
      <c r="F10" s="56"/>
    </row>
    <row r="11" spans="1:6" ht="25.5">
      <c r="A11" s="103" t="s">
        <v>4</v>
      </c>
      <c r="B11" s="168" t="str">
        <f>'PLANILHA SEM DESON'!B12:C12</f>
        <v>CONFRESA - MT</v>
      </c>
      <c r="C11" s="210"/>
      <c r="D11" s="16"/>
      <c r="E11" s="16"/>
      <c r="F11" s="56"/>
    </row>
    <row r="12" spans="1:6" ht="15.75" thickBot="1">
      <c r="A12" s="1134" t="s">
        <v>5</v>
      </c>
      <c r="B12" s="1238" t="str">
        <f>'PLANILHA SEM DESON'!B13</f>
        <v xml:space="preserve">CONSTRUÇÃO </v>
      </c>
      <c r="C12" s="1239"/>
      <c r="D12" s="1132"/>
      <c r="E12" s="1132"/>
      <c r="F12" s="1133"/>
    </row>
    <row r="13" spans="1:6" ht="15.75" thickBot="1">
      <c r="A13" s="1947" t="s">
        <v>509</v>
      </c>
      <c r="B13" s="1948"/>
      <c r="C13" s="1948"/>
      <c r="D13" s="1948"/>
      <c r="E13" s="1948"/>
      <c r="F13" s="1949"/>
    </row>
    <row r="14" spans="1:6">
      <c r="A14" s="70" t="s">
        <v>128</v>
      </c>
      <c r="B14" s="123" t="s">
        <v>120</v>
      </c>
      <c r="C14" s="71" t="s">
        <v>55</v>
      </c>
      <c r="D14" s="72"/>
      <c r="E14" s="73"/>
      <c r="F14" s="74"/>
    </row>
    <row r="15" spans="1:6" ht="30">
      <c r="A15" s="34"/>
      <c r="B15" s="35" t="s">
        <v>56</v>
      </c>
      <c r="C15" s="36" t="s">
        <v>49</v>
      </c>
      <c r="D15" s="37" t="s">
        <v>50</v>
      </c>
      <c r="E15" s="46" t="s">
        <v>62</v>
      </c>
      <c r="F15" s="38" t="s">
        <v>52</v>
      </c>
    </row>
    <row r="16" spans="1:6" ht="25.5">
      <c r="A16" s="61">
        <v>90776</v>
      </c>
      <c r="B16" s="97" t="s">
        <v>119</v>
      </c>
      <c r="C16" s="41" t="s">
        <v>57</v>
      </c>
      <c r="D16" s="31">
        <v>704</v>
      </c>
      <c r="E16" s="1271">
        <v>28.39</v>
      </c>
      <c r="F16" s="111">
        <f>TRUNC((D16*E16),2)</f>
        <v>19986.560000000001</v>
      </c>
    </row>
    <row r="17" spans="1:6">
      <c r="A17" s="61">
        <v>88326</v>
      </c>
      <c r="B17" s="461" t="s">
        <v>2119</v>
      </c>
      <c r="C17" s="41" t="s">
        <v>57</v>
      </c>
      <c r="D17" s="31">
        <v>1440</v>
      </c>
      <c r="E17" s="1271">
        <v>24.65</v>
      </c>
      <c r="F17" s="111">
        <f>TRUNC((D17*E17),2)</f>
        <v>35496</v>
      </c>
    </row>
    <row r="18" spans="1:6" ht="25.5">
      <c r="A18" s="61">
        <v>90777</v>
      </c>
      <c r="B18" s="97" t="s">
        <v>131</v>
      </c>
      <c r="C18" s="41" t="s">
        <v>57</v>
      </c>
      <c r="D18" s="31">
        <v>240</v>
      </c>
      <c r="E18" s="1248">
        <v>103.16</v>
      </c>
      <c r="F18" s="111">
        <f>TRUNC((D18*E18),2)</f>
        <v>24758.400000000001</v>
      </c>
    </row>
    <row r="19" spans="1:6">
      <c r="A19" s="39"/>
      <c r="B19" s="40"/>
      <c r="C19" s="10" t="s">
        <v>42</v>
      </c>
      <c r="D19" s="42" t="s">
        <v>42</v>
      </c>
      <c r="E19" s="165" t="s">
        <v>58</v>
      </c>
      <c r="F19" s="212">
        <f>SUM(F16:F18)</f>
        <v>80240.959999999992</v>
      </c>
    </row>
    <row r="20" spans="1:6" ht="15.75" thickBot="1">
      <c r="A20" s="977"/>
      <c r="B20" s="1950" t="s">
        <v>53</v>
      </c>
      <c r="C20" s="1951"/>
      <c r="D20" s="1951"/>
      <c r="E20" s="1952"/>
      <c r="F20" s="978">
        <f>F19</f>
        <v>80240.959999999992</v>
      </c>
    </row>
    <row r="21" spans="1:6" ht="15.75" thickBot="1">
      <c r="A21" s="83"/>
      <c r="B21" s="1953" t="s">
        <v>134</v>
      </c>
      <c r="C21" s="1954"/>
      <c r="D21" s="1954"/>
      <c r="E21" s="1955"/>
      <c r="F21" s="84"/>
    </row>
    <row r="22" spans="1:6" ht="47.25" customHeight="1" thickBot="1">
      <c r="A22" s="1215"/>
      <c r="B22" s="1956" t="s">
        <v>2330</v>
      </c>
      <c r="C22" s="1956"/>
      <c r="D22" s="1956"/>
      <c r="E22" s="1956"/>
      <c r="F22" s="1216"/>
    </row>
    <row r="23" spans="1:6" ht="15.75" thickBot="1">
      <c r="A23" s="94"/>
      <c r="B23" s="94"/>
      <c r="C23" s="94"/>
      <c r="D23" s="94"/>
      <c r="E23" s="94"/>
      <c r="F23" s="94"/>
    </row>
    <row r="24" spans="1:6">
      <c r="A24" s="70" t="s">
        <v>132</v>
      </c>
      <c r="B24" s="184" t="s">
        <v>590</v>
      </c>
      <c r="C24" s="71" t="s">
        <v>46</v>
      </c>
      <c r="D24" s="72"/>
      <c r="E24" s="73"/>
      <c r="F24" s="122"/>
    </row>
    <row r="25" spans="1:6">
      <c r="A25" s="1957" t="s">
        <v>379</v>
      </c>
      <c r="B25" s="1958"/>
      <c r="C25" s="1958"/>
      <c r="D25" s="1958"/>
      <c r="E25" s="1958"/>
      <c r="F25" s="1959"/>
    </row>
    <row r="26" spans="1:6" ht="30">
      <c r="A26" s="129"/>
      <c r="B26" s="130" t="s">
        <v>56</v>
      </c>
      <c r="C26" s="131" t="s">
        <v>49</v>
      </c>
      <c r="D26" s="132" t="s">
        <v>50</v>
      </c>
      <c r="E26" s="133" t="s">
        <v>62</v>
      </c>
      <c r="F26" s="134" t="s">
        <v>52</v>
      </c>
    </row>
    <row r="27" spans="1:6" ht="25.5">
      <c r="A27" s="933">
        <v>88262</v>
      </c>
      <c r="B27" s="207" t="s">
        <v>411</v>
      </c>
      <c r="C27" s="185" t="s">
        <v>57</v>
      </c>
      <c r="D27" s="110">
        <v>1</v>
      </c>
      <c r="E27" s="1248">
        <v>24.32</v>
      </c>
      <c r="F27" s="1156">
        <f>TRUNC((D27*E27),2)</f>
        <v>24.32</v>
      </c>
    </row>
    <row r="28" spans="1:6">
      <c r="A28" s="933">
        <v>88316</v>
      </c>
      <c r="B28" s="207" t="s">
        <v>66</v>
      </c>
      <c r="C28" s="185" t="s">
        <v>57</v>
      </c>
      <c r="D28" s="110">
        <v>2</v>
      </c>
      <c r="E28" s="1248">
        <v>19.45</v>
      </c>
      <c r="F28" s="1156">
        <f>TRUNC((D28*E28),2)</f>
        <v>38.9</v>
      </c>
    </row>
    <row r="29" spans="1:6">
      <c r="A29" s="1157"/>
      <c r="B29" s="1217"/>
      <c r="C29" s="190" t="s">
        <v>42</v>
      </c>
      <c r="D29" s="191" t="s">
        <v>42</v>
      </c>
      <c r="E29" s="165" t="s">
        <v>58</v>
      </c>
      <c r="F29" s="1218">
        <f>SUM(F27:F28)</f>
        <v>63.22</v>
      </c>
    </row>
    <row r="30" spans="1:6" ht="30">
      <c r="A30" s="1157"/>
      <c r="B30" s="1219" t="s">
        <v>95</v>
      </c>
      <c r="C30" s="28" t="s">
        <v>49</v>
      </c>
      <c r="D30" s="29" t="s">
        <v>50</v>
      </c>
      <c r="E30" s="46" t="s">
        <v>62</v>
      </c>
      <c r="F30" s="1218" t="s">
        <v>52</v>
      </c>
    </row>
    <row r="31" spans="1:6" ht="38.25">
      <c r="A31" s="938">
        <v>94962</v>
      </c>
      <c r="B31" s="207" t="s">
        <v>412</v>
      </c>
      <c r="C31" s="185" t="s">
        <v>47</v>
      </c>
      <c r="D31" s="110">
        <v>0.01</v>
      </c>
      <c r="E31" s="1278">
        <v>438.71</v>
      </c>
      <c r="F31" s="1156">
        <f>TRUNC((D31*E31),2)</f>
        <v>4.38</v>
      </c>
    </row>
    <row r="32" spans="1:6" ht="25.5">
      <c r="A32" s="938">
        <v>4417</v>
      </c>
      <c r="B32" s="207" t="s">
        <v>413</v>
      </c>
      <c r="C32" s="185" t="s">
        <v>54</v>
      </c>
      <c r="D32" s="110">
        <v>1</v>
      </c>
      <c r="E32" s="1278">
        <v>6.93</v>
      </c>
      <c r="F32" s="1156">
        <f>TRUNC((D32*E32),2)</f>
        <v>6.93</v>
      </c>
    </row>
    <row r="33" spans="1:6" ht="25.5">
      <c r="A33" s="938">
        <v>4491</v>
      </c>
      <c r="B33" s="207" t="s">
        <v>414</v>
      </c>
      <c r="C33" s="185" t="s">
        <v>54</v>
      </c>
      <c r="D33" s="110">
        <v>4</v>
      </c>
      <c r="E33" s="1278">
        <v>11.67</v>
      </c>
      <c r="F33" s="1156">
        <f>TRUNC((D33*E33),2)</f>
        <v>46.68</v>
      </c>
    </row>
    <row r="34" spans="1:6" ht="25.5">
      <c r="A34" s="938">
        <v>4813</v>
      </c>
      <c r="B34" s="207" t="s">
        <v>415</v>
      </c>
      <c r="C34" s="185" t="s">
        <v>46</v>
      </c>
      <c r="D34" s="110">
        <v>1</v>
      </c>
      <c r="E34" s="1278">
        <v>400</v>
      </c>
      <c r="F34" s="1156">
        <f>TRUNC((D34*E34),2)</f>
        <v>400</v>
      </c>
    </row>
    <row r="35" spans="1:6" ht="15.75" thickBot="1">
      <c r="A35" s="1131">
        <v>5075</v>
      </c>
      <c r="B35" s="966" t="s">
        <v>416</v>
      </c>
      <c r="C35" s="1212" t="s">
        <v>100</v>
      </c>
      <c r="D35" s="969">
        <v>0.11</v>
      </c>
      <c r="E35" s="1279">
        <v>25.89</v>
      </c>
      <c r="F35" s="1166">
        <f>TRUNC((D35*E35),2)</f>
        <v>2.84</v>
      </c>
    </row>
    <row r="36" spans="1:6" ht="15.75" thickBot="1">
      <c r="A36" s="1173"/>
      <c r="B36" s="1174"/>
      <c r="C36" s="1220"/>
      <c r="D36" s="1221"/>
      <c r="E36" s="1222" t="s">
        <v>58</v>
      </c>
      <c r="F36" s="1177">
        <f>SUM(F31:F35)</f>
        <v>460.83</v>
      </c>
    </row>
    <row r="37" spans="1:6" ht="15.75" thickBot="1">
      <c r="A37" s="977"/>
      <c r="B37" s="1960" t="s">
        <v>53</v>
      </c>
      <c r="C37" s="1960"/>
      <c r="D37" s="1960"/>
      <c r="E37" s="1960"/>
      <c r="F37" s="978">
        <f>F29+F36</f>
        <v>524.04999999999995</v>
      </c>
    </row>
    <row r="38" spans="1:6" ht="15.75" thickBot="1">
      <c r="A38" s="94"/>
      <c r="B38" s="94"/>
      <c r="C38" s="94"/>
      <c r="D38" s="94"/>
      <c r="E38" s="94"/>
      <c r="F38" s="94"/>
    </row>
    <row r="39" spans="1:6" ht="25.5">
      <c r="A39" s="226" t="s">
        <v>135</v>
      </c>
      <c r="B39" s="224" t="s">
        <v>194</v>
      </c>
      <c r="C39" s="71" t="s">
        <v>55</v>
      </c>
      <c r="D39" s="72"/>
      <c r="E39" s="72"/>
      <c r="F39" s="205"/>
    </row>
    <row r="40" spans="1:6">
      <c r="A40" s="1968" t="s">
        <v>595</v>
      </c>
      <c r="B40" s="1969"/>
      <c r="C40" s="1969"/>
      <c r="D40" s="1969"/>
      <c r="E40" s="1969"/>
      <c r="F40" s="1970"/>
    </row>
    <row r="41" spans="1:6" ht="30">
      <c r="A41" s="931"/>
      <c r="B41" s="941" t="s">
        <v>56</v>
      </c>
      <c r="C41" s="36" t="s">
        <v>49</v>
      </c>
      <c r="D41" s="37" t="s">
        <v>50</v>
      </c>
      <c r="E41" s="133" t="s">
        <v>62</v>
      </c>
      <c r="F41" s="932" t="s">
        <v>52</v>
      </c>
    </row>
    <row r="42" spans="1:6">
      <c r="A42" s="202">
        <v>88264</v>
      </c>
      <c r="B42" s="1211" t="s">
        <v>94</v>
      </c>
      <c r="C42" s="41" t="s">
        <v>57</v>
      </c>
      <c r="D42" s="112">
        <v>8</v>
      </c>
      <c r="E42" s="1278">
        <v>25.54</v>
      </c>
      <c r="F42" s="934">
        <f>TRUNC((D42*E42),2)</f>
        <v>204.32</v>
      </c>
    </row>
    <row r="43" spans="1:6">
      <c r="A43" s="935">
        <v>88316</v>
      </c>
      <c r="B43" s="168" t="s">
        <v>66</v>
      </c>
      <c r="C43" s="41" t="s">
        <v>57</v>
      </c>
      <c r="D43" s="112">
        <v>8</v>
      </c>
      <c r="E43" s="1248">
        <v>19.45</v>
      </c>
      <c r="F43" s="934">
        <f>TRUNC((D43*E43),2)</f>
        <v>155.6</v>
      </c>
    </row>
    <row r="44" spans="1:6">
      <c r="A44" s="964"/>
      <c r="B44" s="936"/>
      <c r="C44" s="10" t="s">
        <v>42</v>
      </c>
      <c r="D44" s="42" t="s">
        <v>42</v>
      </c>
      <c r="E44" s="42"/>
      <c r="F44" s="937">
        <f>SUM(F42:F43)</f>
        <v>359.91999999999996</v>
      </c>
    </row>
    <row r="45" spans="1:6" ht="30">
      <c r="A45" s="964"/>
      <c r="B45" s="941" t="s">
        <v>95</v>
      </c>
      <c r="C45" s="36" t="s">
        <v>49</v>
      </c>
      <c r="D45" s="37" t="s">
        <v>50</v>
      </c>
      <c r="E45" s="133" t="s">
        <v>62</v>
      </c>
      <c r="F45" s="932" t="s">
        <v>52</v>
      </c>
    </row>
    <row r="46" spans="1:6" ht="25.5">
      <c r="A46" s="202">
        <v>406</v>
      </c>
      <c r="B46" s="207" t="s">
        <v>510</v>
      </c>
      <c r="C46" s="41" t="s">
        <v>55</v>
      </c>
      <c r="D46" s="217">
        <v>0.13333329999999999</v>
      </c>
      <c r="E46" s="1278">
        <v>109.18</v>
      </c>
      <c r="F46" s="934">
        <f>TRUNC((D46*E46),2)</f>
        <v>14.55</v>
      </c>
    </row>
    <row r="47" spans="1:6" ht="38.25">
      <c r="A47" s="202">
        <v>420</v>
      </c>
      <c r="B47" s="928" t="s">
        <v>511</v>
      </c>
      <c r="C47" s="41" t="s">
        <v>55</v>
      </c>
      <c r="D47" s="203">
        <v>2</v>
      </c>
      <c r="E47" s="1278">
        <v>42.08</v>
      </c>
      <c r="F47" s="934">
        <f>TRUNC((D47*E47),2)</f>
        <v>84.16</v>
      </c>
    </row>
    <row r="48" spans="1:6">
      <c r="A48" s="202">
        <v>857</v>
      </c>
      <c r="B48" s="207" t="s">
        <v>512</v>
      </c>
      <c r="C48" s="41" t="s">
        <v>54</v>
      </c>
      <c r="D48" s="203">
        <v>3</v>
      </c>
      <c r="E48" s="1278">
        <v>16.920000000000002</v>
      </c>
      <c r="F48" s="934">
        <f t="shared" ref="F48:F62" si="0">TRUNC((D48*E48),2)</f>
        <v>50.76</v>
      </c>
    </row>
    <row r="49" spans="1:6" ht="25.5">
      <c r="A49" s="202">
        <v>937</v>
      </c>
      <c r="B49" s="207" t="s">
        <v>513</v>
      </c>
      <c r="C49" s="41" t="s">
        <v>54</v>
      </c>
      <c r="D49" s="203">
        <v>27</v>
      </c>
      <c r="E49" s="1278">
        <v>8.64</v>
      </c>
      <c r="F49" s="934">
        <f t="shared" si="0"/>
        <v>233.28</v>
      </c>
    </row>
    <row r="50" spans="1:6" ht="38.25">
      <c r="A50" s="202">
        <v>1062</v>
      </c>
      <c r="B50" s="207" t="s">
        <v>514</v>
      </c>
      <c r="C50" s="41" t="s">
        <v>55</v>
      </c>
      <c r="D50" s="203">
        <v>1</v>
      </c>
      <c r="E50" s="1278">
        <v>350.88</v>
      </c>
      <c r="F50" s="934">
        <f t="shared" si="0"/>
        <v>350.88</v>
      </c>
    </row>
    <row r="51" spans="1:6" ht="42.75" customHeight="1">
      <c r="A51" s="202">
        <v>1096</v>
      </c>
      <c r="B51" s="207" t="s">
        <v>515</v>
      </c>
      <c r="C51" s="41" t="s">
        <v>55</v>
      </c>
      <c r="D51" s="203">
        <v>2</v>
      </c>
      <c r="E51" s="1278">
        <v>139.65</v>
      </c>
      <c r="F51" s="934">
        <f t="shared" si="0"/>
        <v>279.3</v>
      </c>
    </row>
    <row r="52" spans="1:6" ht="25.5">
      <c r="A52" s="202">
        <v>1539</v>
      </c>
      <c r="B52" s="207" t="s">
        <v>516</v>
      </c>
      <c r="C52" s="41" t="s">
        <v>55</v>
      </c>
      <c r="D52" s="203">
        <v>8</v>
      </c>
      <c r="E52" s="1278">
        <v>7.41</v>
      </c>
      <c r="F52" s="934">
        <f t="shared" si="0"/>
        <v>59.28</v>
      </c>
    </row>
    <row r="53" spans="1:6" ht="25.5">
      <c r="A53" s="202">
        <v>1892</v>
      </c>
      <c r="B53" s="207" t="s">
        <v>517</v>
      </c>
      <c r="C53" s="41" t="s">
        <v>55</v>
      </c>
      <c r="D53" s="203">
        <v>4</v>
      </c>
      <c r="E53" s="1278">
        <v>1.73</v>
      </c>
      <c r="F53" s="934">
        <f t="shared" si="0"/>
        <v>6.92</v>
      </c>
    </row>
    <row r="54" spans="1:6" ht="25.5">
      <c r="A54" s="202">
        <v>2392</v>
      </c>
      <c r="B54" s="207" t="s">
        <v>518</v>
      </c>
      <c r="C54" s="41" t="s">
        <v>55</v>
      </c>
      <c r="D54" s="203">
        <v>1</v>
      </c>
      <c r="E54" s="1278">
        <v>87.2</v>
      </c>
      <c r="F54" s="934">
        <f t="shared" si="0"/>
        <v>87.2</v>
      </c>
    </row>
    <row r="55" spans="1:6">
      <c r="A55" s="202">
        <v>2685</v>
      </c>
      <c r="B55" s="207" t="s">
        <v>519</v>
      </c>
      <c r="C55" s="41" t="s">
        <v>54</v>
      </c>
      <c r="D55" s="203">
        <v>8</v>
      </c>
      <c r="E55" s="1278">
        <v>7.57</v>
      </c>
      <c r="F55" s="934">
        <f t="shared" si="0"/>
        <v>60.56</v>
      </c>
    </row>
    <row r="56" spans="1:6" ht="27.75" customHeight="1">
      <c r="A56" s="202">
        <v>2731</v>
      </c>
      <c r="B56" s="207" t="s">
        <v>520</v>
      </c>
      <c r="C56" s="41" t="s">
        <v>54</v>
      </c>
      <c r="D56" s="203">
        <v>7.96</v>
      </c>
      <c r="E56" s="1278">
        <v>111.49</v>
      </c>
      <c r="F56" s="934">
        <f t="shared" si="0"/>
        <v>887.46</v>
      </c>
    </row>
    <row r="57" spans="1:6" ht="38.25">
      <c r="A57" s="202">
        <v>3379</v>
      </c>
      <c r="B57" s="97" t="s">
        <v>2160</v>
      </c>
      <c r="C57" s="41" t="s">
        <v>55</v>
      </c>
      <c r="D57" s="203">
        <v>1</v>
      </c>
      <c r="E57" s="1278">
        <v>64.59</v>
      </c>
      <c r="F57" s="934">
        <f t="shared" si="0"/>
        <v>64.59</v>
      </c>
    </row>
    <row r="58" spans="1:6" ht="38.25">
      <c r="A58" s="202">
        <v>4346</v>
      </c>
      <c r="B58" s="207" t="s">
        <v>521</v>
      </c>
      <c r="C58" s="41" t="s">
        <v>55</v>
      </c>
      <c r="D58" s="203">
        <v>2</v>
      </c>
      <c r="E58" s="1278">
        <v>11.29</v>
      </c>
      <c r="F58" s="934">
        <f t="shared" si="0"/>
        <v>22.58</v>
      </c>
    </row>
    <row r="59" spans="1:6" ht="25.5">
      <c r="A59" s="202">
        <v>11267</v>
      </c>
      <c r="B59" s="207" t="s">
        <v>522</v>
      </c>
      <c r="C59" s="41" t="s">
        <v>55</v>
      </c>
      <c r="D59" s="203">
        <v>2</v>
      </c>
      <c r="E59" s="1278">
        <v>1.1100000000000001</v>
      </c>
      <c r="F59" s="934">
        <f t="shared" si="0"/>
        <v>2.2200000000000002</v>
      </c>
    </row>
    <row r="60" spans="1:6" ht="26.25" thickBot="1">
      <c r="A60" s="965">
        <v>12034</v>
      </c>
      <c r="B60" s="966" t="s">
        <v>523</v>
      </c>
      <c r="C60" s="967" t="s">
        <v>55</v>
      </c>
      <c r="D60" s="968">
        <v>2</v>
      </c>
      <c r="E60" s="1279">
        <v>4.6900000000000004</v>
      </c>
      <c r="F60" s="970">
        <f t="shared" si="0"/>
        <v>9.3800000000000008</v>
      </c>
    </row>
    <row r="61" spans="1:6" ht="28.5" customHeight="1">
      <c r="A61" s="971">
        <v>39176</v>
      </c>
      <c r="B61" s="972" t="s">
        <v>524</v>
      </c>
      <c r="C61" s="973" t="s">
        <v>55</v>
      </c>
      <c r="D61" s="974">
        <v>2</v>
      </c>
      <c r="E61" s="975">
        <v>1.1499999999999999</v>
      </c>
      <c r="F61" s="985">
        <f t="shared" si="0"/>
        <v>2.2999999999999998</v>
      </c>
    </row>
    <row r="62" spans="1:6" ht="25.5">
      <c r="A62" s="202">
        <v>39210</v>
      </c>
      <c r="B62" s="207" t="s">
        <v>525</v>
      </c>
      <c r="C62" s="41" t="s">
        <v>55</v>
      </c>
      <c r="D62" s="203">
        <v>2</v>
      </c>
      <c r="E62" s="1278">
        <v>0.9</v>
      </c>
      <c r="F62" s="934">
        <f t="shared" si="0"/>
        <v>1.8</v>
      </c>
    </row>
    <row r="63" spans="1:6">
      <c r="A63" s="61"/>
      <c r="B63" s="85"/>
      <c r="C63" s="66"/>
      <c r="D63" s="86"/>
      <c r="E63" s="86"/>
      <c r="F63" s="212">
        <f>SUM(F46:F62)</f>
        <v>2217.2200000000007</v>
      </c>
    </row>
    <row r="64" spans="1:6" ht="15.75" thickBot="1">
      <c r="A64" s="977"/>
      <c r="B64" s="1971" t="s">
        <v>53</v>
      </c>
      <c r="C64" s="1972"/>
      <c r="D64" s="1972"/>
      <c r="E64" s="1972"/>
      <c r="F64" s="978">
        <f>F44+F63</f>
        <v>2577.1400000000008</v>
      </c>
    </row>
    <row r="65" spans="1:9" ht="15.75" thickBot="1">
      <c r="A65" s="94"/>
      <c r="B65" s="94"/>
      <c r="C65" s="94"/>
      <c r="D65" s="94"/>
      <c r="E65" s="94"/>
      <c r="F65" s="94"/>
    </row>
    <row r="66" spans="1:9" ht="38.25">
      <c r="A66" s="226" t="s">
        <v>526</v>
      </c>
      <c r="B66" s="223" t="s">
        <v>1413</v>
      </c>
      <c r="C66" s="71" t="s">
        <v>55</v>
      </c>
      <c r="D66" s="72"/>
      <c r="E66" s="73"/>
      <c r="F66" s="74"/>
    </row>
    <row r="67" spans="1:9">
      <c r="A67" s="1973" t="s">
        <v>1414</v>
      </c>
      <c r="B67" s="1974"/>
      <c r="C67" s="1974"/>
      <c r="D67" s="1974"/>
      <c r="E67" s="1974"/>
      <c r="F67" s="1975"/>
    </row>
    <row r="68" spans="1:9" ht="30">
      <c r="A68" s="1417"/>
      <c r="B68" s="1418" t="s">
        <v>56</v>
      </c>
      <c r="C68" s="1419" t="s">
        <v>49</v>
      </c>
      <c r="D68" s="1420" t="s">
        <v>50</v>
      </c>
      <c r="E68" s="1267" t="s">
        <v>62</v>
      </c>
      <c r="F68" s="1421" t="s">
        <v>52</v>
      </c>
    </row>
    <row r="69" spans="1:9">
      <c r="A69" s="1296">
        <v>88309</v>
      </c>
      <c r="B69" s="990" t="s">
        <v>103</v>
      </c>
      <c r="C69" s="1293" t="s">
        <v>57</v>
      </c>
      <c r="D69" s="1422">
        <v>2.73</v>
      </c>
      <c r="E69" s="1272">
        <v>24.59</v>
      </c>
      <c r="F69" s="1423">
        <f>TRUNC((D69*E69),2)</f>
        <v>67.13</v>
      </c>
    </row>
    <row r="70" spans="1:9">
      <c r="A70" s="933">
        <v>88316</v>
      </c>
      <c r="B70" s="990" t="s">
        <v>66</v>
      </c>
      <c r="C70" s="1293" t="s">
        <v>57</v>
      </c>
      <c r="D70" s="1422">
        <v>4.0949999999999998</v>
      </c>
      <c r="E70" s="1248">
        <v>19.45</v>
      </c>
      <c r="F70" s="1423">
        <f>TRUNC((D70*E70),2)</f>
        <v>79.64</v>
      </c>
    </row>
    <row r="71" spans="1:9">
      <c r="A71" s="1296"/>
      <c r="B71" s="1424"/>
      <c r="C71" s="1293" t="s">
        <v>42</v>
      </c>
      <c r="D71" s="1425" t="s">
        <v>42</v>
      </c>
      <c r="E71" s="1426" t="s">
        <v>58</v>
      </c>
      <c r="F71" s="1154">
        <f>SUM(F69:F70)</f>
        <v>146.76999999999998</v>
      </c>
    </row>
    <row r="72" spans="1:9" ht="30">
      <c r="A72" s="1296"/>
      <c r="B72" s="981" t="s">
        <v>95</v>
      </c>
      <c r="C72" s="1419" t="s">
        <v>49</v>
      </c>
      <c r="D72" s="1420" t="s">
        <v>50</v>
      </c>
      <c r="E72" s="1267" t="s">
        <v>62</v>
      </c>
      <c r="F72" s="1421" t="s">
        <v>52</v>
      </c>
    </row>
    <row r="73" spans="1:9" ht="25.5">
      <c r="A73" s="1292">
        <v>88630</v>
      </c>
      <c r="B73" s="1247" t="s">
        <v>1590</v>
      </c>
      <c r="C73" s="1293" t="s">
        <v>47</v>
      </c>
      <c r="D73" s="1427">
        <v>8.1899999999999994E-3</v>
      </c>
      <c r="E73" s="1278">
        <v>549.95000000000005</v>
      </c>
      <c r="F73" s="1423">
        <f>TRUNC((D73*E73),2)</f>
        <v>4.5</v>
      </c>
    </row>
    <row r="74" spans="1:9" ht="51">
      <c r="A74" s="1292" t="s">
        <v>65</v>
      </c>
      <c r="B74" s="1247" t="s">
        <v>2161</v>
      </c>
      <c r="C74" s="1293" t="s">
        <v>55</v>
      </c>
      <c r="D74" s="1428">
        <v>1</v>
      </c>
      <c r="E74" s="1278">
        <f>C83</f>
        <v>3780</v>
      </c>
      <c r="F74" s="1423">
        <f>TRUNC((D74*E74),2)</f>
        <v>3780</v>
      </c>
      <c r="I74" s="385"/>
    </row>
    <row r="75" spans="1:9">
      <c r="A75" s="1429"/>
      <c r="B75" s="1430"/>
      <c r="C75" s="1309"/>
      <c r="D75" s="1431"/>
      <c r="E75" s="1426" t="s">
        <v>58</v>
      </c>
      <c r="F75" s="1432">
        <f>SUM(F73:F74)</f>
        <v>3784.5</v>
      </c>
    </row>
    <row r="76" spans="1:9">
      <c r="A76" s="88"/>
      <c r="B76" s="1976" t="s">
        <v>53</v>
      </c>
      <c r="C76" s="1976"/>
      <c r="D76" s="1976"/>
      <c r="E76" s="1976"/>
      <c r="F76" s="89">
        <f>F71+F75</f>
        <v>3931.27</v>
      </c>
    </row>
    <row r="77" spans="1:9" ht="72.75" customHeight="1" thickBot="1">
      <c r="A77" s="1433"/>
      <c r="B77" s="1434" t="s">
        <v>2331</v>
      </c>
      <c r="C77" s="1977" t="s">
        <v>2332</v>
      </c>
      <c r="D77" s="1977"/>
      <c r="E77" s="1435"/>
      <c r="F77" s="1436" t="s">
        <v>2333</v>
      </c>
      <c r="H77" s="385"/>
      <c r="I77" s="385"/>
    </row>
    <row r="78" spans="1:9">
      <c r="A78" s="267"/>
      <c r="B78" s="1978" t="s">
        <v>96</v>
      </c>
      <c r="C78" s="1979"/>
      <c r="D78" s="1979"/>
      <c r="E78" s="1980"/>
      <c r="F78" s="268"/>
    </row>
    <row r="79" spans="1:9" ht="25.5">
      <c r="A79" s="1266" t="s">
        <v>59</v>
      </c>
      <c r="B79" s="1267" t="s">
        <v>97</v>
      </c>
      <c r="C79" s="1268" t="s">
        <v>98</v>
      </c>
      <c r="D79" s="1966" t="s">
        <v>60</v>
      </c>
      <c r="E79" s="1966"/>
      <c r="F79" s="1269" t="s">
        <v>99</v>
      </c>
    </row>
    <row r="80" spans="1:9" ht="35.25" customHeight="1">
      <c r="A80" s="1246">
        <v>44854</v>
      </c>
      <c r="B80" s="1247" t="s">
        <v>2021</v>
      </c>
      <c r="C80" s="1248">
        <v>3780</v>
      </c>
      <c r="D80" s="1967" t="s">
        <v>2039</v>
      </c>
      <c r="E80" s="1967"/>
      <c r="F80" s="1437" t="s">
        <v>2337</v>
      </c>
    </row>
    <row r="81" spans="1:6" ht="30" customHeight="1">
      <c r="A81" s="1246">
        <v>44859</v>
      </c>
      <c r="B81" s="1247" t="s">
        <v>2022</v>
      </c>
      <c r="C81" s="1248">
        <v>6320</v>
      </c>
      <c r="D81" s="1967" t="s">
        <v>2040</v>
      </c>
      <c r="E81" s="1967"/>
      <c r="F81" s="1437" t="s">
        <v>2338</v>
      </c>
    </row>
    <row r="82" spans="1:6" ht="21.75" customHeight="1">
      <c r="A82" s="1246">
        <v>44855</v>
      </c>
      <c r="B82" s="1247" t="s">
        <v>2172</v>
      </c>
      <c r="C82" s="1248">
        <v>3050</v>
      </c>
      <c r="D82" s="1967" t="s">
        <v>2173</v>
      </c>
      <c r="E82" s="1967"/>
      <c r="F82" s="1437" t="s">
        <v>2171</v>
      </c>
    </row>
    <row r="83" spans="1:6" ht="15.75" thickBot="1">
      <c r="A83" s="1270"/>
      <c r="B83" s="1122" t="s">
        <v>61</v>
      </c>
      <c r="C83" s="1123">
        <f>MEDIAN(C80:C82)</f>
        <v>3780</v>
      </c>
      <c r="D83" s="1983"/>
      <c r="E83" s="1984"/>
      <c r="F83" s="1124"/>
    </row>
    <row r="84" spans="1:6" ht="15.75" thickBot="1">
      <c r="A84" s="94"/>
      <c r="B84" s="94"/>
      <c r="C84" s="94"/>
      <c r="D84" s="94"/>
      <c r="E84" s="94"/>
      <c r="F84" s="94"/>
    </row>
    <row r="85" spans="1:6" ht="38.25">
      <c r="A85" s="70" t="s">
        <v>1412</v>
      </c>
      <c r="B85" s="223" t="s">
        <v>2170</v>
      </c>
      <c r="C85" s="71" t="s">
        <v>55</v>
      </c>
      <c r="D85" s="72"/>
      <c r="E85" s="73"/>
      <c r="F85" s="74"/>
    </row>
    <row r="86" spans="1:6">
      <c r="A86" s="1957" t="s">
        <v>1514</v>
      </c>
      <c r="B86" s="1958"/>
      <c r="C86" s="1958"/>
      <c r="D86" s="1958"/>
      <c r="E86" s="1958"/>
      <c r="F86" s="1959"/>
    </row>
    <row r="87" spans="1:6" ht="30">
      <c r="A87" s="34"/>
      <c r="B87" s="35" t="s">
        <v>56</v>
      </c>
      <c r="C87" s="36" t="s">
        <v>49</v>
      </c>
      <c r="D87" s="37" t="s">
        <v>50</v>
      </c>
      <c r="E87" s="46" t="s">
        <v>62</v>
      </c>
      <c r="F87" s="38" t="s">
        <v>52</v>
      </c>
    </row>
    <row r="88" spans="1:6">
      <c r="A88" s="202"/>
      <c r="B88" s="43"/>
      <c r="C88" s="41"/>
      <c r="D88" s="113"/>
      <c r="E88" s="95"/>
      <c r="F88" s="111"/>
    </row>
    <row r="89" spans="1:6">
      <c r="A89" s="202"/>
      <c r="B89" s="40"/>
      <c r="C89" s="41" t="s">
        <v>42</v>
      </c>
      <c r="D89" s="42" t="s">
        <v>42</v>
      </c>
      <c r="E89" s="241" t="s">
        <v>58</v>
      </c>
      <c r="F89" s="212">
        <f>SUM(F88:F88)</f>
        <v>0</v>
      </c>
    </row>
    <row r="90" spans="1:6" ht="30">
      <c r="A90" s="202"/>
      <c r="B90" s="981" t="s">
        <v>95</v>
      </c>
      <c r="C90" s="36" t="s">
        <v>49</v>
      </c>
      <c r="D90" s="37" t="s">
        <v>50</v>
      </c>
      <c r="E90" s="46" t="s">
        <v>62</v>
      </c>
      <c r="F90" s="38" t="s">
        <v>52</v>
      </c>
    </row>
    <row r="91" spans="1:6" ht="25.5">
      <c r="A91" s="275" t="s">
        <v>65</v>
      </c>
      <c r="B91" s="503" t="s">
        <v>2162</v>
      </c>
      <c r="C91" s="41" t="s">
        <v>55</v>
      </c>
      <c r="D91" s="112">
        <v>1</v>
      </c>
      <c r="E91" s="95">
        <f>C99</f>
        <v>1760</v>
      </c>
      <c r="F91" s="982">
        <f>TRUNC((D91*E91),2)</f>
        <v>1760</v>
      </c>
    </row>
    <row r="92" spans="1:6">
      <c r="A92" s="283"/>
      <c r="B92" s="85"/>
      <c r="C92" s="66"/>
      <c r="D92" s="86"/>
      <c r="E92" s="241" t="s">
        <v>58</v>
      </c>
      <c r="F92" s="596">
        <f>SUM(F91:F91)</f>
        <v>1760</v>
      </c>
    </row>
    <row r="93" spans="1:6" ht="15.75" thickBot="1">
      <c r="A93" s="977"/>
      <c r="B93" s="1961" t="s">
        <v>53</v>
      </c>
      <c r="C93" s="1961"/>
      <c r="D93" s="1961"/>
      <c r="E93" s="1961"/>
      <c r="F93" s="983">
        <f>F89+F92</f>
        <v>1760</v>
      </c>
    </row>
    <row r="94" spans="1:6">
      <c r="A94" s="88"/>
      <c r="B94" s="1962" t="s">
        <v>96</v>
      </c>
      <c r="C94" s="1963"/>
      <c r="D94" s="1963"/>
      <c r="E94" s="1964"/>
      <c r="F94" s="89"/>
    </row>
    <row r="95" spans="1:6" ht="25.5">
      <c r="A95" s="75" t="s">
        <v>59</v>
      </c>
      <c r="B95" s="46" t="s">
        <v>97</v>
      </c>
      <c r="C95" s="164" t="s">
        <v>98</v>
      </c>
      <c r="D95" s="1965" t="s">
        <v>60</v>
      </c>
      <c r="E95" s="1965"/>
      <c r="F95" s="76" t="s">
        <v>99</v>
      </c>
    </row>
    <row r="96" spans="1:6" ht="35.25" customHeight="1">
      <c r="A96" s="1246">
        <v>44852</v>
      </c>
      <c r="B96" s="1247" t="s">
        <v>1677</v>
      </c>
      <c r="C96" s="1248">
        <v>1305.9100000000001</v>
      </c>
      <c r="D96" s="1981" t="s">
        <v>1676</v>
      </c>
      <c r="E96" s="1982"/>
      <c r="F96" s="1249" t="s">
        <v>2334</v>
      </c>
    </row>
    <row r="97" spans="1:6" ht="25.5">
      <c r="A97" s="1246">
        <v>44851</v>
      </c>
      <c r="B97" s="1247" t="s">
        <v>2042</v>
      </c>
      <c r="C97" s="1248">
        <v>3705</v>
      </c>
      <c r="D97" s="1981" t="s">
        <v>2043</v>
      </c>
      <c r="E97" s="1982"/>
      <c r="F97" s="1438" t="s">
        <v>2174</v>
      </c>
    </row>
    <row r="98" spans="1:6">
      <c r="A98" s="1246">
        <v>44855</v>
      </c>
      <c r="B98" s="1250" t="s">
        <v>2055</v>
      </c>
      <c r="C98" s="1248">
        <v>1760</v>
      </c>
      <c r="D98" s="1981" t="s">
        <v>2056</v>
      </c>
      <c r="E98" s="1982"/>
      <c r="F98" s="1249" t="s">
        <v>2175</v>
      </c>
    </row>
    <row r="99" spans="1:6" ht="15.75" thickBot="1">
      <c r="A99" s="63"/>
      <c r="B99" s="174" t="s">
        <v>61</v>
      </c>
      <c r="C99" s="64">
        <f>MEDIAN(C96:C98)</f>
        <v>1760</v>
      </c>
      <c r="D99" s="1985"/>
      <c r="E99" s="1986"/>
      <c r="F99" s="65"/>
    </row>
    <row r="100" spans="1:6" ht="15.75" thickBot="1">
      <c r="A100" s="168"/>
      <c r="B100" s="1214"/>
      <c r="C100" s="455"/>
      <c r="D100" s="94"/>
      <c r="E100" s="94"/>
      <c r="F100" s="168"/>
    </row>
    <row r="101" spans="1:6" ht="38.25">
      <c r="A101" s="226" t="s">
        <v>527</v>
      </c>
      <c r="B101" s="281" t="s">
        <v>1435</v>
      </c>
      <c r="C101" s="71" t="s">
        <v>55</v>
      </c>
      <c r="D101" s="72"/>
      <c r="E101" s="72"/>
      <c r="F101" s="205"/>
    </row>
    <row r="102" spans="1:6">
      <c r="A102" s="1968" t="s">
        <v>410</v>
      </c>
      <c r="B102" s="1969"/>
      <c r="C102" s="1969"/>
      <c r="D102" s="1969"/>
      <c r="E102" s="1969"/>
      <c r="F102" s="1970"/>
    </row>
    <row r="103" spans="1:6" ht="30">
      <c r="A103" s="931"/>
      <c r="B103" s="941" t="s">
        <v>56</v>
      </c>
      <c r="C103" s="36" t="s">
        <v>49</v>
      </c>
      <c r="D103" s="37" t="s">
        <v>50</v>
      </c>
      <c r="E103" s="133" t="s">
        <v>62</v>
      </c>
      <c r="F103" s="932" t="s">
        <v>52</v>
      </c>
    </row>
    <row r="104" spans="1:6" ht="25.5">
      <c r="A104" s="202">
        <v>88267</v>
      </c>
      <c r="B104" s="97" t="s">
        <v>102</v>
      </c>
      <c r="C104" s="41" t="s">
        <v>57</v>
      </c>
      <c r="D104" s="112">
        <v>0.94850000000000001</v>
      </c>
      <c r="E104" s="1278">
        <v>24.64</v>
      </c>
      <c r="F104" s="982">
        <f>TRUNC((D104*E104),2)</f>
        <v>23.37</v>
      </c>
    </row>
    <row r="105" spans="1:6">
      <c r="A105" s="935">
        <v>88316</v>
      </c>
      <c r="B105" s="211" t="s">
        <v>66</v>
      </c>
      <c r="C105" s="41" t="s">
        <v>57</v>
      </c>
      <c r="D105" s="112">
        <v>0.29880000000000001</v>
      </c>
      <c r="E105" s="1248">
        <v>19.45</v>
      </c>
      <c r="F105" s="982">
        <f>TRUNC((D105*E105),2)</f>
        <v>5.81</v>
      </c>
    </row>
    <row r="106" spans="1:6">
      <c r="A106" s="964"/>
      <c r="B106" s="936"/>
      <c r="C106" s="10" t="s">
        <v>42</v>
      </c>
      <c r="D106" s="42" t="s">
        <v>42</v>
      </c>
      <c r="E106" s="1251" t="s">
        <v>58</v>
      </c>
      <c r="F106" s="937">
        <f>SUM(F104:F105)</f>
        <v>29.18</v>
      </c>
    </row>
    <row r="107" spans="1:6" ht="30">
      <c r="A107" s="964"/>
      <c r="B107" s="941" t="s">
        <v>95</v>
      </c>
      <c r="C107" s="36" t="s">
        <v>49</v>
      </c>
      <c r="D107" s="37" t="s">
        <v>50</v>
      </c>
      <c r="E107" s="133" t="s">
        <v>62</v>
      </c>
      <c r="F107" s="932" t="s">
        <v>52</v>
      </c>
    </row>
    <row r="108" spans="1:6" ht="25.5">
      <c r="A108" s="188" t="s">
        <v>65</v>
      </c>
      <c r="B108" s="97" t="s">
        <v>409</v>
      </c>
      <c r="C108" s="41" t="s">
        <v>55</v>
      </c>
      <c r="D108" s="203">
        <v>1</v>
      </c>
      <c r="E108" s="110">
        <f>C117</f>
        <v>269.89999999999998</v>
      </c>
      <c r="F108" s="982">
        <f>TRUNC((D108*E108),2)</f>
        <v>269.89999999999998</v>
      </c>
    </row>
    <row r="109" spans="1:6" ht="38.25">
      <c r="A109" s="206">
        <v>4351</v>
      </c>
      <c r="B109" s="97" t="s">
        <v>408</v>
      </c>
      <c r="C109" s="41" t="s">
        <v>55</v>
      </c>
      <c r="D109" s="203">
        <v>6</v>
      </c>
      <c r="E109" s="1278">
        <v>18.559999999999999</v>
      </c>
      <c r="F109" s="982">
        <f>TRUNC((D109*E109),2)</f>
        <v>111.36</v>
      </c>
    </row>
    <row r="110" spans="1:6">
      <c r="A110" s="61"/>
      <c r="B110" s="85"/>
      <c r="C110" s="66"/>
      <c r="D110" s="86"/>
      <c r="E110" s="1251" t="s">
        <v>58</v>
      </c>
      <c r="F110" s="212">
        <f>SUM(F108:F109)</f>
        <v>381.26</v>
      </c>
    </row>
    <row r="111" spans="1:6" ht="15.75" thickBot="1">
      <c r="A111" s="977"/>
      <c r="B111" s="1971" t="s">
        <v>53</v>
      </c>
      <c r="C111" s="1972"/>
      <c r="D111" s="1972"/>
      <c r="E111" s="1972"/>
      <c r="F111" s="983">
        <f>F106+F110</f>
        <v>410.44</v>
      </c>
    </row>
    <row r="112" spans="1:6">
      <c r="A112" s="88"/>
      <c r="B112" s="1962" t="s">
        <v>96</v>
      </c>
      <c r="C112" s="1963"/>
      <c r="D112" s="1963"/>
      <c r="E112" s="1964"/>
      <c r="F112" s="89"/>
    </row>
    <row r="113" spans="1:7" ht="25.5">
      <c r="A113" s="75" t="s">
        <v>59</v>
      </c>
      <c r="B113" s="46" t="s">
        <v>97</v>
      </c>
      <c r="C113" s="164" t="s">
        <v>98</v>
      </c>
      <c r="D113" s="1965" t="s">
        <v>60</v>
      </c>
      <c r="E113" s="1965"/>
      <c r="F113" s="76" t="s">
        <v>99</v>
      </c>
    </row>
    <row r="114" spans="1:7" ht="42" customHeight="1">
      <c r="A114" s="1246">
        <v>44803</v>
      </c>
      <c r="B114" s="1247" t="s">
        <v>2176</v>
      </c>
      <c r="C114" s="1248">
        <v>136</v>
      </c>
      <c r="D114" s="1981" t="s">
        <v>2177</v>
      </c>
      <c r="E114" s="1982"/>
      <c r="F114" s="1249" t="s">
        <v>2178</v>
      </c>
    </row>
    <row r="115" spans="1:7" ht="31.5" customHeight="1">
      <c r="A115" s="1246">
        <v>44803</v>
      </c>
      <c r="B115" s="1247" t="s">
        <v>2179</v>
      </c>
      <c r="C115" s="1248">
        <v>269.89999999999998</v>
      </c>
      <c r="D115" s="1981" t="s">
        <v>2180</v>
      </c>
      <c r="E115" s="1982"/>
      <c r="F115" s="1249" t="s">
        <v>2335</v>
      </c>
    </row>
    <row r="116" spans="1:7" ht="29.25" customHeight="1">
      <c r="A116" s="1246">
        <v>44851</v>
      </c>
      <c r="B116" s="1250" t="s">
        <v>2181</v>
      </c>
      <c r="C116" s="1248">
        <v>276.99</v>
      </c>
      <c r="D116" s="1981" t="s">
        <v>2182</v>
      </c>
      <c r="E116" s="1982"/>
      <c r="F116" s="1249" t="s">
        <v>2336</v>
      </c>
    </row>
    <row r="117" spans="1:7" ht="15.75" thickBot="1">
      <c r="A117" s="63"/>
      <c r="B117" s="174" t="s">
        <v>61</v>
      </c>
      <c r="C117" s="64">
        <f>MEDIAN(C114:C116)</f>
        <v>269.89999999999998</v>
      </c>
      <c r="D117" s="1985"/>
      <c r="E117" s="1986"/>
      <c r="F117" s="65"/>
    </row>
    <row r="118" spans="1:7" ht="15.75" thickBot="1">
      <c r="A118" s="94"/>
      <c r="B118" s="94"/>
      <c r="C118" s="94"/>
      <c r="D118" s="94"/>
      <c r="E118" s="94"/>
      <c r="F118" s="94"/>
    </row>
    <row r="119" spans="1:7" ht="25.5">
      <c r="A119" s="226" t="s">
        <v>155</v>
      </c>
      <c r="B119" s="223" t="s">
        <v>1399</v>
      </c>
      <c r="C119" s="232" t="s">
        <v>55</v>
      </c>
      <c r="D119" s="1252"/>
      <c r="E119" s="1253"/>
      <c r="F119" s="1254"/>
    </row>
    <row r="120" spans="1:7">
      <c r="A120" s="1987" t="s">
        <v>1514</v>
      </c>
      <c r="B120" s="1988"/>
      <c r="C120" s="1988"/>
      <c r="D120" s="1988"/>
      <c r="E120" s="1988"/>
      <c r="F120" s="1989"/>
    </row>
    <row r="121" spans="1:7" ht="30">
      <c r="A121" s="34"/>
      <c r="B121" s="35" t="s">
        <v>56</v>
      </c>
      <c r="C121" s="36" t="s">
        <v>49</v>
      </c>
      <c r="D121" s="37" t="s">
        <v>50</v>
      </c>
      <c r="E121" s="46" t="s">
        <v>62</v>
      </c>
      <c r="F121" s="38" t="s">
        <v>52</v>
      </c>
    </row>
    <row r="122" spans="1:7">
      <c r="A122" s="202"/>
      <c r="B122" s="43"/>
      <c r="C122" s="41"/>
      <c r="D122" s="113"/>
      <c r="E122" s="95"/>
      <c r="F122" s="111"/>
    </row>
    <row r="123" spans="1:7">
      <c r="A123" s="202"/>
      <c r="B123" s="40"/>
      <c r="C123" s="41" t="s">
        <v>42</v>
      </c>
      <c r="D123" s="42" t="s">
        <v>42</v>
      </c>
      <c r="E123" s="165" t="s">
        <v>58</v>
      </c>
      <c r="F123" s="38">
        <f>SUM(F122:F122)</f>
        <v>0</v>
      </c>
    </row>
    <row r="124" spans="1:7" ht="30">
      <c r="A124" s="202"/>
      <c r="B124" s="981" t="s">
        <v>95</v>
      </c>
      <c r="C124" s="36" t="s">
        <v>49</v>
      </c>
      <c r="D124" s="37" t="s">
        <v>50</v>
      </c>
      <c r="E124" s="46" t="s">
        <v>62</v>
      </c>
      <c r="F124" s="38" t="s">
        <v>52</v>
      </c>
    </row>
    <row r="125" spans="1:7" ht="25.5">
      <c r="A125" s="1223" t="s">
        <v>65</v>
      </c>
      <c r="B125" s="1224" t="s">
        <v>1595</v>
      </c>
      <c r="C125" s="1000" t="s">
        <v>55</v>
      </c>
      <c r="D125" s="1018">
        <v>1</v>
      </c>
      <c r="E125" s="1260">
        <f>C134</f>
        <v>1820</v>
      </c>
      <c r="F125" s="982">
        <f>TRUNC((D125*E125),2)</f>
        <v>1820</v>
      </c>
    </row>
    <row r="126" spans="1:7" ht="25.5">
      <c r="A126" s="275" t="s">
        <v>527</v>
      </c>
      <c r="B126" s="97" t="s">
        <v>528</v>
      </c>
      <c r="C126" s="41" t="s">
        <v>55</v>
      </c>
      <c r="D126" s="113">
        <v>1</v>
      </c>
      <c r="E126" s="95">
        <f>F111</f>
        <v>410.44</v>
      </c>
      <c r="F126" s="1225">
        <f>TRUNC((D126*E126),2)</f>
        <v>410.44</v>
      </c>
      <c r="G126" s="1261"/>
    </row>
    <row r="127" spans="1:7">
      <c r="A127" s="283"/>
      <c r="B127" s="85"/>
      <c r="C127" s="66"/>
      <c r="D127" s="86"/>
      <c r="E127" s="165" t="s">
        <v>58</v>
      </c>
      <c r="F127" s="30">
        <f>SUM(F125:F126)</f>
        <v>2230.44</v>
      </c>
    </row>
    <row r="128" spans="1:7" ht="15.75" thickBot="1">
      <c r="A128" s="977"/>
      <c r="B128" s="1961" t="s">
        <v>53</v>
      </c>
      <c r="C128" s="1961"/>
      <c r="D128" s="1961"/>
      <c r="E128" s="1961"/>
      <c r="F128" s="983">
        <f>F123+F127</f>
        <v>2230.44</v>
      </c>
    </row>
    <row r="129" spans="1:11">
      <c r="A129" s="88"/>
      <c r="B129" s="1962" t="s">
        <v>96</v>
      </c>
      <c r="C129" s="1963"/>
      <c r="D129" s="1963"/>
      <c r="E129" s="1964"/>
      <c r="F129" s="89"/>
    </row>
    <row r="130" spans="1:11" ht="25.5">
      <c r="A130" s="75" t="s">
        <v>59</v>
      </c>
      <c r="B130" s="46" t="s">
        <v>97</v>
      </c>
      <c r="C130" s="164" t="s">
        <v>98</v>
      </c>
      <c r="D130" s="1965" t="s">
        <v>60</v>
      </c>
      <c r="E130" s="1965"/>
      <c r="F130" s="76" t="s">
        <v>99</v>
      </c>
    </row>
    <row r="131" spans="1:11" ht="41.25" customHeight="1">
      <c r="A131" s="1246">
        <v>44855</v>
      </c>
      <c r="B131" s="1247" t="s">
        <v>1677</v>
      </c>
      <c r="C131" s="1248">
        <f>G131</f>
        <v>1418.78</v>
      </c>
      <c r="D131" s="1981" t="s">
        <v>1676</v>
      </c>
      <c r="E131" s="1982"/>
      <c r="F131" s="1249" t="s">
        <v>2334</v>
      </c>
      <c r="G131" s="1255">
        <f>427.98+262.35+126+111.4+36.28+331.29+90.73+65.5/2</f>
        <v>1418.78</v>
      </c>
      <c r="I131" s="1024" t="s">
        <v>2183</v>
      </c>
      <c r="J131" s="1256" t="s">
        <v>2184</v>
      </c>
      <c r="K131" s="1257"/>
    </row>
    <row r="132" spans="1:11" ht="28.5" customHeight="1">
      <c r="A132" s="1246">
        <v>44852</v>
      </c>
      <c r="B132" s="1247" t="s">
        <v>2042</v>
      </c>
      <c r="C132" s="1248">
        <f>G132</f>
        <v>1820</v>
      </c>
      <c r="D132" s="1981" t="s">
        <v>2043</v>
      </c>
      <c r="E132" s="1982"/>
      <c r="F132" s="1438" t="s">
        <v>2339</v>
      </c>
      <c r="G132" s="1258">
        <f>480+250+80+150+165+35+350+60+250</f>
        <v>1820</v>
      </c>
      <c r="I132" s="1259" t="s">
        <v>2185</v>
      </c>
    </row>
    <row r="133" spans="1:11">
      <c r="A133" s="1246">
        <v>44855</v>
      </c>
      <c r="B133" s="1250" t="s">
        <v>2055</v>
      </c>
      <c r="C133" s="1248">
        <v>2200</v>
      </c>
      <c r="D133" s="1981" t="s">
        <v>2056</v>
      </c>
      <c r="E133" s="1982"/>
      <c r="F133" s="1249" t="s">
        <v>2175</v>
      </c>
    </row>
    <row r="134" spans="1:11" ht="15.75" thickBot="1">
      <c r="A134" s="63"/>
      <c r="B134" s="174" t="s">
        <v>61</v>
      </c>
      <c r="C134" s="64">
        <f>MEDIAN(C131:C133)</f>
        <v>1820</v>
      </c>
      <c r="D134" s="1985"/>
      <c r="E134" s="1986"/>
      <c r="F134" s="65"/>
    </row>
    <row r="135" spans="1:11" ht="15.75" thickBot="1">
      <c r="A135" s="225"/>
      <c r="B135" s="284"/>
      <c r="C135" s="285"/>
      <c r="D135" s="286"/>
      <c r="E135" s="286"/>
      <c r="F135" s="287"/>
    </row>
    <row r="136" spans="1:11" ht="15.75" thickBot="1">
      <c r="A136" s="70" t="s">
        <v>529</v>
      </c>
      <c r="B136" s="995" t="s">
        <v>1401</v>
      </c>
      <c r="C136" s="82" t="s">
        <v>46</v>
      </c>
      <c r="D136" s="996"/>
      <c r="E136" s="997"/>
      <c r="F136" s="998"/>
    </row>
    <row r="137" spans="1:11">
      <c r="A137" s="1992" t="s">
        <v>1684</v>
      </c>
      <c r="B137" s="1993"/>
      <c r="C137" s="1993"/>
      <c r="D137" s="1993"/>
      <c r="E137" s="1993"/>
      <c r="F137" s="1994"/>
    </row>
    <row r="138" spans="1:11" ht="30">
      <c r="A138" s="34"/>
      <c r="B138" s="35" t="s">
        <v>56</v>
      </c>
      <c r="C138" s="36" t="s">
        <v>49</v>
      </c>
      <c r="D138" s="37" t="s">
        <v>50</v>
      </c>
      <c r="E138" s="46" t="s">
        <v>62</v>
      </c>
      <c r="F138" s="38" t="s">
        <v>52</v>
      </c>
    </row>
    <row r="139" spans="1:11">
      <c r="A139" s="202">
        <v>88315</v>
      </c>
      <c r="B139" s="97" t="s">
        <v>1330</v>
      </c>
      <c r="C139" s="41" t="s">
        <v>57</v>
      </c>
      <c r="D139" s="112">
        <v>0.97740000000000005</v>
      </c>
      <c r="E139" s="1248">
        <v>24.44</v>
      </c>
      <c r="F139" s="982">
        <f>TRUNC((D139*E139),2)</f>
        <v>23.88</v>
      </c>
    </row>
    <row r="140" spans="1:11">
      <c r="A140" s="202">
        <v>88316</v>
      </c>
      <c r="B140" s="97" t="s">
        <v>66</v>
      </c>
      <c r="C140" s="41" t="s">
        <v>57</v>
      </c>
      <c r="D140" s="112">
        <v>0.97740000000000005</v>
      </c>
      <c r="E140" s="1248">
        <v>19.45</v>
      </c>
      <c r="F140" s="982">
        <f>TRUNC((D140*E140),2)</f>
        <v>19.010000000000002</v>
      </c>
    </row>
    <row r="141" spans="1:11">
      <c r="A141" s="202"/>
      <c r="B141" s="40"/>
      <c r="C141" s="41" t="s">
        <v>42</v>
      </c>
      <c r="D141" s="42" t="s">
        <v>42</v>
      </c>
      <c r="E141" s="165" t="s">
        <v>58</v>
      </c>
      <c r="F141" s="984">
        <f>SUM(F139:F140)</f>
        <v>42.89</v>
      </c>
    </row>
    <row r="142" spans="1:11" ht="30">
      <c r="A142" s="202"/>
      <c r="B142" s="981" t="s">
        <v>95</v>
      </c>
      <c r="C142" s="36" t="s">
        <v>49</v>
      </c>
      <c r="D142" s="37" t="s">
        <v>50</v>
      </c>
      <c r="E142" s="46" t="s">
        <v>62</v>
      </c>
      <c r="F142" s="38" t="s">
        <v>52</v>
      </c>
    </row>
    <row r="143" spans="1:11" ht="25.5">
      <c r="A143" s="275" t="s">
        <v>65</v>
      </c>
      <c r="B143" s="282" t="s">
        <v>531</v>
      </c>
      <c r="C143" s="185" t="s">
        <v>46</v>
      </c>
      <c r="D143" s="113">
        <v>1.02</v>
      </c>
      <c r="E143" s="110">
        <v>1044.33</v>
      </c>
      <c r="F143" s="982">
        <f>TRUNC((D143*E143),2)</f>
        <v>1065.21</v>
      </c>
    </row>
    <row r="144" spans="1:11" ht="38.25">
      <c r="A144" s="1125">
        <v>94962</v>
      </c>
      <c r="B144" s="97" t="s">
        <v>1685</v>
      </c>
      <c r="C144" s="185" t="s">
        <v>47</v>
      </c>
      <c r="D144" s="112">
        <v>4.4999999999999997E-3</v>
      </c>
      <c r="E144" s="1278">
        <v>438.71</v>
      </c>
      <c r="F144" s="982">
        <f>TRUNC((D144*E144),2)</f>
        <v>1.97</v>
      </c>
    </row>
    <row r="145" spans="1:8">
      <c r="A145" s="283"/>
      <c r="B145" s="85"/>
      <c r="C145" s="66"/>
      <c r="D145" s="86"/>
      <c r="E145" s="165" t="s">
        <v>58</v>
      </c>
      <c r="F145" s="38">
        <f>SUM(F143:F144)</f>
        <v>1067.18</v>
      </c>
    </row>
    <row r="146" spans="1:8" ht="15.75" thickBot="1">
      <c r="A146" s="977"/>
      <c r="B146" s="1961" t="s">
        <v>53</v>
      </c>
      <c r="C146" s="1961"/>
      <c r="D146" s="1961"/>
      <c r="E146" s="1961"/>
      <c r="F146" s="983">
        <f>F141+F145</f>
        <v>1110.0700000000002</v>
      </c>
    </row>
    <row r="147" spans="1:8" ht="31.5" customHeight="1" thickBot="1">
      <c r="A147" s="993"/>
      <c r="B147" s="1213" t="s">
        <v>2168</v>
      </c>
      <c r="C147" s="1990" t="s">
        <v>2189</v>
      </c>
      <c r="D147" s="1991"/>
      <c r="E147" s="1991"/>
      <c r="F147" s="999" t="s">
        <v>2188</v>
      </c>
      <c r="H147" s="625" t="s">
        <v>2049</v>
      </c>
    </row>
    <row r="148" spans="1:8">
      <c r="A148" s="88"/>
      <c r="B148" s="1962" t="s">
        <v>96</v>
      </c>
      <c r="C148" s="1963"/>
      <c r="D148" s="1963"/>
      <c r="E148" s="1964"/>
      <c r="F148" s="89"/>
    </row>
    <row r="149" spans="1:8" ht="25.5">
      <c r="A149" s="75" t="s">
        <v>59</v>
      </c>
      <c r="B149" s="46" t="s">
        <v>97</v>
      </c>
      <c r="C149" s="164" t="s">
        <v>98</v>
      </c>
      <c r="D149" s="1965" t="s">
        <v>60</v>
      </c>
      <c r="E149" s="1965"/>
      <c r="F149" s="76" t="s">
        <v>99</v>
      </c>
    </row>
    <row r="150" spans="1:8" ht="25.5">
      <c r="A150" s="1246">
        <v>44855</v>
      </c>
      <c r="B150" s="1247" t="s">
        <v>2044</v>
      </c>
      <c r="C150" s="1248">
        <v>5300</v>
      </c>
      <c r="D150" s="1981" t="s">
        <v>2048</v>
      </c>
      <c r="E150" s="1982"/>
      <c r="F150" s="1249" t="s">
        <v>2340</v>
      </c>
    </row>
    <row r="151" spans="1:8">
      <c r="A151" s="1246">
        <v>44841</v>
      </c>
      <c r="B151" s="1247" t="s">
        <v>2186</v>
      </c>
      <c r="C151" s="1248">
        <v>6800</v>
      </c>
      <c r="D151" s="1981" t="s">
        <v>2187</v>
      </c>
      <c r="E151" s="1982"/>
      <c r="F151" s="1249" t="s">
        <v>2341</v>
      </c>
      <c r="H151" s="625"/>
    </row>
    <row r="152" spans="1:8" ht="38.25">
      <c r="A152" s="1246">
        <v>44852</v>
      </c>
      <c r="B152" s="1250" t="s">
        <v>2052</v>
      </c>
      <c r="C152" s="1248">
        <v>2688</v>
      </c>
      <c r="D152" s="1981" t="s">
        <v>2053</v>
      </c>
      <c r="E152" s="1982"/>
      <c r="F152" s="1262" t="s">
        <v>2342</v>
      </c>
    </row>
    <row r="153" spans="1:8" ht="15.75" thickBot="1">
      <c r="A153" s="63"/>
      <c r="B153" s="174" t="s">
        <v>61</v>
      </c>
      <c r="C153" s="64">
        <f>MEDIAN(C150:C152)</f>
        <v>5300</v>
      </c>
      <c r="D153" s="1985"/>
      <c r="E153" s="1986"/>
      <c r="F153" s="65"/>
    </row>
    <row r="154" spans="1:8" ht="15.75" thickBot="1">
      <c r="A154" s="288"/>
      <c r="B154" s="289"/>
      <c r="C154" s="290"/>
      <c r="D154" s="291"/>
      <c r="E154" s="292"/>
      <c r="F154" s="291"/>
    </row>
    <row r="155" spans="1:8" ht="26.25" thickBot="1">
      <c r="A155" s="994" t="s">
        <v>532</v>
      </c>
      <c r="B155" s="223" t="s">
        <v>2046</v>
      </c>
      <c r="C155" s="71" t="s">
        <v>55</v>
      </c>
      <c r="D155" s="72"/>
      <c r="E155" s="73"/>
      <c r="F155" s="74"/>
    </row>
    <row r="156" spans="1:8" ht="15.75" thickBot="1">
      <c r="A156" s="1995" t="s">
        <v>530</v>
      </c>
      <c r="B156" s="1996"/>
      <c r="C156" s="1996"/>
      <c r="D156" s="1996"/>
      <c r="E156" s="1996"/>
      <c r="F156" s="1997"/>
    </row>
    <row r="157" spans="1:8" ht="30">
      <c r="A157" s="1226"/>
      <c r="B157" s="1019" t="s">
        <v>56</v>
      </c>
      <c r="C157" s="1014" t="s">
        <v>49</v>
      </c>
      <c r="D157" s="1015" t="s">
        <v>50</v>
      </c>
      <c r="E157" s="1016" t="s">
        <v>62</v>
      </c>
      <c r="F157" s="1020" t="s">
        <v>52</v>
      </c>
    </row>
    <row r="158" spans="1:8">
      <c r="A158" s="202"/>
      <c r="B158" s="942"/>
      <c r="C158" s="41"/>
      <c r="D158" s="113"/>
      <c r="E158" s="95"/>
      <c r="F158" s="111"/>
    </row>
    <row r="159" spans="1:8">
      <c r="A159" s="202"/>
      <c r="B159" s="40"/>
      <c r="C159" s="41" t="s">
        <v>42</v>
      </c>
      <c r="D159" s="42" t="s">
        <v>42</v>
      </c>
      <c r="E159" s="165" t="s">
        <v>58</v>
      </c>
      <c r="F159" s="984">
        <f>SUM(F158:F158)</f>
        <v>0</v>
      </c>
    </row>
    <row r="160" spans="1:8" ht="30">
      <c r="A160" s="202"/>
      <c r="B160" s="981" t="s">
        <v>95</v>
      </c>
      <c r="C160" s="36" t="s">
        <v>49</v>
      </c>
      <c r="D160" s="37" t="s">
        <v>50</v>
      </c>
      <c r="E160" s="46" t="s">
        <v>62</v>
      </c>
      <c r="F160" s="38" t="s">
        <v>52</v>
      </c>
    </row>
    <row r="161" spans="1:6" ht="25.5">
      <c r="A161" s="275" t="s">
        <v>65</v>
      </c>
      <c r="B161" s="282" t="s">
        <v>2047</v>
      </c>
      <c r="C161" s="41" t="s">
        <v>55</v>
      </c>
      <c r="D161" s="113">
        <v>1</v>
      </c>
      <c r="E161" s="110">
        <f>C169</f>
        <v>3594</v>
      </c>
      <c r="F161" s="982">
        <f>TRUNC((D161*E161),2)</f>
        <v>3594</v>
      </c>
    </row>
    <row r="162" spans="1:6">
      <c r="A162" s="283"/>
      <c r="B162" s="85"/>
      <c r="C162" s="66"/>
      <c r="D162" s="86"/>
      <c r="E162" s="165" t="s">
        <v>58</v>
      </c>
      <c r="F162" s="38">
        <f>SUM(F161:F161)</f>
        <v>3594</v>
      </c>
    </row>
    <row r="163" spans="1:6" ht="15.75" thickBot="1">
      <c r="A163" s="977"/>
      <c r="B163" s="1961" t="s">
        <v>53</v>
      </c>
      <c r="C163" s="1961"/>
      <c r="D163" s="1961"/>
      <c r="E163" s="1961"/>
      <c r="F163" s="983">
        <f>F159+F162</f>
        <v>3594</v>
      </c>
    </row>
    <row r="164" spans="1:6">
      <c r="A164" s="88"/>
      <c r="B164" s="1962" t="s">
        <v>96</v>
      </c>
      <c r="C164" s="1963"/>
      <c r="D164" s="1963"/>
      <c r="E164" s="1964"/>
      <c r="F164" s="89"/>
    </row>
    <row r="165" spans="1:6" ht="25.5">
      <c r="A165" s="75" t="s">
        <v>59</v>
      </c>
      <c r="B165" s="46" t="s">
        <v>97</v>
      </c>
      <c r="C165" s="164" t="s">
        <v>98</v>
      </c>
      <c r="D165" s="1965" t="s">
        <v>60</v>
      </c>
      <c r="E165" s="1965"/>
      <c r="F165" s="76" t="s">
        <v>99</v>
      </c>
    </row>
    <row r="166" spans="1:6" ht="25.5">
      <c r="A166" s="1246">
        <v>44855</v>
      </c>
      <c r="B166" s="1247" t="s">
        <v>2044</v>
      </c>
      <c r="C166" s="1263">
        <v>2900</v>
      </c>
      <c r="D166" s="1981" t="s">
        <v>2048</v>
      </c>
      <c r="E166" s="1982"/>
      <c r="F166" s="1249" t="s">
        <v>2340</v>
      </c>
    </row>
    <row r="167" spans="1:6">
      <c r="A167" s="1246">
        <v>44841</v>
      </c>
      <c r="B167" s="1247" t="s">
        <v>2186</v>
      </c>
      <c r="C167" s="1248">
        <v>9700</v>
      </c>
      <c r="D167" s="1981" t="s">
        <v>2187</v>
      </c>
      <c r="E167" s="1982"/>
      <c r="F167" s="1249" t="s">
        <v>2341</v>
      </c>
    </row>
    <row r="168" spans="1:6" ht="38.25">
      <c r="A168" s="1246">
        <v>44852</v>
      </c>
      <c r="B168" s="1250" t="s">
        <v>2052</v>
      </c>
      <c r="C168" s="1248">
        <v>3594</v>
      </c>
      <c r="D168" s="1981" t="s">
        <v>2053</v>
      </c>
      <c r="E168" s="1982"/>
      <c r="F168" s="1262" t="s">
        <v>2342</v>
      </c>
    </row>
    <row r="169" spans="1:6" ht="15.75" thickBot="1">
      <c r="A169" s="63"/>
      <c r="B169" s="174" t="s">
        <v>61</v>
      </c>
      <c r="C169" s="64">
        <f>MEDIAN(C166:C168)</f>
        <v>3594</v>
      </c>
      <c r="D169" s="1985"/>
      <c r="E169" s="1986"/>
      <c r="F169" s="65"/>
    </row>
    <row r="170" spans="1:6" ht="15.75" thickBot="1">
      <c r="A170" s="288"/>
      <c r="B170" s="289"/>
      <c r="C170" s="290"/>
      <c r="D170" s="291"/>
      <c r="E170" s="292"/>
      <c r="F170" s="291"/>
    </row>
    <row r="171" spans="1:6" ht="25.5">
      <c r="A171" s="70" t="s">
        <v>104</v>
      </c>
      <c r="B171" s="223" t="s">
        <v>1402</v>
      </c>
      <c r="C171" s="71" t="s">
        <v>55</v>
      </c>
      <c r="D171" s="72"/>
      <c r="E171" s="73"/>
      <c r="F171" s="74"/>
    </row>
    <row r="172" spans="1:6">
      <c r="A172" s="1957" t="s">
        <v>530</v>
      </c>
      <c r="B172" s="1958"/>
      <c r="C172" s="1958"/>
      <c r="D172" s="1958"/>
      <c r="E172" s="1958"/>
      <c r="F172" s="1959"/>
    </row>
    <row r="173" spans="1:6" ht="30">
      <c r="A173" s="34"/>
      <c r="B173" s="35" t="s">
        <v>56</v>
      </c>
      <c r="C173" s="36" t="s">
        <v>49</v>
      </c>
      <c r="D173" s="37" t="s">
        <v>50</v>
      </c>
      <c r="E173" s="46" t="s">
        <v>62</v>
      </c>
      <c r="F173" s="38" t="s">
        <v>52</v>
      </c>
    </row>
    <row r="174" spans="1:6">
      <c r="A174" s="202"/>
      <c r="B174" s="942"/>
      <c r="C174" s="41"/>
      <c r="D174" s="113"/>
      <c r="E174" s="95"/>
      <c r="F174" s="111"/>
    </row>
    <row r="175" spans="1:6">
      <c r="A175" s="202"/>
      <c r="B175" s="40"/>
      <c r="C175" s="41" t="s">
        <v>42</v>
      </c>
      <c r="D175" s="42" t="s">
        <v>42</v>
      </c>
      <c r="E175" s="241" t="s">
        <v>58</v>
      </c>
      <c r="F175" s="1154">
        <f>SUM(F174:F174)</f>
        <v>0</v>
      </c>
    </row>
    <row r="176" spans="1:6" ht="30">
      <c r="A176" s="202"/>
      <c r="B176" s="981" t="s">
        <v>95</v>
      </c>
      <c r="C176" s="36" t="s">
        <v>49</v>
      </c>
      <c r="D176" s="37" t="s">
        <v>50</v>
      </c>
      <c r="E176" s="46" t="s">
        <v>62</v>
      </c>
      <c r="F176" s="38" t="s">
        <v>52</v>
      </c>
    </row>
    <row r="177" spans="1:6" ht="24" customHeight="1">
      <c r="A177" s="275" t="s">
        <v>65</v>
      </c>
      <c r="B177" s="960" t="s">
        <v>2045</v>
      </c>
      <c r="C177" s="41" t="s">
        <v>55</v>
      </c>
      <c r="D177" s="113">
        <v>1</v>
      </c>
      <c r="E177" s="504">
        <f>C186</f>
        <v>7800</v>
      </c>
      <c r="F177" s="1264">
        <f>TRUNC((D177*E177),2)</f>
        <v>7800</v>
      </c>
    </row>
    <row r="178" spans="1:6" ht="38.25">
      <c r="A178" s="275" t="s">
        <v>106</v>
      </c>
      <c r="B178" s="282" t="s">
        <v>1416</v>
      </c>
      <c r="C178" s="41" t="s">
        <v>55</v>
      </c>
      <c r="D178" s="113">
        <v>1</v>
      </c>
      <c r="E178" s="110">
        <v>1014</v>
      </c>
      <c r="F178" s="982">
        <f>TRUNC((D178*E178),2)</f>
        <v>1014</v>
      </c>
    </row>
    <row r="179" spans="1:6">
      <c r="A179" s="283"/>
      <c r="B179" s="85"/>
      <c r="C179" s="66"/>
      <c r="D179" s="86"/>
      <c r="E179" s="241" t="s">
        <v>58</v>
      </c>
      <c r="F179" s="596">
        <f>SUM(F177:F178)</f>
        <v>8814</v>
      </c>
    </row>
    <row r="180" spans="1:6" ht="15.75" thickBot="1">
      <c r="A180" s="977"/>
      <c r="B180" s="1961" t="s">
        <v>53</v>
      </c>
      <c r="C180" s="1961"/>
      <c r="D180" s="1961"/>
      <c r="E180" s="1961"/>
      <c r="F180" s="983">
        <f>F175+F179</f>
        <v>8814</v>
      </c>
    </row>
    <row r="181" spans="1:6">
      <c r="A181" s="88"/>
      <c r="B181" s="1962" t="s">
        <v>96</v>
      </c>
      <c r="C181" s="1963"/>
      <c r="D181" s="1963"/>
      <c r="E181" s="1964"/>
      <c r="F181" s="89"/>
    </row>
    <row r="182" spans="1:6" ht="25.5">
      <c r="A182" s="75" t="s">
        <v>59</v>
      </c>
      <c r="B182" s="46" t="s">
        <v>97</v>
      </c>
      <c r="C182" s="164" t="s">
        <v>98</v>
      </c>
      <c r="D182" s="1965" t="s">
        <v>60</v>
      </c>
      <c r="E182" s="1965"/>
      <c r="F182" s="76" t="s">
        <v>99</v>
      </c>
    </row>
    <row r="183" spans="1:6" ht="25.5">
      <c r="A183" s="1246">
        <v>44855</v>
      </c>
      <c r="B183" s="1247" t="s">
        <v>2044</v>
      </c>
      <c r="C183" s="1248">
        <v>7800</v>
      </c>
      <c r="D183" s="1981" t="s">
        <v>2048</v>
      </c>
      <c r="E183" s="1982"/>
      <c r="F183" s="1249" t="s">
        <v>2340</v>
      </c>
    </row>
    <row r="184" spans="1:6">
      <c r="A184" s="1246">
        <v>44841</v>
      </c>
      <c r="B184" s="1247" t="s">
        <v>2186</v>
      </c>
      <c r="C184" s="1248">
        <v>3200</v>
      </c>
      <c r="D184" s="1981" t="s">
        <v>2187</v>
      </c>
      <c r="E184" s="1982"/>
      <c r="F184" s="1249" t="s">
        <v>2341</v>
      </c>
    </row>
    <row r="185" spans="1:6" ht="38.25">
      <c r="A185" s="1246">
        <v>44852</v>
      </c>
      <c r="B185" s="1250" t="s">
        <v>2052</v>
      </c>
      <c r="C185" s="1248">
        <v>7872</v>
      </c>
      <c r="D185" s="1981" t="s">
        <v>2053</v>
      </c>
      <c r="E185" s="1982"/>
      <c r="F185" s="1262" t="s">
        <v>2342</v>
      </c>
    </row>
    <row r="186" spans="1:6" ht="15.75" thickBot="1">
      <c r="A186" s="63"/>
      <c r="B186" s="174" t="s">
        <v>61</v>
      </c>
      <c r="C186" s="64">
        <f>MEDIAN(C183:C185)</f>
        <v>7800</v>
      </c>
      <c r="D186" s="1985"/>
      <c r="E186" s="1986"/>
      <c r="F186" s="65"/>
    </row>
    <row r="187" spans="1:6" ht="15.75" thickBot="1">
      <c r="A187" s="288"/>
      <c r="B187" s="289"/>
      <c r="C187" s="290"/>
      <c r="D187" s="291"/>
      <c r="E187" s="292"/>
      <c r="F187" s="291"/>
    </row>
    <row r="188" spans="1:6" ht="25.5">
      <c r="A188" s="70" t="s">
        <v>105</v>
      </c>
      <c r="B188" s="223" t="s">
        <v>1419</v>
      </c>
      <c r="C188" s="71" t="s">
        <v>55</v>
      </c>
      <c r="D188" s="72"/>
      <c r="E188" s="73"/>
      <c r="F188" s="74"/>
    </row>
    <row r="189" spans="1:6">
      <c r="A189" s="1957" t="s">
        <v>530</v>
      </c>
      <c r="B189" s="1958"/>
      <c r="C189" s="1958"/>
      <c r="D189" s="1958"/>
      <c r="E189" s="1958"/>
      <c r="F189" s="1959"/>
    </row>
    <row r="190" spans="1:6" ht="30">
      <c r="A190" s="34"/>
      <c r="B190" s="35" t="s">
        <v>56</v>
      </c>
      <c r="C190" s="36" t="s">
        <v>49</v>
      </c>
      <c r="D190" s="37" t="s">
        <v>50</v>
      </c>
      <c r="E190" s="46" t="s">
        <v>62</v>
      </c>
      <c r="F190" s="38" t="s">
        <v>52</v>
      </c>
    </row>
    <row r="191" spans="1:6">
      <c r="A191" s="202"/>
      <c r="B191" s="942"/>
      <c r="C191" s="41"/>
      <c r="D191" s="113"/>
      <c r="E191" s="95"/>
      <c r="F191" s="111"/>
    </row>
    <row r="192" spans="1:6">
      <c r="A192" s="202"/>
      <c r="B192" s="40"/>
      <c r="C192" s="41" t="s">
        <v>42</v>
      </c>
      <c r="D192" s="42" t="s">
        <v>42</v>
      </c>
      <c r="E192" s="165" t="s">
        <v>58</v>
      </c>
      <c r="F192" s="984">
        <f>SUM(F191:F191)</f>
        <v>0</v>
      </c>
    </row>
    <row r="193" spans="1:6" ht="30">
      <c r="A193" s="202"/>
      <c r="B193" s="981" t="s">
        <v>95</v>
      </c>
      <c r="C193" s="36" t="s">
        <v>49</v>
      </c>
      <c r="D193" s="37" t="s">
        <v>50</v>
      </c>
      <c r="E193" s="46" t="s">
        <v>62</v>
      </c>
      <c r="F193" s="38" t="s">
        <v>52</v>
      </c>
    </row>
    <row r="194" spans="1:6" ht="38.25">
      <c r="A194" s="275" t="s">
        <v>65</v>
      </c>
      <c r="B194" s="282" t="s">
        <v>1417</v>
      </c>
      <c r="C194" s="41" t="s">
        <v>55</v>
      </c>
      <c r="D194" s="113">
        <v>1</v>
      </c>
      <c r="E194" s="110">
        <f>C202</f>
        <v>1014</v>
      </c>
      <c r="F194" s="982">
        <f>TRUNC((D194*E194),2)</f>
        <v>1014</v>
      </c>
    </row>
    <row r="195" spans="1:6">
      <c r="A195" s="283"/>
      <c r="B195" s="85"/>
      <c r="C195" s="66"/>
      <c r="D195" s="86"/>
      <c r="E195" s="165" t="s">
        <v>58</v>
      </c>
      <c r="F195" s="38">
        <f>SUM(F194:F194)</f>
        <v>1014</v>
      </c>
    </row>
    <row r="196" spans="1:6" ht="15.75" thickBot="1">
      <c r="A196" s="977"/>
      <c r="B196" s="1961" t="s">
        <v>53</v>
      </c>
      <c r="C196" s="1961"/>
      <c r="D196" s="1961"/>
      <c r="E196" s="1961"/>
      <c r="F196" s="983">
        <f>F192+F195</f>
        <v>1014</v>
      </c>
    </row>
    <row r="197" spans="1:6" ht="15.75" thickBot="1">
      <c r="A197" s="977"/>
      <c r="B197" s="1998" t="s">
        <v>96</v>
      </c>
      <c r="C197" s="1999"/>
      <c r="D197" s="1999"/>
      <c r="E197" s="2000"/>
      <c r="F197" s="983"/>
    </row>
    <row r="198" spans="1:6" ht="25.5">
      <c r="A198" s="1201" t="s">
        <v>59</v>
      </c>
      <c r="B198" s="1016" t="s">
        <v>97</v>
      </c>
      <c r="C198" s="1202" t="s">
        <v>98</v>
      </c>
      <c r="D198" s="2001" t="s">
        <v>60</v>
      </c>
      <c r="E198" s="2001"/>
      <c r="F198" s="1203" t="s">
        <v>99</v>
      </c>
    </row>
    <row r="199" spans="1:6" ht="25.5">
      <c r="A199" s="1246">
        <v>44852</v>
      </c>
      <c r="B199" s="1247" t="s">
        <v>1592</v>
      </c>
      <c r="C199" s="1248">
        <v>945</v>
      </c>
      <c r="D199" s="1981" t="s">
        <v>1591</v>
      </c>
      <c r="E199" s="1982"/>
      <c r="F199" s="1249" t="s">
        <v>2343</v>
      </c>
    </row>
    <row r="200" spans="1:6" ht="25.5">
      <c r="A200" s="1246">
        <v>44864</v>
      </c>
      <c r="B200" s="1247" t="s">
        <v>1593</v>
      </c>
      <c r="C200" s="1248">
        <v>1141.3599999999999</v>
      </c>
      <c r="D200" s="1981" t="s">
        <v>1594</v>
      </c>
      <c r="E200" s="1982"/>
      <c r="F200" s="1249" t="s">
        <v>2344</v>
      </c>
    </row>
    <row r="201" spans="1:6" ht="38.25">
      <c r="A201" s="1246">
        <v>44854</v>
      </c>
      <c r="B201" s="1250" t="s">
        <v>2190</v>
      </c>
      <c r="C201" s="1248">
        <v>1014</v>
      </c>
      <c r="D201" s="1981" t="s">
        <v>2191</v>
      </c>
      <c r="E201" s="1982"/>
      <c r="F201" s="1249" t="s">
        <v>2345</v>
      </c>
    </row>
    <row r="202" spans="1:6" ht="15.75" thickBot="1">
      <c r="A202" s="63"/>
      <c r="B202" s="174" t="s">
        <v>61</v>
      </c>
      <c r="C202" s="64">
        <f>MEDIAN(C199:C201)</f>
        <v>1014</v>
      </c>
      <c r="D202" s="1985"/>
      <c r="E202" s="1986"/>
      <c r="F202" s="65"/>
    </row>
    <row r="203" spans="1:6" ht="15.75" thickBot="1">
      <c r="A203" s="288"/>
      <c r="B203" s="289"/>
      <c r="C203" s="290"/>
      <c r="D203" s="291"/>
      <c r="E203" s="292"/>
      <c r="F203" s="291"/>
    </row>
    <row r="204" spans="1:6" ht="25.5">
      <c r="A204" s="70" t="s">
        <v>106</v>
      </c>
      <c r="B204" s="224" t="s">
        <v>1420</v>
      </c>
      <c r="C204" s="71" t="s">
        <v>55</v>
      </c>
      <c r="D204" s="72"/>
      <c r="E204" s="73"/>
      <c r="F204" s="74"/>
    </row>
    <row r="205" spans="1:6">
      <c r="A205" s="1957" t="s">
        <v>530</v>
      </c>
      <c r="B205" s="1958"/>
      <c r="C205" s="1958"/>
      <c r="D205" s="1958"/>
      <c r="E205" s="1958"/>
      <c r="F205" s="1959"/>
    </row>
    <row r="206" spans="1:6" ht="30">
      <c r="A206" s="34"/>
      <c r="B206" s="35" t="s">
        <v>56</v>
      </c>
      <c r="C206" s="36" t="s">
        <v>49</v>
      </c>
      <c r="D206" s="37" t="s">
        <v>50</v>
      </c>
      <c r="E206" s="46" t="s">
        <v>62</v>
      </c>
      <c r="F206" s="38" t="s">
        <v>52</v>
      </c>
    </row>
    <row r="207" spans="1:6">
      <c r="A207" s="202"/>
      <c r="B207" s="942"/>
      <c r="C207" s="41"/>
      <c r="D207" s="113"/>
      <c r="E207" s="95"/>
      <c r="F207" s="111"/>
    </row>
    <row r="208" spans="1:6">
      <c r="A208" s="202"/>
      <c r="B208" s="40"/>
      <c r="C208" s="41" t="s">
        <v>42</v>
      </c>
      <c r="D208" s="42" t="s">
        <v>42</v>
      </c>
      <c r="E208" s="165" t="s">
        <v>58</v>
      </c>
      <c r="F208" s="984">
        <f>SUM(F207:F207)</f>
        <v>0</v>
      </c>
    </row>
    <row r="209" spans="1:6" ht="30">
      <c r="A209" s="202"/>
      <c r="B209" s="981" t="s">
        <v>95</v>
      </c>
      <c r="C209" s="36" t="s">
        <v>49</v>
      </c>
      <c r="D209" s="37" t="s">
        <v>50</v>
      </c>
      <c r="E209" s="46" t="s">
        <v>62</v>
      </c>
      <c r="F209" s="38" t="s">
        <v>52</v>
      </c>
    </row>
    <row r="210" spans="1:6" ht="25.5">
      <c r="A210" s="275" t="s">
        <v>65</v>
      </c>
      <c r="B210" s="282" t="s">
        <v>1420</v>
      </c>
      <c r="C210" s="41" t="s">
        <v>55</v>
      </c>
      <c r="D210" s="113">
        <v>1</v>
      </c>
      <c r="E210" s="110">
        <f>C218</f>
        <v>3840</v>
      </c>
      <c r="F210" s="982">
        <f>TRUNC((D210*E210),2)</f>
        <v>3840</v>
      </c>
    </row>
    <row r="211" spans="1:6">
      <c r="A211" s="283"/>
      <c r="B211" s="85"/>
      <c r="C211" s="66"/>
      <c r="D211" s="86"/>
      <c r="E211" s="165" t="s">
        <v>58</v>
      </c>
      <c r="F211" s="38">
        <f>SUM(F210:F210)</f>
        <v>3840</v>
      </c>
    </row>
    <row r="212" spans="1:6" ht="15.75" thickBot="1">
      <c r="A212" s="977"/>
      <c r="B212" s="1961" t="s">
        <v>53</v>
      </c>
      <c r="C212" s="1961"/>
      <c r="D212" s="1961"/>
      <c r="E212" s="1961"/>
      <c r="F212" s="983">
        <f>F208+F211</f>
        <v>3840</v>
      </c>
    </row>
    <row r="213" spans="1:6">
      <c r="A213" s="88"/>
      <c r="B213" s="1962" t="s">
        <v>96</v>
      </c>
      <c r="C213" s="1963"/>
      <c r="D213" s="1963"/>
      <c r="E213" s="1964"/>
      <c r="F213" s="89"/>
    </row>
    <row r="214" spans="1:6" ht="25.5">
      <c r="A214" s="75" t="s">
        <v>59</v>
      </c>
      <c r="B214" s="46" t="s">
        <v>97</v>
      </c>
      <c r="C214" s="164" t="s">
        <v>98</v>
      </c>
      <c r="D214" s="1965" t="s">
        <v>60</v>
      </c>
      <c r="E214" s="1965"/>
      <c r="F214" s="76" t="s">
        <v>99</v>
      </c>
    </row>
    <row r="215" spans="1:6" ht="25.5">
      <c r="A215" s="1246">
        <v>44855</v>
      </c>
      <c r="B215" s="1247" t="s">
        <v>2044</v>
      </c>
      <c r="C215" s="1248">
        <v>2000</v>
      </c>
      <c r="D215" s="1981" t="s">
        <v>2048</v>
      </c>
      <c r="E215" s="1982"/>
      <c r="F215" s="1249" t="s">
        <v>2340</v>
      </c>
    </row>
    <row r="216" spans="1:6">
      <c r="A216" s="1246">
        <v>44841</v>
      </c>
      <c r="B216" s="1247" t="s">
        <v>2186</v>
      </c>
      <c r="C216" s="1265">
        <v>4000</v>
      </c>
      <c r="D216" s="1981" t="s">
        <v>2187</v>
      </c>
      <c r="E216" s="1982"/>
      <c r="F216" s="1249" t="s">
        <v>2341</v>
      </c>
    </row>
    <row r="217" spans="1:6" ht="38.25">
      <c r="A217" s="1246">
        <v>44852</v>
      </c>
      <c r="B217" s="1250" t="s">
        <v>2052</v>
      </c>
      <c r="C217" s="1248">
        <v>3840</v>
      </c>
      <c r="D217" s="1981" t="s">
        <v>2053</v>
      </c>
      <c r="E217" s="1982"/>
      <c r="F217" s="1262" t="s">
        <v>2342</v>
      </c>
    </row>
    <row r="218" spans="1:6" ht="15.75" thickBot="1">
      <c r="A218" s="63"/>
      <c r="B218" s="174" t="s">
        <v>61</v>
      </c>
      <c r="C218" s="64">
        <f>MEDIAN(C215:C217)</f>
        <v>3840</v>
      </c>
      <c r="D218" s="1985"/>
      <c r="E218" s="1986"/>
      <c r="F218" s="65"/>
    </row>
    <row r="219" spans="1:6" ht="15.75" thickBot="1">
      <c r="A219" s="456"/>
      <c r="B219" s="1214"/>
      <c r="C219" s="455"/>
      <c r="D219" s="94"/>
      <c r="E219" s="94"/>
      <c r="F219" s="168"/>
    </row>
    <row r="220" spans="1:6" ht="25.5">
      <c r="A220" s="70" t="s">
        <v>2120</v>
      </c>
      <c r="B220" s="224" t="s">
        <v>1424</v>
      </c>
      <c r="C220" s="71" t="s">
        <v>46</v>
      </c>
      <c r="D220" s="72"/>
      <c r="E220" s="73"/>
      <c r="F220" s="122"/>
    </row>
    <row r="221" spans="1:6">
      <c r="A221" s="1957" t="s">
        <v>2163</v>
      </c>
      <c r="B221" s="1958"/>
      <c r="C221" s="1958"/>
      <c r="D221" s="1958"/>
      <c r="E221" s="1958"/>
      <c r="F221" s="1959"/>
    </row>
    <row r="222" spans="1:6" ht="30">
      <c r="A222" s="931"/>
      <c r="B222" s="941" t="s">
        <v>56</v>
      </c>
      <c r="C222" s="36" t="s">
        <v>49</v>
      </c>
      <c r="D222" s="37" t="s">
        <v>50</v>
      </c>
      <c r="E222" s="46" t="s">
        <v>62</v>
      </c>
      <c r="F222" s="932" t="s">
        <v>52</v>
      </c>
    </row>
    <row r="223" spans="1:6">
      <c r="A223" s="933">
        <v>88316</v>
      </c>
      <c r="B223" s="942" t="s">
        <v>66</v>
      </c>
      <c r="C223" s="41" t="s">
        <v>57</v>
      </c>
      <c r="D223" s="110">
        <v>0.75</v>
      </c>
      <c r="E223" s="1248">
        <v>19.45</v>
      </c>
      <c r="F223" s="934">
        <f>TRUNC((D223*E223),2)</f>
        <v>14.58</v>
      </c>
    </row>
    <row r="224" spans="1:6">
      <c r="A224" s="964"/>
      <c r="B224" s="936"/>
      <c r="C224" s="10" t="s">
        <v>42</v>
      </c>
      <c r="D224" s="42" t="s">
        <v>42</v>
      </c>
      <c r="E224" s="165" t="s">
        <v>58</v>
      </c>
      <c r="F224" s="932">
        <f>SUM(F223:F223)</f>
        <v>14.58</v>
      </c>
    </row>
    <row r="225" spans="1:6" ht="30">
      <c r="A225" s="964"/>
      <c r="B225" s="941" t="s">
        <v>95</v>
      </c>
      <c r="C225" s="36" t="s">
        <v>49</v>
      </c>
      <c r="D225" s="37" t="s">
        <v>50</v>
      </c>
      <c r="E225" s="46" t="s">
        <v>62</v>
      </c>
      <c r="F225" s="932" t="s">
        <v>52</v>
      </c>
    </row>
    <row r="226" spans="1:6">
      <c r="A226" s="938"/>
      <c r="B226" s="85"/>
      <c r="C226" s="41"/>
      <c r="D226" s="106"/>
      <c r="E226" s="106"/>
      <c r="F226" s="982">
        <f>TRUNC((D226*E226),2)</f>
        <v>0</v>
      </c>
    </row>
    <row r="227" spans="1:6" ht="15.75" thickBot="1">
      <c r="A227" s="99"/>
      <c r="B227" s="91"/>
      <c r="C227" s="92"/>
      <c r="D227" s="114"/>
      <c r="E227" s="115" t="s">
        <v>58</v>
      </c>
      <c r="F227" s="93">
        <f>SUM(F226:F226)</f>
        <v>0</v>
      </c>
    </row>
    <row r="228" spans="1:6" ht="15.75" thickBot="1">
      <c r="A228" s="83"/>
      <c r="B228" s="2002" t="s">
        <v>53</v>
      </c>
      <c r="C228" s="2002"/>
      <c r="D228" s="2002"/>
      <c r="E228" s="2002"/>
      <c r="F228" s="84">
        <f>F224+F227</f>
        <v>14.58</v>
      </c>
    </row>
    <row r="229" spans="1:6" ht="15.75" thickBot="1">
      <c r="A229" s="456"/>
      <c r="B229" s="1214"/>
      <c r="C229" s="455"/>
      <c r="D229" s="94"/>
      <c r="E229" s="94"/>
      <c r="F229" s="168"/>
    </row>
    <row r="230" spans="1:6" ht="38.25">
      <c r="A230" s="70" t="s">
        <v>107</v>
      </c>
      <c r="B230" s="224" t="s">
        <v>1428</v>
      </c>
      <c r="C230" s="71" t="s">
        <v>54</v>
      </c>
      <c r="D230" s="72"/>
      <c r="E230" s="73"/>
      <c r="F230" s="122"/>
    </row>
    <row r="231" spans="1:6">
      <c r="A231" s="1957" t="s">
        <v>1427</v>
      </c>
      <c r="B231" s="1958"/>
      <c r="C231" s="1958"/>
      <c r="D231" s="1958"/>
      <c r="E231" s="1958"/>
      <c r="F231" s="1959"/>
    </row>
    <row r="232" spans="1:6" ht="30">
      <c r="A232" s="931"/>
      <c r="B232" s="941" t="s">
        <v>56</v>
      </c>
      <c r="C232" s="36" t="s">
        <v>49</v>
      </c>
      <c r="D232" s="37" t="s">
        <v>50</v>
      </c>
      <c r="E232" s="46" t="s">
        <v>62</v>
      </c>
      <c r="F232" s="932" t="s">
        <v>52</v>
      </c>
    </row>
    <row r="233" spans="1:6">
      <c r="A233" s="933">
        <v>88316</v>
      </c>
      <c r="B233" s="942" t="s">
        <v>66</v>
      </c>
      <c r="C233" s="41" t="s">
        <v>57</v>
      </c>
      <c r="D233" s="113">
        <v>3.1E-2</v>
      </c>
      <c r="E233" s="1248">
        <v>19.45</v>
      </c>
      <c r="F233" s="934">
        <f>TRUNC((D233*E233),2)</f>
        <v>0.6</v>
      </c>
    </row>
    <row r="234" spans="1:6" ht="25.5">
      <c r="A234" s="933">
        <v>88256</v>
      </c>
      <c r="B234" s="97" t="s">
        <v>1429</v>
      </c>
      <c r="C234" s="41" t="s">
        <v>57</v>
      </c>
      <c r="D234" s="113">
        <v>8.5000000000000006E-2</v>
      </c>
      <c r="E234" s="1278">
        <v>24.49</v>
      </c>
      <c r="F234" s="934">
        <f>TRUNC((D234*E234),2)</f>
        <v>2.08</v>
      </c>
    </row>
    <row r="235" spans="1:6">
      <c r="A235" s="964"/>
      <c r="B235" s="936"/>
      <c r="C235" s="10" t="s">
        <v>42</v>
      </c>
      <c r="D235" s="42" t="s">
        <v>42</v>
      </c>
      <c r="E235" s="165" t="s">
        <v>58</v>
      </c>
      <c r="F235" s="932">
        <f>SUM(F233:F234)</f>
        <v>2.68</v>
      </c>
    </row>
    <row r="236" spans="1:6" ht="30">
      <c r="A236" s="964"/>
      <c r="B236" s="941" t="s">
        <v>95</v>
      </c>
      <c r="C236" s="36" t="s">
        <v>49</v>
      </c>
      <c r="D236" s="37" t="s">
        <v>50</v>
      </c>
      <c r="E236" s="46" t="s">
        <v>62</v>
      </c>
      <c r="F236" s="932" t="s">
        <v>52</v>
      </c>
    </row>
    <row r="237" spans="1:6">
      <c r="A237" s="964">
        <v>1381</v>
      </c>
      <c r="B237" s="461" t="s">
        <v>1431</v>
      </c>
      <c r="C237" s="266" t="s">
        <v>100</v>
      </c>
      <c r="D237" s="293">
        <v>0.60299999999999998</v>
      </c>
      <c r="E237" s="1280">
        <v>1</v>
      </c>
      <c r="F237" s="934">
        <f>TRUNC((D237*E237),2)</f>
        <v>0.6</v>
      </c>
    </row>
    <row r="238" spans="1:6">
      <c r="A238" s="964">
        <v>34357</v>
      </c>
      <c r="B238" s="461" t="s">
        <v>1430</v>
      </c>
      <c r="C238" s="266" t="s">
        <v>100</v>
      </c>
      <c r="D238" s="293">
        <v>8.4000000000000005E-2</v>
      </c>
      <c r="E238" s="1281">
        <v>5.87</v>
      </c>
      <c r="F238" s="934">
        <f>TRUNC((D238*E238),2)</f>
        <v>0.49</v>
      </c>
    </row>
    <row r="239" spans="1:6" ht="38.25">
      <c r="A239" s="101">
        <v>87261</v>
      </c>
      <c r="B239" s="97" t="s">
        <v>1425</v>
      </c>
      <c r="C239" s="266" t="s">
        <v>46</v>
      </c>
      <c r="D239" s="293">
        <v>0.40279999999999999</v>
      </c>
      <c r="E239" s="1281">
        <v>184.04</v>
      </c>
      <c r="F239" s="934">
        <f>TRUNC((D239*E239),2)</f>
        <v>74.13</v>
      </c>
    </row>
    <row r="240" spans="1:6" ht="15.75" thickBot="1">
      <c r="A240" s="99"/>
      <c r="B240" s="91"/>
      <c r="C240" s="92"/>
      <c r="D240" s="114"/>
      <c r="E240" s="115" t="s">
        <v>58</v>
      </c>
      <c r="F240" s="93">
        <f>SUM(F237:F239)</f>
        <v>75.22</v>
      </c>
    </row>
    <row r="241" spans="1:6" ht="15.75" thickBot="1">
      <c r="A241" s="83"/>
      <c r="B241" s="2002" t="s">
        <v>53</v>
      </c>
      <c r="C241" s="2002"/>
      <c r="D241" s="2002"/>
      <c r="E241" s="2002"/>
      <c r="F241" s="84">
        <f>F235+F240</f>
        <v>77.900000000000006</v>
      </c>
    </row>
    <row r="242" spans="1:6" ht="39" thickBot="1">
      <c r="A242" s="462"/>
      <c r="B242" s="463" t="s">
        <v>1433</v>
      </c>
      <c r="C242" s="463"/>
      <c r="D242" s="2005"/>
      <c r="E242" s="2005"/>
      <c r="F242" s="464"/>
    </row>
    <row r="243" spans="1:6" ht="15.75" thickBot="1">
      <c r="A243" s="225"/>
      <c r="B243" s="284"/>
      <c r="C243" s="285"/>
      <c r="D243" s="286"/>
      <c r="E243" s="460"/>
      <c r="F243" s="204"/>
    </row>
    <row r="244" spans="1:6" ht="25.5">
      <c r="A244" s="70" t="s">
        <v>108</v>
      </c>
      <c r="B244" s="224" t="s">
        <v>405</v>
      </c>
      <c r="C244" s="71" t="s">
        <v>55</v>
      </c>
      <c r="D244" s="72"/>
      <c r="E244" s="72"/>
      <c r="F244" s="205"/>
    </row>
    <row r="245" spans="1:6">
      <c r="A245" s="2006" t="s">
        <v>404</v>
      </c>
      <c r="B245" s="2007"/>
      <c r="C245" s="2007"/>
      <c r="D245" s="2007"/>
      <c r="E245" s="2007"/>
      <c r="F245" s="2008"/>
    </row>
    <row r="246" spans="1:6" ht="30">
      <c r="A246" s="931"/>
      <c r="B246" s="941" t="s">
        <v>56</v>
      </c>
      <c r="C246" s="36" t="s">
        <v>49</v>
      </c>
      <c r="D246" s="37" t="s">
        <v>50</v>
      </c>
      <c r="E246" s="133" t="s">
        <v>62</v>
      </c>
      <c r="F246" s="932" t="s">
        <v>52</v>
      </c>
    </row>
    <row r="247" spans="1:6" ht="25.5">
      <c r="A247" s="202">
        <v>88267</v>
      </c>
      <c r="B247" s="207" t="s">
        <v>102</v>
      </c>
      <c r="C247" s="41" t="s">
        <v>57</v>
      </c>
      <c r="D247" s="112">
        <v>0.94850000000000001</v>
      </c>
      <c r="E247" s="1278">
        <v>24.64</v>
      </c>
      <c r="F247" s="934">
        <f>TRUNC((D247*E247),2)</f>
        <v>23.37</v>
      </c>
    </row>
    <row r="248" spans="1:6">
      <c r="A248" s="935">
        <v>88316</v>
      </c>
      <c r="B248" s="168" t="s">
        <v>66</v>
      </c>
      <c r="C248" s="41" t="s">
        <v>57</v>
      </c>
      <c r="D248" s="112">
        <v>0.29880000000000001</v>
      </c>
      <c r="E248" s="1248">
        <v>19.45</v>
      </c>
      <c r="F248" s="934">
        <f>TRUNC((D248*E248),2)</f>
        <v>5.81</v>
      </c>
    </row>
    <row r="249" spans="1:6">
      <c r="A249" s="964"/>
      <c r="B249" s="936"/>
      <c r="C249" s="10" t="s">
        <v>42</v>
      </c>
      <c r="D249" s="42" t="s">
        <v>42</v>
      </c>
      <c r="E249" s="1002" t="s">
        <v>58</v>
      </c>
      <c r="F249" s="937">
        <f>SUM(F247:F248)</f>
        <v>29.18</v>
      </c>
    </row>
    <row r="250" spans="1:6" ht="30">
      <c r="A250" s="964"/>
      <c r="B250" s="941" t="s">
        <v>95</v>
      </c>
      <c r="C250" s="36" t="s">
        <v>49</v>
      </c>
      <c r="D250" s="37" t="s">
        <v>50</v>
      </c>
      <c r="E250" s="46" t="s">
        <v>62</v>
      </c>
      <c r="F250" s="932" t="s">
        <v>52</v>
      </c>
    </row>
    <row r="251" spans="1:6" ht="25.5">
      <c r="A251" s="202">
        <v>36080</v>
      </c>
      <c r="B251" s="207" t="s">
        <v>403</v>
      </c>
      <c r="C251" s="41" t="s">
        <v>55</v>
      </c>
      <c r="D251" s="203">
        <v>1</v>
      </c>
      <c r="E251" s="1278">
        <v>169</v>
      </c>
      <c r="F251" s="934">
        <f>TRUNC((D251*E251),2)</f>
        <v>169</v>
      </c>
    </row>
    <row r="252" spans="1:6" ht="38.25">
      <c r="A252" s="206">
        <v>4351</v>
      </c>
      <c r="B252" s="207" t="s">
        <v>408</v>
      </c>
      <c r="C252" s="41" t="s">
        <v>55</v>
      </c>
      <c r="D252" s="203">
        <v>6</v>
      </c>
      <c r="E252" s="1278">
        <v>18.559999999999999</v>
      </c>
      <c r="F252" s="934">
        <f>TRUNC((D252*E252),2)</f>
        <v>111.36</v>
      </c>
    </row>
    <row r="253" spans="1:6">
      <c r="A253" s="61"/>
      <c r="B253" s="85"/>
      <c r="C253" s="66"/>
      <c r="D253" s="86"/>
      <c r="E253" s="165" t="s">
        <v>58</v>
      </c>
      <c r="F253" s="212">
        <f>SUM(F251:F252)</f>
        <v>280.36</v>
      </c>
    </row>
    <row r="254" spans="1:6" ht="15.75" thickBot="1">
      <c r="A254" s="977"/>
      <c r="B254" s="2003" t="s">
        <v>53</v>
      </c>
      <c r="C254" s="2004"/>
      <c r="D254" s="2004"/>
      <c r="E254" s="1951"/>
      <c r="F254" s="978">
        <f>F249+F253</f>
        <v>309.54000000000002</v>
      </c>
    </row>
    <row r="255" spans="1:6" ht="15.75" thickBot="1">
      <c r="A255" s="16"/>
      <c r="B255" s="166"/>
      <c r="C255" s="167"/>
      <c r="D255" s="167"/>
      <c r="E255" s="167"/>
      <c r="F255" s="16"/>
    </row>
    <row r="256" spans="1:6" ht="25.5">
      <c r="A256" s="226" t="s">
        <v>109</v>
      </c>
      <c r="B256" s="224" t="s">
        <v>406</v>
      </c>
      <c r="C256" s="71" t="s">
        <v>55</v>
      </c>
      <c r="D256" s="72"/>
      <c r="E256" s="72"/>
      <c r="F256" s="205"/>
    </row>
    <row r="257" spans="1:6">
      <c r="A257" s="1968" t="s">
        <v>407</v>
      </c>
      <c r="B257" s="1969"/>
      <c r="C257" s="1969"/>
      <c r="D257" s="1969"/>
      <c r="E257" s="1969"/>
      <c r="F257" s="1970"/>
    </row>
    <row r="258" spans="1:6" ht="30">
      <c r="A258" s="34"/>
      <c r="B258" s="35" t="s">
        <v>56</v>
      </c>
      <c r="C258" s="36" t="s">
        <v>49</v>
      </c>
      <c r="D258" s="37" t="s">
        <v>50</v>
      </c>
      <c r="E258" s="46" t="s">
        <v>62</v>
      </c>
      <c r="F258" s="38" t="s">
        <v>52</v>
      </c>
    </row>
    <row r="259" spans="1:6" ht="25.5">
      <c r="A259" s="976">
        <v>88267</v>
      </c>
      <c r="B259" s="487" t="s">
        <v>102</v>
      </c>
      <c r="C259" s="962" t="s">
        <v>57</v>
      </c>
      <c r="D259" s="1227">
        <v>0.94850000000000001</v>
      </c>
      <c r="E259" s="1278">
        <v>24.64</v>
      </c>
      <c r="F259" s="963">
        <f>TRUNC((D259*E259),2)</f>
        <v>23.37</v>
      </c>
    </row>
    <row r="260" spans="1:6">
      <c r="A260" s="935">
        <v>88316</v>
      </c>
      <c r="B260" s="168" t="s">
        <v>66</v>
      </c>
      <c r="C260" s="41" t="s">
        <v>57</v>
      </c>
      <c r="D260" s="112">
        <v>0.29880000000000001</v>
      </c>
      <c r="E260" s="1248">
        <v>19.45</v>
      </c>
      <c r="F260" s="934">
        <f>TRUNC((D260*E260),2)</f>
        <v>5.81</v>
      </c>
    </row>
    <row r="261" spans="1:6">
      <c r="A261" s="964"/>
      <c r="B261" s="936"/>
      <c r="C261" s="10" t="s">
        <v>42</v>
      </c>
      <c r="D261" s="42" t="s">
        <v>42</v>
      </c>
      <c r="E261" s="1002" t="s">
        <v>58</v>
      </c>
      <c r="F261" s="937">
        <f>SUM(F259:F260)</f>
        <v>29.18</v>
      </c>
    </row>
    <row r="262" spans="1:6" ht="30">
      <c r="A262" s="964"/>
      <c r="B262" s="941" t="s">
        <v>95</v>
      </c>
      <c r="C262" s="36" t="s">
        <v>49</v>
      </c>
      <c r="D262" s="37" t="s">
        <v>50</v>
      </c>
      <c r="E262" s="46" t="s">
        <v>62</v>
      </c>
      <c r="F262" s="932" t="s">
        <v>52</v>
      </c>
    </row>
    <row r="263" spans="1:6" ht="25.5">
      <c r="A263" s="202">
        <v>36220</v>
      </c>
      <c r="B263" s="207" t="s">
        <v>403</v>
      </c>
      <c r="C263" s="41" t="s">
        <v>55</v>
      </c>
      <c r="D263" s="203">
        <v>1</v>
      </c>
      <c r="E263" s="1278">
        <v>156.24</v>
      </c>
      <c r="F263" s="934">
        <f>TRUNC((D263*E263),2)</f>
        <v>156.24</v>
      </c>
    </row>
    <row r="264" spans="1:6" ht="38.25">
      <c r="A264" s="206">
        <v>4351</v>
      </c>
      <c r="B264" s="207" t="s">
        <v>408</v>
      </c>
      <c r="C264" s="41" t="s">
        <v>55</v>
      </c>
      <c r="D264" s="203">
        <v>6</v>
      </c>
      <c r="E264" s="1278">
        <v>18.559999999999999</v>
      </c>
      <c r="F264" s="934">
        <f>TRUNC((D264*E264),2)</f>
        <v>111.36</v>
      </c>
    </row>
    <row r="265" spans="1:6">
      <c r="A265" s="61"/>
      <c r="B265" s="85"/>
      <c r="C265" s="66"/>
      <c r="D265" s="86"/>
      <c r="E265" s="165" t="s">
        <v>58</v>
      </c>
      <c r="F265" s="212">
        <f>SUM(F263:F264)</f>
        <v>267.60000000000002</v>
      </c>
    </row>
    <row r="266" spans="1:6" ht="15.75" thickBot="1">
      <c r="A266" s="977"/>
      <c r="B266" s="2003" t="s">
        <v>53</v>
      </c>
      <c r="C266" s="2004"/>
      <c r="D266" s="2004"/>
      <c r="E266" s="1951"/>
      <c r="F266" s="978">
        <f>F261+F265</f>
        <v>296.78000000000003</v>
      </c>
    </row>
    <row r="267" spans="1:6" ht="15.75" thickBot="1">
      <c r="A267" s="94"/>
      <c r="B267" s="94"/>
      <c r="C267" s="94"/>
      <c r="D267" s="94"/>
      <c r="E267" s="94"/>
      <c r="F267" s="94"/>
    </row>
    <row r="268" spans="1:6" ht="38.25">
      <c r="A268" s="226" t="s">
        <v>538</v>
      </c>
      <c r="B268" s="224" t="s">
        <v>1437</v>
      </c>
      <c r="C268" s="71" t="s">
        <v>46</v>
      </c>
      <c r="D268" s="72"/>
      <c r="E268" s="72"/>
      <c r="F268" s="205"/>
    </row>
    <row r="269" spans="1:6">
      <c r="A269" s="1968" t="s">
        <v>1438</v>
      </c>
      <c r="B269" s="1969"/>
      <c r="C269" s="1969"/>
      <c r="D269" s="1969"/>
      <c r="E269" s="1969"/>
      <c r="F269" s="1970"/>
    </row>
    <row r="270" spans="1:6" ht="30">
      <c r="A270" s="931"/>
      <c r="B270" s="941" t="s">
        <v>56</v>
      </c>
      <c r="C270" s="36" t="s">
        <v>49</v>
      </c>
      <c r="D270" s="37" t="s">
        <v>50</v>
      </c>
      <c r="E270" s="133" t="s">
        <v>62</v>
      </c>
      <c r="F270" s="932" t="s">
        <v>52</v>
      </c>
    </row>
    <row r="271" spans="1:6" ht="26.25" thickBot="1">
      <c r="A271" s="99">
        <v>88262</v>
      </c>
      <c r="B271" s="966" t="s">
        <v>411</v>
      </c>
      <c r="C271" s="967" t="s">
        <v>57</v>
      </c>
      <c r="D271" s="1004">
        <v>2.5</v>
      </c>
      <c r="E271" s="1279">
        <v>24.32</v>
      </c>
      <c r="F271" s="970">
        <f>TRUNC((D271*E271),2)</f>
        <v>60.8</v>
      </c>
    </row>
    <row r="272" spans="1:6" ht="25.5">
      <c r="A272" s="1228">
        <v>88239</v>
      </c>
      <c r="B272" s="991" t="s">
        <v>423</v>
      </c>
      <c r="C272" s="973" t="s">
        <v>57</v>
      </c>
      <c r="D272" s="1017">
        <v>2.5</v>
      </c>
      <c r="E272" s="975">
        <v>20.55</v>
      </c>
      <c r="F272" s="985">
        <f>TRUNC((D272*E272),2)</f>
        <v>51.37</v>
      </c>
    </row>
    <row r="273" spans="1:6">
      <c r="A273" s="964"/>
      <c r="B273" s="936"/>
      <c r="C273" s="10" t="s">
        <v>42</v>
      </c>
      <c r="D273" s="42" t="s">
        <v>42</v>
      </c>
      <c r="E273" s="165" t="s">
        <v>58</v>
      </c>
      <c r="F273" s="937">
        <f>SUM(F271:F272)</f>
        <v>112.16999999999999</v>
      </c>
    </row>
    <row r="274" spans="1:6" ht="30">
      <c r="A274" s="964"/>
      <c r="B274" s="941" t="s">
        <v>95</v>
      </c>
      <c r="C274" s="36" t="s">
        <v>49</v>
      </c>
      <c r="D274" s="37" t="s">
        <v>50</v>
      </c>
      <c r="E274" s="133" t="s">
        <v>62</v>
      </c>
      <c r="F274" s="932" t="s">
        <v>52</v>
      </c>
    </row>
    <row r="275" spans="1:6">
      <c r="A275" s="202">
        <v>584</v>
      </c>
      <c r="B275" s="1247" t="s">
        <v>2211</v>
      </c>
      <c r="C275" s="41" t="s">
        <v>54</v>
      </c>
      <c r="D275" s="203">
        <v>3.5</v>
      </c>
      <c r="E275" s="110">
        <v>35</v>
      </c>
      <c r="F275" s="934">
        <f>TRUNC((D275*E275),2)</f>
        <v>122.5</v>
      </c>
    </row>
    <row r="276" spans="1:6" ht="38.25">
      <c r="A276" s="202">
        <v>4358</v>
      </c>
      <c r="B276" s="97" t="s">
        <v>1453</v>
      </c>
      <c r="C276" s="41" t="s">
        <v>55</v>
      </c>
      <c r="D276" s="203">
        <v>2.5</v>
      </c>
      <c r="E276" s="1278">
        <v>2.2599999999999998</v>
      </c>
      <c r="F276" s="934">
        <f>TRUNC((D276*E276),2)</f>
        <v>5.65</v>
      </c>
    </row>
    <row r="277" spans="1:6" ht="25.5">
      <c r="A277" s="202">
        <v>11134</v>
      </c>
      <c r="B277" s="97" t="s">
        <v>1452</v>
      </c>
      <c r="C277" s="41" t="s">
        <v>46</v>
      </c>
      <c r="D277" s="203">
        <v>1.1000000000000001</v>
      </c>
      <c r="E277" s="1278">
        <v>110.43</v>
      </c>
      <c r="F277" s="934">
        <f>TRUNC((D277*E277),2)</f>
        <v>121.47</v>
      </c>
    </row>
    <row r="278" spans="1:6">
      <c r="A278" s="202">
        <v>11186</v>
      </c>
      <c r="B278" s="97" t="s">
        <v>1451</v>
      </c>
      <c r="C278" s="41" t="s">
        <v>46</v>
      </c>
      <c r="D278" s="203">
        <v>1.1000000000000001</v>
      </c>
      <c r="E278" s="1278">
        <v>668.87</v>
      </c>
      <c r="F278" s="934">
        <f>TRUNC((D278*E278),2)</f>
        <v>735.75</v>
      </c>
    </row>
    <row r="279" spans="1:6">
      <c r="A279" s="61"/>
      <c r="B279" s="85"/>
      <c r="C279" s="66"/>
      <c r="D279" s="86"/>
      <c r="E279" s="165" t="s">
        <v>58</v>
      </c>
      <c r="F279" s="212">
        <f>SUM(F275:F278)</f>
        <v>985.37</v>
      </c>
    </row>
    <row r="280" spans="1:6" ht="15.75" thickBot="1">
      <c r="A280" s="977"/>
      <c r="B280" s="2003" t="s">
        <v>53</v>
      </c>
      <c r="C280" s="2004"/>
      <c r="D280" s="2004"/>
      <c r="E280" s="1951"/>
      <c r="F280" s="978">
        <f>F273+F279</f>
        <v>1097.54</v>
      </c>
    </row>
    <row r="281" spans="1:6" ht="15.75" thickBot="1">
      <c r="A281" s="94"/>
      <c r="B281" s="94"/>
      <c r="C281" s="94"/>
      <c r="D281" s="94"/>
      <c r="E281" s="94"/>
      <c r="F281" s="94"/>
    </row>
    <row r="282" spans="1:6">
      <c r="A282" s="226" t="s">
        <v>546</v>
      </c>
      <c r="B282" s="281" t="s">
        <v>1443</v>
      </c>
      <c r="C282" s="465" t="s">
        <v>55</v>
      </c>
      <c r="D282" s="466"/>
      <c r="E282" s="467"/>
      <c r="F282" s="468"/>
    </row>
    <row r="283" spans="1:6">
      <c r="A283" s="1968" t="s">
        <v>1444</v>
      </c>
      <c r="B283" s="1969"/>
      <c r="C283" s="1969"/>
      <c r="D283" s="1969"/>
      <c r="E283" s="1969"/>
      <c r="F283" s="1970"/>
    </row>
    <row r="284" spans="1:6" ht="30">
      <c r="A284" s="931"/>
      <c r="B284" s="941" t="s">
        <v>56</v>
      </c>
      <c r="C284" s="36" t="s">
        <v>49</v>
      </c>
      <c r="D284" s="37" t="s">
        <v>50</v>
      </c>
      <c r="E284" s="133" t="s">
        <v>62</v>
      </c>
      <c r="F284" s="932" t="s">
        <v>52</v>
      </c>
    </row>
    <row r="285" spans="1:6">
      <c r="A285" s="202">
        <v>88309</v>
      </c>
      <c r="B285" s="990" t="s">
        <v>103</v>
      </c>
      <c r="C285" s="41" t="s">
        <v>57</v>
      </c>
      <c r="D285" s="112">
        <v>0.4</v>
      </c>
      <c r="E285" s="1271">
        <v>24.59</v>
      </c>
      <c r="F285" s="934">
        <f>TRUNC((D285*E285),2)</f>
        <v>9.83</v>
      </c>
    </row>
    <row r="286" spans="1:6">
      <c r="A286" s="935">
        <v>88316</v>
      </c>
      <c r="B286" s="469" t="s">
        <v>66</v>
      </c>
      <c r="C286" s="41" t="s">
        <v>57</v>
      </c>
      <c r="D286" s="112">
        <v>0.4</v>
      </c>
      <c r="E286" s="1248">
        <v>19.45</v>
      </c>
      <c r="F286" s="934">
        <f>TRUNC((D286*E286),2)</f>
        <v>7.78</v>
      </c>
    </row>
    <row r="287" spans="1:6">
      <c r="A287" s="964"/>
      <c r="B287" s="936"/>
      <c r="C287" s="10" t="s">
        <v>42</v>
      </c>
      <c r="D287" s="42" t="s">
        <v>42</v>
      </c>
      <c r="E287" s="165" t="s">
        <v>58</v>
      </c>
      <c r="F287" s="937">
        <f>SUM(F285:F286)</f>
        <v>17.61</v>
      </c>
    </row>
    <row r="288" spans="1:6" ht="30">
      <c r="A288" s="964"/>
      <c r="B288" s="941" t="s">
        <v>95</v>
      </c>
      <c r="C288" s="986" t="s">
        <v>49</v>
      </c>
      <c r="D288" s="987" t="s">
        <v>50</v>
      </c>
      <c r="E288" s="1229" t="s">
        <v>62</v>
      </c>
      <c r="F288" s="932" t="s">
        <v>52</v>
      </c>
    </row>
    <row r="289" spans="1:6" ht="25.5">
      <c r="A289" s="202">
        <v>37400</v>
      </c>
      <c r="B289" s="97" t="s">
        <v>1449</v>
      </c>
      <c r="C289" s="41" t="s">
        <v>55</v>
      </c>
      <c r="D289" s="203">
        <v>1</v>
      </c>
      <c r="E289" s="1278">
        <v>67.44</v>
      </c>
      <c r="F289" s="111">
        <f>TRUNC((D289*E289),2)</f>
        <v>67.44</v>
      </c>
    </row>
    <row r="290" spans="1:6">
      <c r="A290" s="61"/>
      <c r="B290" s="85"/>
      <c r="C290" s="66"/>
      <c r="D290" s="86"/>
      <c r="E290" s="165" t="s">
        <v>58</v>
      </c>
      <c r="F290" s="212">
        <f>SUM(F289:F289)</f>
        <v>67.44</v>
      </c>
    </row>
    <row r="291" spans="1:6" ht="15.75" thickBot="1">
      <c r="A291" s="977"/>
      <c r="B291" s="2003" t="s">
        <v>53</v>
      </c>
      <c r="C291" s="2004"/>
      <c r="D291" s="2004"/>
      <c r="E291" s="1951"/>
      <c r="F291" s="978">
        <f>F287+F290</f>
        <v>85.05</v>
      </c>
    </row>
    <row r="292" spans="1:6" ht="15.75" thickBot="1"/>
    <row r="293" spans="1:6">
      <c r="A293" s="226" t="s">
        <v>587</v>
      </c>
      <c r="B293" s="281" t="s">
        <v>1446</v>
      </c>
      <c r="C293" s="465" t="s">
        <v>55</v>
      </c>
      <c r="D293" s="466"/>
      <c r="E293" s="467"/>
      <c r="F293" s="468"/>
    </row>
    <row r="294" spans="1:6">
      <c r="A294" s="1968" t="s">
        <v>1447</v>
      </c>
      <c r="B294" s="1969"/>
      <c r="C294" s="1969"/>
      <c r="D294" s="1969"/>
      <c r="E294" s="1969"/>
      <c r="F294" s="1970"/>
    </row>
    <row r="295" spans="1:6" ht="30">
      <c r="A295" s="931"/>
      <c r="B295" s="941" t="s">
        <v>56</v>
      </c>
      <c r="C295" s="36" t="s">
        <v>49</v>
      </c>
      <c r="D295" s="37" t="s">
        <v>50</v>
      </c>
      <c r="E295" s="133" t="s">
        <v>62</v>
      </c>
      <c r="F295" s="932" t="s">
        <v>52</v>
      </c>
    </row>
    <row r="296" spans="1:6">
      <c r="A296" s="202">
        <v>88309</v>
      </c>
      <c r="B296" s="990" t="s">
        <v>103</v>
      </c>
      <c r="C296" s="41" t="s">
        <v>57</v>
      </c>
      <c r="D296" s="112">
        <v>0.4</v>
      </c>
      <c r="E296" s="1271">
        <v>24.59</v>
      </c>
      <c r="F296" s="934">
        <f>TRUNC((D296*E296),2)</f>
        <v>9.83</v>
      </c>
    </row>
    <row r="297" spans="1:6">
      <c r="A297" s="935">
        <v>88316</v>
      </c>
      <c r="B297" s="469" t="s">
        <v>66</v>
      </c>
      <c r="C297" s="41" t="s">
        <v>57</v>
      </c>
      <c r="D297" s="112">
        <v>0.4</v>
      </c>
      <c r="E297" s="1248">
        <v>19.45</v>
      </c>
      <c r="F297" s="934">
        <f>TRUNC((D297*E297),2)</f>
        <v>7.78</v>
      </c>
    </row>
    <row r="298" spans="1:6">
      <c r="A298" s="964"/>
      <c r="B298" s="936"/>
      <c r="C298" s="10" t="s">
        <v>42</v>
      </c>
      <c r="D298" s="42" t="s">
        <v>42</v>
      </c>
      <c r="E298" s="165" t="s">
        <v>58</v>
      </c>
      <c r="F298" s="937">
        <f>SUM(F296:F297)</f>
        <v>17.61</v>
      </c>
    </row>
    <row r="299" spans="1:6" ht="30">
      <c r="A299" s="964"/>
      <c r="B299" s="941" t="s">
        <v>95</v>
      </c>
      <c r="C299" s="36" t="s">
        <v>49</v>
      </c>
      <c r="D299" s="37" t="s">
        <v>50</v>
      </c>
      <c r="E299" s="133" t="s">
        <v>62</v>
      </c>
      <c r="F299" s="932" t="s">
        <v>52</v>
      </c>
    </row>
    <row r="300" spans="1:6" ht="25.5">
      <c r="A300" s="202">
        <v>37401</v>
      </c>
      <c r="B300" s="97" t="s">
        <v>1450</v>
      </c>
      <c r="C300" s="41" t="s">
        <v>55</v>
      </c>
      <c r="D300" s="203">
        <v>1</v>
      </c>
      <c r="E300" s="1278">
        <v>67.44</v>
      </c>
      <c r="F300" s="934">
        <f>TRUNC((D300*E300),2)</f>
        <v>67.44</v>
      </c>
    </row>
    <row r="301" spans="1:6">
      <c r="A301" s="61"/>
      <c r="B301" s="85"/>
      <c r="C301" s="66"/>
      <c r="D301" s="86"/>
      <c r="E301" s="165" t="s">
        <v>58</v>
      </c>
      <c r="F301" s="212">
        <f>SUM(F300:F300)</f>
        <v>67.44</v>
      </c>
    </row>
    <row r="302" spans="1:6" ht="15.75" thickBot="1">
      <c r="A302" s="977"/>
      <c r="B302" s="2003" t="s">
        <v>53</v>
      </c>
      <c r="C302" s="2004"/>
      <c r="D302" s="2004"/>
      <c r="E302" s="1951"/>
      <c r="F302" s="978">
        <f>F298+F301</f>
        <v>85.05</v>
      </c>
    </row>
    <row r="303" spans="1:6" ht="15.75" thickBot="1"/>
    <row r="304" spans="1:6" ht="51">
      <c r="A304" s="226" t="s">
        <v>1442</v>
      </c>
      <c r="B304" s="420" t="s">
        <v>1456</v>
      </c>
      <c r="C304" s="465" t="s">
        <v>46</v>
      </c>
      <c r="D304" s="466"/>
      <c r="E304" s="467"/>
      <c r="F304" s="468"/>
    </row>
    <row r="305" spans="1:6">
      <c r="A305" s="1968" t="s">
        <v>1469</v>
      </c>
      <c r="B305" s="1969"/>
      <c r="C305" s="1969"/>
      <c r="D305" s="1969"/>
      <c r="E305" s="1969"/>
      <c r="F305" s="1970"/>
    </row>
    <row r="306" spans="1:6" ht="30">
      <c r="A306" s="931"/>
      <c r="B306" s="941" t="s">
        <v>56</v>
      </c>
      <c r="C306" s="36" t="s">
        <v>49</v>
      </c>
      <c r="D306" s="37" t="s">
        <v>50</v>
      </c>
      <c r="E306" s="133" t="s">
        <v>62</v>
      </c>
      <c r="F306" s="932" t="s">
        <v>52</v>
      </c>
    </row>
    <row r="307" spans="1:6" ht="25.5">
      <c r="A307" s="202">
        <v>88256</v>
      </c>
      <c r="B307" s="990" t="s">
        <v>1429</v>
      </c>
      <c r="C307" s="41" t="s">
        <v>57</v>
      </c>
      <c r="D307" s="112">
        <v>0.91</v>
      </c>
      <c r="E307" s="1278">
        <v>24.49</v>
      </c>
      <c r="F307" s="934">
        <f>TRUNC((D307*E307),2)</f>
        <v>22.28</v>
      </c>
    </row>
    <row r="308" spans="1:6">
      <c r="A308" s="935">
        <v>88316</v>
      </c>
      <c r="B308" s="469" t="s">
        <v>66</v>
      </c>
      <c r="C308" s="41" t="s">
        <v>57</v>
      </c>
      <c r="D308" s="112">
        <v>0.46</v>
      </c>
      <c r="E308" s="1248">
        <v>19.45</v>
      </c>
      <c r="F308" s="934">
        <f>TRUNC((D308*E308),2)</f>
        <v>8.94</v>
      </c>
    </row>
    <row r="309" spans="1:6">
      <c r="A309" s="964"/>
      <c r="B309" s="936"/>
      <c r="C309" s="10" t="s">
        <v>42</v>
      </c>
      <c r="D309" s="42" t="s">
        <v>42</v>
      </c>
      <c r="E309" s="165" t="s">
        <v>58</v>
      </c>
      <c r="F309" s="937">
        <f>SUM(F307:F308)</f>
        <v>31.22</v>
      </c>
    </row>
    <row r="310" spans="1:6" ht="30">
      <c r="A310" s="964"/>
      <c r="B310" s="941" t="s">
        <v>95</v>
      </c>
      <c r="C310" s="36" t="s">
        <v>49</v>
      </c>
      <c r="D310" s="37" t="s">
        <v>50</v>
      </c>
      <c r="E310" s="133" t="s">
        <v>62</v>
      </c>
      <c r="F310" s="932" t="s">
        <v>52</v>
      </c>
    </row>
    <row r="311" spans="1:6" ht="38.25">
      <c r="A311" s="202">
        <v>536</v>
      </c>
      <c r="B311" s="97" t="s">
        <v>1457</v>
      </c>
      <c r="C311" s="41" t="s">
        <v>46</v>
      </c>
      <c r="D311" s="203">
        <v>1.0900000000000001</v>
      </c>
      <c r="E311" s="1278">
        <v>34.9</v>
      </c>
      <c r="F311" s="934">
        <f>TRUNC((D311*E311),2)</f>
        <v>38.04</v>
      </c>
    </row>
    <row r="312" spans="1:6">
      <c r="A312" s="202">
        <v>1381</v>
      </c>
      <c r="B312" s="97" t="s">
        <v>1458</v>
      </c>
      <c r="C312" s="41" t="s">
        <v>100</v>
      </c>
      <c r="D312" s="203">
        <v>6.14</v>
      </c>
      <c r="E312" s="1278">
        <v>1</v>
      </c>
      <c r="F312" s="934">
        <f t="shared" ref="F312:F313" si="1">TRUNC((D312*E312),2)</f>
        <v>6.14</v>
      </c>
    </row>
    <row r="313" spans="1:6">
      <c r="A313" s="202">
        <v>34357</v>
      </c>
      <c r="B313" s="97" t="s">
        <v>1430</v>
      </c>
      <c r="C313" s="41" t="s">
        <v>100</v>
      </c>
      <c r="D313" s="203">
        <v>0.22</v>
      </c>
      <c r="E313" s="1278">
        <v>5.87</v>
      </c>
      <c r="F313" s="934">
        <f t="shared" si="1"/>
        <v>1.29</v>
      </c>
    </row>
    <row r="314" spans="1:6">
      <c r="A314" s="61"/>
      <c r="B314" s="85"/>
      <c r="C314" s="66"/>
      <c r="D314" s="86"/>
      <c r="E314" s="165" t="s">
        <v>58</v>
      </c>
      <c r="F314" s="212">
        <f>SUM(F311:F313)</f>
        <v>45.47</v>
      </c>
    </row>
    <row r="315" spans="1:6" ht="15.75" thickBot="1">
      <c r="A315" s="977"/>
      <c r="B315" s="2003" t="s">
        <v>53</v>
      </c>
      <c r="C315" s="2004"/>
      <c r="D315" s="2004"/>
      <c r="E315" s="1951"/>
      <c r="F315" s="978">
        <f>F309+F314</f>
        <v>76.69</v>
      </c>
    </row>
    <row r="316" spans="1:6" ht="15.75" thickBot="1"/>
    <row r="317" spans="1:6" ht="51">
      <c r="A317" s="226" t="s">
        <v>1445</v>
      </c>
      <c r="B317" s="420" t="s">
        <v>1460</v>
      </c>
      <c r="C317" s="465" t="s">
        <v>46</v>
      </c>
      <c r="D317" s="466"/>
      <c r="E317" s="467"/>
      <c r="F317" s="468"/>
    </row>
    <row r="318" spans="1:6">
      <c r="A318" s="1968" t="s">
        <v>1468</v>
      </c>
      <c r="B318" s="1969"/>
      <c r="C318" s="1969"/>
      <c r="D318" s="1969"/>
      <c r="E318" s="1969"/>
      <c r="F318" s="1970"/>
    </row>
    <row r="319" spans="1:6" ht="30">
      <c r="A319" s="931"/>
      <c r="B319" s="941" t="s">
        <v>56</v>
      </c>
      <c r="C319" s="986" t="s">
        <v>49</v>
      </c>
      <c r="D319" s="987" t="s">
        <v>50</v>
      </c>
      <c r="E319" s="1229" t="s">
        <v>62</v>
      </c>
      <c r="F319" s="932" t="s">
        <v>52</v>
      </c>
    </row>
    <row r="320" spans="1:6" ht="25.5">
      <c r="A320" s="202">
        <v>88256</v>
      </c>
      <c r="B320" s="97" t="s">
        <v>1429</v>
      </c>
      <c r="C320" s="41" t="s">
        <v>57</v>
      </c>
      <c r="D320" s="112">
        <v>1.02</v>
      </c>
      <c r="E320" s="1278">
        <v>24.49</v>
      </c>
      <c r="F320" s="111">
        <f>TRUNC((D320*E320),2)</f>
        <v>24.97</v>
      </c>
    </row>
    <row r="321" spans="1:6">
      <c r="A321" s="935">
        <v>88316</v>
      </c>
      <c r="B321" s="469" t="s">
        <v>66</v>
      </c>
      <c r="C321" s="41" t="s">
        <v>57</v>
      </c>
      <c r="D321" s="112">
        <v>0.5</v>
      </c>
      <c r="E321" s="1248">
        <v>19.45</v>
      </c>
      <c r="F321" s="934">
        <f>TRUNC((D321*E321),2)</f>
        <v>9.7200000000000006</v>
      </c>
    </row>
    <row r="322" spans="1:6">
      <c r="A322" s="964"/>
      <c r="B322" s="936"/>
      <c r="C322" s="10" t="s">
        <v>42</v>
      </c>
      <c r="D322" s="42" t="s">
        <v>42</v>
      </c>
      <c r="E322" s="165" t="s">
        <v>58</v>
      </c>
      <c r="F322" s="937">
        <f>SUM(F320:F321)</f>
        <v>34.69</v>
      </c>
    </row>
    <row r="323" spans="1:6" ht="30">
      <c r="A323" s="964"/>
      <c r="B323" s="941" t="s">
        <v>95</v>
      </c>
      <c r="C323" s="36" t="s">
        <v>49</v>
      </c>
      <c r="D323" s="37" t="s">
        <v>50</v>
      </c>
      <c r="E323" s="133" t="s">
        <v>62</v>
      </c>
      <c r="F323" s="932" t="s">
        <v>52</v>
      </c>
    </row>
    <row r="324" spans="1:6" ht="38.25">
      <c r="A324" s="202">
        <v>536</v>
      </c>
      <c r="B324" s="97" t="s">
        <v>1457</v>
      </c>
      <c r="C324" s="41" t="s">
        <v>46</v>
      </c>
      <c r="D324" s="203">
        <v>1.0900000000000001</v>
      </c>
      <c r="E324" s="1278">
        <v>34.9</v>
      </c>
      <c r="F324" s="934">
        <f>TRUNC((D324*E324),2)</f>
        <v>38.04</v>
      </c>
    </row>
    <row r="325" spans="1:6">
      <c r="A325" s="202">
        <v>1381</v>
      </c>
      <c r="B325" s="97" t="s">
        <v>1458</v>
      </c>
      <c r="C325" s="41" t="s">
        <v>100</v>
      </c>
      <c r="D325" s="203">
        <v>6.14</v>
      </c>
      <c r="E325" s="1278">
        <v>1</v>
      </c>
      <c r="F325" s="934">
        <f t="shared" ref="F325:F326" si="2">TRUNC((D325*E325),2)</f>
        <v>6.14</v>
      </c>
    </row>
    <row r="326" spans="1:6">
      <c r="A326" s="202">
        <v>34357</v>
      </c>
      <c r="B326" s="97" t="s">
        <v>1430</v>
      </c>
      <c r="C326" s="41" t="s">
        <v>100</v>
      </c>
      <c r="D326" s="203">
        <v>0.22</v>
      </c>
      <c r="E326" s="1278">
        <v>5.87</v>
      </c>
      <c r="F326" s="934">
        <f t="shared" si="2"/>
        <v>1.29</v>
      </c>
    </row>
    <row r="327" spans="1:6">
      <c r="A327" s="61"/>
      <c r="B327" s="85"/>
      <c r="C327" s="66"/>
      <c r="D327" s="86"/>
      <c r="E327" s="165" t="s">
        <v>58</v>
      </c>
      <c r="F327" s="212">
        <f>SUM(F324:F326)</f>
        <v>45.47</v>
      </c>
    </row>
    <row r="328" spans="1:6" ht="15.75" thickBot="1">
      <c r="A328" s="977"/>
      <c r="B328" s="2003" t="s">
        <v>53</v>
      </c>
      <c r="C328" s="2004"/>
      <c r="D328" s="2004"/>
      <c r="E328" s="1951"/>
      <c r="F328" s="978">
        <f>F322+F327</f>
        <v>80.16</v>
      </c>
    </row>
    <row r="329" spans="1:6" ht="15.75" thickBot="1"/>
    <row r="330" spans="1:6" ht="38.25">
      <c r="A330" s="226" t="s">
        <v>1455</v>
      </c>
      <c r="B330" s="476" t="s">
        <v>1478</v>
      </c>
      <c r="C330" s="465" t="s">
        <v>46</v>
      </c>
      <c r="D330" s="466"/>
      <c r="E330" s="467"/>
      <c r="F330" s="468"/>
    </row>
    <row r="331" spans="1:6">
      <c r="A331" s="1968" t="s">
        <v>1476</v>
      </c>
      <c r="B331" s="1969"/>
      <c r="C331" s="1969"/>
      <c r="D331" s="1969"/>
      <c r="E331" s="1969"/>
      <c r="F331" s="1970"/>
    </row>
    <row r="332" spans="1:6" ht="30">
      <c r="A332" s="931"/>
      <c r="B332" s="941" t="s">
        <v>56</v>
      </c>
      <c r="C332" s="36" t="s">
        <v>49</v>
      </c>
      <c r="D332" s="37" t="s">
        <v>50</v>
      </c>
      <c r="E332" s="133" t="s">
        <v>62</v>
      </c>
      <c r="F332" s="932" t="s">
        <v>52</v>
      </c>
    </row>
    <row r="333" spans="1:6" ht="25.5">
      <c r="A333" s="202">
        <v>88256</v>
      </c>
      <c r="B333" s="990" t="s">
        <v>1429</v>
      </c>
      <c r="C333" s="41" t="s">
        <v>57</v>
      </c>
      <c r="D333" s="112">
        <v>0.4</v>
      </c>
      <c r="E333" s="1278">
        <v>24.49</v>
      </c>
      <c r="F333" s="934">
        <f>TRUNC((D333*E333),2)</f>
        <v>9.7899999999999991</v>
      </c>
    </row>
    <row r="334" spans="1:6">
      <c r="A334" s="935">
        <v>88316</v>
      </c>
      <c r="B334" s="469" t="s">
        <v>66</v>
      </c>
      <c r="C334" s="41" t="s">
        <v>57</v>
      </c>
      <c r="D334" s="112">
        <v>0.34</v>
      </c>
      <c r="E334" s="1248">
        <v>19.45</v>
      </c>
      <c r="F334" s="934">
        <f>TRUNC((D334*E334),2)</f>
        <v>6.61</v>
      </c>
    </row>
    <row r="335" spans="1:6">
      <c r="A335" s="964"/>
      <c r="B335" s="936"/>
      <c r="C335" s="10" t="s">
        <v>42</v>
      </c>
      <c r="D335" s="42" t="s">
        <v>42</v>
      </c>
      <c r="E335" s="165" t="s">
        <v>58</v>
      </c>
      <c r="F335" s="937">
        <f>SUM(F333:F334)</f>
        <v>16.399999999999999</v>
      </c>
    </row>
    <row r="336" spans="1:6" ht="30">
      <c r="A336" s="964"/>
      <c r="B336" s="941" t="s">
        <v>95</v>
      </c>
      <c r="C336" s="36" t="s">
        <v>49</v>
      </c>
      <c r="D336" s="37" t="s">
        <v>50</v>
      </c>
      <c r="E336" s="133" t="s">
        <v>62</v>
      </c>
      <c r="F336" s="932" t="s">
        <v>52</v>
      </c>
    </row>
    <row r="337" spans="1:6" ht="25.5">
      <c r="A337" s="188" t="s">
        <v>65</v>
      </c>
      <c r="B337" s="477" t="s">
        <v>1479</v>
      </c>
      <c r="C337" s="41" t="s">
        <v>46</v>
      </c>
      <c r="D337" s="203">
        <v>1.05</v>
      </c>
      <c r="E337" s="110">
        <f>C347</f>
        <v>154.9</v>
      </c>
      <c r="F337" s="934">
        <f>TRUNC((D337*E337),2)</f>
        <v>162.63999999999999</v>
      </c>
    </row>
    <row r="338" spans="1:6">
      <c r="A338" s="202">
        <v>34353</v>
      </c>
      <c r="B338" s="97" t="s">
        <v>1477</v>
      </c>
      <c r="C338" s="41" t="s">
        <v>100</v>
      </c>
      <c r="D338" s="203">
        <v>4</v>
      </c>
      <c r="E338" s="1278">
        <v>1.86</v>
      </c>
      <c r="F338" s="934">
        <f>TRUNC((D338*E338),2)</f>
        <v>7.44</v>
      </c>
    </row>
    <row r="339" spans="1:6">
      <c r="A339" s="202">
        <v>34357</v>
      </c>
      <c r="B339" s="97" t="s">
        <v>1430</v>
      </c>
      <c r="C339" s="41" t="s">
        <v>100</v>
      </c>
      <c r="D339" s="203">
        <v>0.66</v>
      </c>
      <c r="E339" s="1278">
        <v>5.87</v>
      </c>
      <c r="F339" s="934">
        <f>TRUNC((D339*E339),2)</f>
        <v>3.87</v>
      </c>
    </row>
    <row r="340" spans="1:6">
      <c r="A340" s="61"/>
      <c r="B340" s="85"/>
      <c r="C340" s="66"/>
      <c r="D340" s="86"/>
      <c r="E340" s="165" t="s">
        <v>58</v>
      </c>
      <c r="F340" s="212">
        <f>F337+F338+F339</f>
        <v>173.95</v>
      </c>
    </row>
    <row r="341" spans="1:6" ht="15.75" thickBot="1">
      <c r="A341" s="977"/>
      <c r="B341" s="2003" t="s">
        <v>53</v>
      </c>
      <c r="C341" s="2004"/>
      <c r="D341" s="2004"/>
      <c r="E341" s="1951"/>
      <c r="F341" s="978">
        <f>SUM(F335,F340)</f>
        <v>190.35</v>
      </c>
    </row>
    <row r="342" spans="1:6">
      <c r="A342" s="88"/>
      <c r="B342" s="1962" t="s">
        <v>96</v>
      </c>
      <c r="C342" s="1963"/>
      <c r="D342" s="1963"/>
      <c r="E342" s="1964"/>
      <c r="F342" s="89"/>
    </row>
    <row r="343" spans="1:6" ht="25.5">
      <c r="A343" s="75" t="s">
        <v>59</v>
      </c>
      <c r="B343" s="46" t="s">
        <v>97</v>
      </c>
      <c r="C343" s="164" t="s">
        <v>98</v>
      </c>
      <c r="D343" s="1965" t="s">
        <v>60</v>
      </c>
      <c r="E343" s="1965"/>
      <c r="F343" s="76" t="s">
        <v>99</v>
      </c>
    </row>
    <row r="344" spans="1:6" ht="25.5">
      <c r="A344" s="1246">
        <v>44853</v>
      </c>
      <c r="B344" s="1247" t="s">
        <v>2079</v>
      </c>
      <c r="C344" s="1248">
        <v>154.9</v>
      </c>
      <c r="D344" s="1981" t="s">
        <v>2041</v>
      </c>
      <c r="E344" s="1982"/>
      <c r="F344" s="1249" t="s">
        <v>2336</v>
      </c>
    </row>
    <row r="345" spans="1:6" ht="38.25">
      <c r="A345" s="1246">
        <v>44851</v>
      </c>
      <c r="B345" s="1247" t="s">
        <v>2192</v>
      </c>
      <c r="C345" s="1248">
        <v>272</v>
      </c>
      <c r="D345" s="1981" t="s">
        <v>2193</v>
      </c>
      <c r="E345" s="1982"/>
      <c r="F345" s="1249" t="s">
        <v>2346</v>
      </c>
    </row>
    <row r="346" spans="1:6" ht="25.5">
      <c r="A346" s="1246">
        <v>44869</v>
      </c>
      <c r="B346" s="1247" t="s">
        <v>2194</v>
      </c>
      <c r="C346" s="1248">
        <v>154.5</v>
      </c>
      <c r="D346" s="1981" t="s">
        <v>2195</v>
      </c>
      <c r="E346" s="1982"/>
      <c r="F346" s="1249" t="s">
        <v>2347</v>
      </c>
    </row>
    <row r="347" spans="1:6" ht="15.75" thickBot="1">
      <c r="A347" s="63"/>
      <c r="B347" s="174" t="s">
        <v>61</v>
      </c>
      <c r="C347" s="64">
        <f>MEDIAN(C344:C346)</f>
        <v>154.9</v>
      </c>
      <c r="D347" s="1985"/>
      <c r="E347" s="1986"/>
      <c r="F347" s="65"/>
    </row>
    <row r="348" spans="1:6" ht="15.75" thickBot="1"/>
    <row r="349" spans="1:6" ht="25.5">
      <c r="A349" s="226" t="s">
        <v>1459</v>
      </c>
      <c r="B349" s="224" t="s">
        <v>1597</v>
      </c>
      <c r="C349" s="465"/>
      <c r="D349" s="505" t="s">
        <v>1599</v>
      </c>
      <c r="E349" s="467"/>
      <c r="F349" s="468"/>
    </row>
    <row r="350" spans="1:6" ht="15.75" thickBot="1">
      <c r="A350" s="2009" t="s">
        <v>1598</v>
      </c>
      <c r="B350" s="2010"/>
      <c r="C350" s="2010"/>
      <c r="D350" s="2010"/>
      <c r="E350" s="2010"/>
      <c r="F350" s="2011"/>
    </row>
    <row r="351" spans="1:6" ht="30">
      <c r="A351" s="1230"/>
      <c r="B351" s="988" t="s">
        <v>56</v>
      </c>
      <c r="C351" s="1014" t="s">
        <v>49</v>
      </c>
      <c r="D351" s="1015" t="s">
        <v>50</v>
      </c>
      <c r="E351" s="1016" t="s">
        <v>62</v>
      </c>
      <c r="F351" s="989" t="s">
        <v>52</v>
      </c>
    </row>
    <row r="352" spans="1:6">
      <c r="A352" s="935"/>
      <c r="B352" s="469"/>
      <c r="C352" s="41" t="s">
        <v>57</v>
      </c>
      <c r="D352" s="112"/>
      <c r="E352" s="110"/>
      <c r="F352" s="934">
        <f>TRUNC((D352*E352),2)</f>
        <v>0</v>
      </c>
    </row>
    <row r="353" spans="1:8">
      <c r="A353" s="964"/>
      <c r="B353" s="936"/>
      <c r="C353" s="10" t="s">
        <v>42</v>
      </c>
      <c r="D353" s="42" t="s">
        <v>42</v>
      </c>
      <c r="E353" s="165" t="s">
        <v>58</v>
      </c>
      <c r="F353" s="937">
        <f>SUM(F352:F352)</f>
        <v>0</v>
      </c>
    </row>
    <row r="354" spans="1:8" ht="30">
      <c r="A354" s="964"/>
      <c r="B354" s="941" t="s">
        <v>95</v>
      </c>
      <c r="C354" s="36" t="s">
        <v>49</v>
      </c>
      <c r="D354" s="37" t="s">
        <v>50</v>
      </c>
      <c r="E354" s="133" t="s">
        <v>62</v>
      </c>
      <c r="F354" s="932" t="s">
        <v>52</v>
      </c>
    </row>
    <row r="355" spans="1:8">
      <c r="A355" s="188" t="s">
        <v>65</v>
      </c>
      <c r="B355" s="97" t="s">
        <v>303</v>
      </c>
      <c r="C355" s="41" t="s">
        <v>55</v>
      </c>
      <c r="D355" s="203">
        <v>1</v>
      </c>
      <c r="E355" s="110">
        <f>C364</f>
        <v>13080</v>
      </c>
      <c r="F355" s="934">
        <f>TRUNC((D355*E355),2)</f>
        <v>13080</v>
      </c>
    </row>
    <row r="356" spans="1:8">
      <c r="A356" s="61"/>
      <c r="B356" s="85"/>
      <c r="C356" s="66"/>
      <c r="D356" s="86"/>
      <c r="E356" s="165" t="s">
        <v>58</v>
      </c>
      <c r="F356" s="212">
        <f>SUM(F355:F355)</f>
        <v>13080</v>
      </c>
    </row>
    <row r="357" spans="1:8" ht="15.75" thickBot="1">
      <c r="A357" s="977"/>
      <c r="B357" s="2003" t="s">
        <v>53</v>
      </c>
      <c r="C357" s="2004"/>
      <c r="D357" s="2004"/>
      <c r="E357" s="1951"/>
      <c r="F357" s="978">
        <f>F353+F356</f>
        <v>13080</v>
      </c>
    </row>
    <row r="358" spans="1:8">
      <c r="A358" s="88"/>
      <c r="B358" s="1962" t="s">
        <v>96</v>
      </c>
      <c r="C358" s="1963"/>
      <c r="D358" s="1963"/>
      <c r="E358" s="1964"/>
      <c r="F358" s="89"/>
    </row>
    <row r="359" spans="1:8" ht="25.5">
      <c r="A359" s="75" t="s">
        <v>59</v>
      </c>
      <c r="B359" s="46" t="s">
        <v>97</v>
      </c>
      <c r="C359" s="164" t="s">
        <v>98</v>
      </c>
      <c r="D359" s="1965" t="s">
        <v>60</v>
      </c>
      <c r="E359" s="1965"/>
      <c r="F359" s="76" t="s">
        <v>99</v>
      </c>
    </row>
    <row r="360" spans="1:8" ht="25.5">
      <c r="A360" s="75" t="s">
        <v>59</v>
      </c>
      <c r="B360" s="46" t="s">
        <v>97</v>
      </c>
      <c r="C360" s="164" t="s">
        <v>98</v>
      </c>
      <c r="D360" s="1965" t="s">
        <v>60</v>
      </c>
      <c r="E360" s="1965"/>
      <c r="F360" s="76" t="s">
        <v>99</v>
      </c>
    </row>
    <row r="361" spans="1:8" ht="25.5">
      <c r="A361" s="1246">
        <v>44855</v>
      </c>
      <c r="B361" s="1247" t="s">
        <v>2044</v>
      </c>
      <c r="C361" s="1248">
        <v>16800</v>
      </c>
      <c r="D361" s="1981" t="s">
        <v>2048</v>
      </c>
      <c r="E361" s="1982"/>
      <c r="F361" s="1249" t="s">
        <v>2340</v>
      </c>
    </row>
    <row r="362" spans="1:8" ht="45" customHeight="1">
      <c r="A362" s="1246">
        <v>44890</v>
      </c>
      <c r="B362" s="1247" t="s">
        <v>2186</v>
      </c>
      <c r="C362" s="1260">
        <v>12660</v>
      </c>
      <c r="D362" s="1981" t="s">
        <v>2187</v>
      </c>
      <c r="E362" s="1982"/>
      <c r="F362" s="1249" t="s">
        <v>2341</v>
      </c>
    </row>
    <row r="363" spans="1:8" ht="38.25">
      <c r="A363" s="1246">
        <v>44852</v>
      </c>
      <c r="B363" s="1250" t="s">
        <v>2052</v>
      </c>
      <c r="C363" s="1248">
        <v>13080</v>
      </c>
      <c r="D363" s="1981" t="s">
        <v>2053</v>
      </c>
      <c r="E363" s="1982"/>
      <c r="F363" s="1262" t="s">
        <v>2342</v>
      </c>
      <c r="H363" s="1259" t="s">
        <v>2196</v>
      </c>
    </row>
    <row r="364" spans="1:8" ht="15.75" thickBot="1">
      <c r="A364" s="63"/>
      <c r="B364" s="174" t="s">
        <v>61</v>
      </c>
      <c r="C364" s="64">
        <f>MEDIAN(C361:C363)</f>
        <v>13080</v>
      </c>
      <c r="D364" s="1985"/>
      <c r="E364" s="1986"/>
      <c r="F364" s="65"/>
    </row>
    <row r="365" spans="1:8" ht="15.75" thickBot="1"/>
    <row r="366" spans="1:8" ht="25.5">
      <c r="A366" s="226" t="s">
        <v>1465</v>
      </c>
      <c r="B366" s="420" t="s">
        <v>2203</v>
      </c>
      <c r="C366" s="465" t="s">
        <v>1599</v>
      </c>
      <c r="D366" s="466"/>
      <c r="E366" s="467"/>
      <c r="F366" s="468"/>
    </row>
    <row r="367" spans="1:8">
      <c r="A367" s="1968" t="s">
        <v>2164</v>
      </c>
      <c r="B367" s="1969"/>
      <c r="C367" s="1969"/>
      <c r="D367" s="1969"/>
      <c r="E367" s="1969"/>
      <c r="F367" s="1970"/>
    </row>
    <row r="368" spans="1:8" ht="30">
      <c r="A368" s="931"/>
      <c r="B368" s="941" t="s">
        <v>56</v>
      </c>
      <c r="C368" s="36" t="s">
        <v>49</v>
      </c>
      <c r="D368" s="37" t="s">
        <v>50</v>
      </c>
      <c r="E368" s="133" t="s">
        <v>62</v>
      </c>
      <c r="F368" s="932" t="s">
        <v>52</v>
      </c>
    </row>
    <row r="369" spans="1:6">
      <c r="A369" s="935"/>
      <c r="B369" s="469"/>
      <c r="C369" s="41"/>
      <c r="D369" s="112"/>
      <c r="E369" s="110"/>
      <c r="F369" s="934">
        <f>TRUNC((D369*E369),2)</f>
        <v>0</v>
      </c>
    </row>
    <row r="370" spans="1:6">
      <c r="A370" s="964"/>
      <c r="B370" s="936"/>
      <c r="C370" s="10" t="s">
        <v>42</v>
      </c>
      <c r="D370" s="42" t="s">
        <v>42</v>
      </c>
      <c r="E370" s="165" t="s">
        <v>58</v>
      </c>
      <c r="F370" s="937">
        <f>SUM(F369:F369)</f>
        <v>0</v>
      </c>
    </row>
    <row r="371" spans="1:6" ht="30">
      <c r="A371" s="964"/>
      <c r="B371" s="941" t="s">
        <v>95</v>
      </c>
      <c r="C371" s="36" t="s">
        <v>49</v>
      </c>
      <c r="D371" s="37" t="s">
        <v>50</v>
      </c>
      <c r="E371" s="133" t="s">
        <v>62</v>
      </c>
      <c r="F371" s="932" t="s">
        <v>52</v>
      </c>
    </row>
    <row r="372" spans="1:6">
      <c r="A372" s="188" t="s">
        <v>65</v>
      </c>
      <c r="B372" s="97" t="s">
        <v>2038</v>
      </c>
      <c r="C372" s="41" t="s">
        <v>55</v>
      </c>
      <c r="D372" s="203">
        <v>1</v>
      </c>
      <c r="E372" s="110">
        <f>C380</f>
        <v>13469.3</v>
      </c>
      <c r="F372" s="934">
        <f>TRUNC((D372*E372),2)</f>
        <v>13469.3</v>
      </c>
    </row>
    <row r="373" spans="1:6">
      <c r="A373" s="61"/>
      <c r="B373" s="85"/>
      <c r="C373" s="66"/>
      <c r="D373" s="86"/>
      <c r="E373" s="165" t="s">
        <v>58</v>
      </c>
      <c r="F373" s="212">
        <f>SUM(F372:F372)</f>
        <v>13469.3</v>
      </c>
    </row>
    <row r="374" spans="1:6" ht="15.75" thickBot="1">
      <c r="A374" s="977"/>
      <c r="B374" s="2003" t="s">
        <v>53</v>
      </c>
      <c r="C374" s="2004"/>
      <c r="D374" s="2004"/>
      <c r="E374" s="1951"/>
      <c r="F374" s="978">
        <f>F370+F373</f>
        <v>13469.3</v>
      </c>
    </row>
    <row r="375" spans="1:6">
      <c r="A375" s="267"/>
      <c r="B375" s="1978" t="s">
        <v>96</v>
      </c>
      <c r="C375" s="1979"/>
      <c r="D375" s="1979"/>
      <c r="E375" s="1980"/>
      <c r="F375" s="268"/>
    </row>
    <row r="376" spans="1:6" ht="25.5">
      <c r="A376" s="75" t="s">
        <v>59</v>
      </c>
      <c r="B376" s="46" t="s">
        <v>97</v>
      </c>
      <c r="C376" s="164" t="s">
        <v>98</v>
      </c>
      <c r="D376" s="1965" t="s">
        <v>60</v>
      </c>
      <c r="E376" s="1965"/>
      <c r="F376" s="76" t="s">
        <v>99</v>
      </c>
    </row>
    <row r="377" spans="1:6" ht="25.5">
      <c r="A377" s="1246">
        <v>44859</v>
      </c>
      <c r="B377" s="1250" t="s">
        <v>2208</v>
      </c>
      <c r="C377" s="1248">
        <v>8200</v>
      </c>
      <c r="D377" s="1967" t="s">
        <v>2209</v>
      </c>
      <c r="E377" s="1967"/>
      <c r="F377" s="62" t="s">
        <v>2348</v>
      </c>
    </row>
    <row r="378" spans="1:6">
      <c r="A378" s="1246">
        <v>44862</v>
      </c>
      <c r="B378" s="1247" t="s">
        <v>2204</v>
      </c>
      <c r="C378" s="1248">
        <v>15660</v>
      </c>
      <c r="D378" s="1981" t="s">
        <v>2205</v>
      </c>
      <c r="E378" s="1982"/>
      <c r="F378" s="62" t="s">
        <v>2349</v>
      </c>
    </row>
    <row r="379" spans="1:6" ht="25.5">
      <c r="A379" s="1246">
        <v>44882</v>
      </c>
      <c r="B379" s="1247" t="s">
        <v>2206</v>
      </c>
      <c r="C379" s="1248">
        <v>13469.3</v>
      </c>
      <c r="D379" s="1981" t="s">
        <v>2207</v>
      </c>
      <c r="E379" s="1982"/>
      <c r="F379" s="62" t="s">
        <v>2350</v>
      </c>
    </row>
    <row r="380" spans="1:6" ht="15.75" thickBot="1">
      <c r="A380" s="1121"/>
      <c r="B380" s="1122" t="s">
        <v>61</v>
      </c>
      <c r="C380" s="1274">
        <f>MEDIAN(C377:C379)</f>
        <v>13469.3</v>
      </c>
      <c r="D380" s="2017"/>
      <c r="E380" s="2016"/>
      <c r="F380" s="1124"/>
    </row>
    <row r="381" spans="1:6" ht="15.75" thickBot="1"/>
    <row r="382" spans="1:6" ht="25.5">
      <c r="A382" s="226" t="s">
        <v>1466</v>
      </c>
      <c r="B382" s="224" t="s">
        <v>2054</v>
      </c>
      <c r="C382" s="465" t="s">
        <v>1599</v>
      </c>
      <c r="D382" s="466"/>
      <c r="E382" s="467"/>
      <c r="F382" s="468"/>
    </row>
    <row r="383" spans="1:6">
      <c r="A383" s="2018" t="s">
        <v>2164</v>
      </c>
      <c r="B383" s="2019"/>
      <c r="C383" s="2019"/>
      <c r="D383" s="2019"/>
      <c r="E383" s="2019"/>
      <c r="F383" s="2020"/>
    </row>
    <row r="384" spans="1:6" ht="30">
      <c r="A384" s="34"/>
      <c r="B384" s="35" t="s">
        <v>56</v>
      </c>
      <c r="C384" s="36" t="s">
        <v>49</v>
      </c>
      <c r="D384" s="37" t="s">
        <v>50</v>
      </c>
      <c r="E384" s="46" t="s">
        <v>62</v>
      </c>
      <c r="F384" s="38" t="s">
        <v>52</v>
      </c>
    </row>
    <row r="385" spans="1:9">
      <c r="A385" s="935"/>
      <c r="B385" s="469"/>
      <c r="C385" s="41"/>
      <c r="D385" s="112"/>
      <c r="E385" s="110"/>
      <c r="F385" s="934">
        <f>TRUNC((D385*E385),2)</f>
        <v>0</v>
      </c>
    </row>
    <row r="386" spans="1:9">
      <c r="A386" s="964"/>
      <c r="B386" s="936"/>
      <c r="C386" s="10" t="s">
        <v>42</v>
      </c>
      <c r="D386" s="42" t="s">
        <v>42</v>
      </c>
      <c r="E386" s="165" t="s">
        <v>58</v>
      </c>
      <c r="F386" s="937">
        <f>SUM(F385:F385)</f>
        <v>0</v>
      </c>
    </row>
    <row r="387" spans="1:9" ht="30">
      <c r="A387" s="964"/>
      <c r="B387" s="941" t="s">
        <v>95</v>
      </c>
      <c r="C387" s="36" t="s">
        <v>49</v>
      </c>
      <c r="D387" s="37" t="s">
        <v>50</v>
      </c>
      <c r="E387" s="133" t="s">
        <v>62</v>
      </c>
      <c r="F387" s="932" t="s">
        <v>52</v>
      </c>
    </row>
    <row r="388" spans="1:9" ht="25.5">
      <c r="A388" s="188" t="s">
        <v>65</v>
      </c>
      <c r="B388" s="97" t="s">
        <v>2165</v>
      </c>
      <c r="C388" s="41" t="s">
        <v>55</v>
      </c>
      <c r="D388" s="203">
        <v>1</v>
      </c>
      <c r="E388" s="110">
        <f>C396</f>
        <v>5500</v>
      </c>
      <c r="F388" s="934">
        <f>TRUNC((D388*E388),2)</f>
        <v>5500</v>
      </c>
      <c r="H388" s="177" t="s">
        <v>2023</v>
      </c>
    </row>
    <row r="389" spans="1:9">
      <c r="A389" s="61"/>
      <c r="B389" s="85"/>
      <c r="C389" s="66"/>
      <c r="D389" s="86"/>
      <c r="E389" s="165" t="s">
        <v>58</v>
      </c>
      <c r="F389" s="212">
        <f>SUM(F388:F388)</f>
        <v>5500</v>
      </c>
      <c r="H389" s="177" t="s">
        <v>2024</v>
      </c>
    </row>
    <row r="390" spans="1:9" ht="15.75" thickBot="1">
      <c r="A390" s="977"/>
      <c r="B390" s="2003" t="s">
        <v>53</v>
      </c>
      <c r="C390" s="2004"/>
      <c r="D390" s="2004"/>
      <c r="E390" s="1951"/>
      <c r="F390" s="978">
        <f>F386+F389</f>
        <v>5500</v>
      </c>
    </row>
    <row r="391" spans="1:9">
      <c r="A391" s="267"/>
      <c r="B391" s="1978" t="s">
        <v>96</v>
      </c>
      <c r="C391" s="1979"/>
      <c r="D391" s="1979"/>
      <c r="E391" s="1980"/>
      <c r="F391" s="268"/>
    </row>
    <row r="392" spans="1:9" ht="25.5">
      <c r="A392" s="1266" t="s">
        <v>59</v>
      </c>
      <c r="B392" s="1267" t="s">
        <v>97</v>
      </c>
      <c r="C392" s="1268" t="s">
        <v>98</v>
      </c>
      <c r="D392" s="1966" t="s">
        <v>60</v>
      </c>
      <c r="E392" s="1966"/>
      <c r="F392" s="1269" t="s">
        <v>99</v>
      </c>
    </row>
    <row r="393" spans="1:9" ht="25.5">
      <c r="A393" s="1246">
        <v>44851</v>
      </c>
      <c r="B393" s="1247" t="s">
        <v>2197</v>
      </c>
      <c r="C393" s="1248">
        <v>5500</v>
      </c>
      <c r="D393" s="1981" t="s">
        <v>2198</v>
      </c>
      <c r="E393" s="1982"/>
      <c r="F393" s="1249" t="s">
        <v>2351</v>
      </c>
      <c r="H393" s="1036"/>
    </row>
    <row r="394" spans="1:9" ht="25.5">
      <c r="A394" s="1246">
        <v>44851</v>
      </c>
      <c r="B394" s="1247" t="s">
        <v>2199</v>
      </c>
      <c r="C394" s="1248">
        <v>8640</v>
      </c>
      <c r="D394" s="1981" t="s">
        <v>2200</v>
      </c>
      <c r="E394" s="1982"/>
      <c r="F394" s="1249" t="s">
        <v>2352</v>
      </c>
      <c r="H394" s="1620" t="s">
        <v>2377</v>
      </c>
      <c r="I394" s="1013"/>
    </row>
    <row r="395" spans="1:9" ht="24.75">
      <c r="A395" s="1246">
        <v>44865</v>
      </c>
      <c r="B395" s="1247" t="s">
        <v>2201</v>
      </c>
      <c r="C395" s="1248">
        <v>3040</v>
      </c>
      <c r="D395" s="1981" t="s">
        <v>2202</v>
      </c>
      <c r="E395" s="1982"/>
      <c r="F395" s="1249" t="s">
        <v>2353</v>
      </c>
      <c r="H395" s="506"/>
      <c r="I395" s="1012"/>
    </row>
    <row r="396" spans="1:9" ht="15.75" thickBot="1">
      <c r="A396" s="1270"/>
      <c r="B396" s="1122" t="s">
        <v>61</v>
      </c>
      <c r="C396" s="1123">
        <f>MEDIAN(C393:C395)</f>
        <v>5500</v>
      </c>
      <c r="D396" s="1983"/>
      <c r="E396" s="2016"/>
      <c r="F396" s="1124"/>
    </row>
    <row r="397" spans="1:9" ht="15.75" thickBot="1"/>
    <row r="398" spans="1:9" ht="25.5">
      <c r="A398" s="226" t="s">
        <v>1467</v>
      </c>
      <c r="B398" s="224" t="s">
        <v>1606</v>
      </c>
      <c r="C398" s="465" t="s">
        <v>47</v>
      </c>
      <c r="D398" s="466"/>
      <c r="E398" s="467"/>
      <c r="F398" s="468"/>
    </row>
    <row r="399" spans="1:9">
      <c r="A399" s="1968" t="s">
        <v>1608</v>
      </c>
      <c r="B399" s="1969"/>
      <c r="C399" s="1969"/>
      <c r="D399" s="1969"/>
      <c r="E399" s="1969"/>
      <c r="F399" s="1970"/>
    </row>
    <row r="400" spans="1:9" ht="30">
      <c r="A400" s="931"/>
      <c r="B400" s="941" t="s">
        <v>56</v>
      </c>
      <c r="C400" s="36" t="s">
        <v>49</v>
      </c>
      <c r="D400" s="37" t="s">
        <v>50</v>
      </c>
      <c r="E400" s="133" t="s">
        <v>62</v>
      </c>
      <c r="F400" s="932" t="s">
        <v>52</v>
      </c>
    </row>
    <row r="401" spans="1:6">
      <c r="A401" s="933">
        <v>88316</v>
      </c>
      <c r="B401" s="942" t="s">
        <v>66</v>
      </c>
      <c r="C401" s="41" t="s">
        <v>57</v>
      </c>
      <c r="D401" s="112">
        <v>2.5</v>
      </c>
      <c r="E401" s="1248">
        <v>19.45</v>
      </c>
      <c r="F401" s="934">
        <f>TRUNC((D401*E401),2)</f>
        <v>48.62</v>
      </c>
    </row>
    <row r="402" spans="1:6">
      <c r="A402" s="964"/>
      <c r="B402" s="936"/>
      <c r="C402" s="10" t="s">
        <v>42</v>
      </c>
      <c r="D402" s="42" t="s">
        <v>42</v>
      </c>
      <c r="E402" s="165" t="s">
        <v>58</v>
      </c>
      <c r="F402" s="937">
        <f>SUM(F401:F401)</f>
        <v>48.62</v>
      </c>
    </row>
    <row r="403" spans="1:6" ht="30">
      <c r="A403" s="964"/>
      <c r="B403" s="941" t="s">
        <v>95</v>
      </c>
      <c r="C403" s="36" t="s">
        <v>49</v>
      </c>
      <c r="D403" s="37" t="s">
        <v>50</v>
      </c>
      <c r="E403" s="133" t="s">
        <v>62</v>
      </c>
      <c r="F403" s="932" t="s">
        <v>52</v>
      </c>
    </row>
    <row r="404" spans="1:6">
      <c r="A404" s="188">
        <v>7253</v>
      </c>
      <c r="B404" s="97" t="s">
        <v>1609</v>
      </c>
      <c r="C404" s="41" t="s">
        <v>47</v>
      </c>
      <c r="D404" s="203">
        <v>1</v>
      </c>
      <c r="E404" s="1278">
        <v>143.57</v>
      </c>
      <c r="F404" s="934">
        <f>TRUNC((D404*E404),2)</f>
        <v>143.57</v>
      </c>
    </row>
    <row r="405" spans="1:6">
      <c r="A405" s="61"/>
      <c r="B405" s="85"/>
      <c r="C405" s="66"/>
      <c r="D405" s="86"/>
      <c r="E405" s="165" t="s">
        <v>58</v>
      </c>
      <c r="F405" s="212">
        <f>SUM(F404:F404)</f>
        <v>143.57</v>
      </c>
    </row>
    <row r="406" spans="1:6" ht="15.75" thickBot="1">
      <c r="A406" s="977"/>
      <c r="B406" s="2003" t="s">
        <v>53</v>
      </c>
      <c r="C406" s="2004"/>
      <c r="D406" s="2004"/>
      <c r="E406" s="1951"/>
      <c r="F406" s="978">
        <f>F402+F405</f>
        <v>192.19</v>
      </c>
    </row>
    <row r="407" spans="1:6" ht="15.75" thickBot="1"/>
    <row r="408" spans="1:6" ht="25.5">
      <c r="A408" s="226" t="s">
        <v>1604</v>
      </c>
      <c r="B408" s="224" t="s">
        <v>1615</v>
      </c>
      <c r="C408" s="465" t="s">
        <v>46</v>
      </c>
      <c r="D408" s="466"/>
      <c r="E408" s="467"/>
      <c r="F408" s="468"/>
    </row>
    <row r="409" spans="1:6">
      <c r="A409" s="1968" t="s">
        <v>1619</v>
      </c>
      <c r="B409" s="1969"/>
      <c r="C409" s="1969"/>
      <c r="D409" s="1969"/>
      <c r="E409" s="1969"/>
      <c r="F409" s="1970"/>
    </row>
    <row r="410" spans="1:6" ht="30">
      <c r="A410" s="931"/>
      <c r="B410" s="941" t="s">
        <v>56</v>
      </c>
      <c r="C410" s="36" t="s">
        <v>49</v>
      </c>
      <c r="D410" s="37" t="s">
        <v>50</v>
      </c>
      <c r="E410" s="133" t="s">
        <v>62</v>
      </c>
      <c r="F410" s="932" t="s">
        <v>52</v>
      </c>
    </row>
    <row r="411" spans="1:6" ht="25.5">
      <c r="A411" s="202">
        <v>88256</v>
      </c>
      <c r="B411" s="990" t="s">
        <v>1429</v>
      </c>
      <c r="C411" s="41" t="s">
        <v>57</v>
      </c>
      <c r="D411" s="112">
        <v>1.7</v>
      </c>
      <c r="E411" s="1278">
        <v>24.49</v>
      </c>
      <c r="F411" s="934">
        <f>TRUNC((D411*E411),2)</f>
        <v>41.63</v>
      </c>
    </row>
    <row r="412" spans="1:6">
      <c r="A412" s="202">
        <v>88309</v>
      </c>
      <c r="B412" s="990" t="s">
        <v>103</v>
      </c>
      <c r="C412" s="41" t="s">
        <v>57</v>
      </c>
      <c r="D412" s="112">
        <v>0.6</v>
      </c>
      <c r="E412" s="1271">
        <v>24.59</v>
      </c>
      <c r="F412" s="934">
        <f t="shared" ref="F412:F413" si="3">TRUNC((D412*E412),2)</f>
        <v>14.75</v>
      </c>
    </row>
    <row r="413" spans="1:6">
      <c r="A413" s="933">
        <v>88316</v>
      </c>
      <c r="B413" s="942" t="s">
        <v>66</v>
      </c>
      <c r="C413" s="41" t="s">
        <v>57</v>
      </c>
      <c r="D413" s="112">
        <v>1.8</v>
      </c>
      <c r="E413" s="1248">
        <v>19.45</v>
      </c>
      <c r="F413" s="934">
        <f t="shared" si="3"/>
        <v>35.01</v>
      </c>
    </row>
    <row r="414" spans="1:6">
      <c r="A414" s="964"/>
      <c r="B414" s="936"/>
      <c r="C414" s="1231" t="s">
        <v>42</v>
      </c>
      <c r="D414" s="1232" t="s">
        <v>42</v>
      </c>
      <c r="E414" s="1040" t="s">
        <v>58</v>
      </c>
      <c r="F414" s="937">
        <f>SUM(F411:F413)</f>
        <v>91.39</v>
      </c>
    </row>
    <row r="415" spans="1:6" ht="30">
      <c r="A415" s="39"/>
      <c r="B415" s="35" t="s">
        <v>95</v>
      </c>
      <c r="C415" s="36" t="s">
        <v>49</v>
      </c>
      <c r="D415" s="37" t="s">
        <v>50</v>
      </c>
      <c r="E415" s="46" t="s">
        <v>62</v>
      </c>
      <c r="F415" s="38" t="s">
        <v>52</v>
      </c>
    </row>
    <row r="416" spans="1:6" ht="25.5">
      <c r="A416" s="188">
        <v>370</v>
      </c>
      <c r="B416" s="97" t="s">
        <v>388</v>
      </c>
      <c r="C416" s="41" t="s">
        <v>47</v>
      </c>
      <c r="D416" s="293">
        <v>2.1000000000000001E-2</v>
      </c>
      <c r="E416" s="1278">
        <v>125</v>
      </c>
      <c r="F416" s="934">
        <f>TRUNC((D416*E416),2)</f>
        <v>2.62</v>
      </c>
    </row>
    <row r="417" spans="1:6">
      <c r="A417" s="188">
        <v>1106</v>
      </c>
      <c r="B417" s="97" t="s">
        <v>500</v>
      </c>
      <c r="C417" s="41" t="s">
        <v>100</v>
      </c>
      <c r="D417" s="293">
        <v>4.6399999999999997</v>
      </c>
      <c r="E417" s="1278">
        <v>0.95</v>
      </c>
      <c r="F417" s="934">
        <f t="shared" ref="F417:F421" si="4">TRUNC((D417*E417),2)</f>
        <v>4.4000000000000004</v>
      </c>
    </row>
    <row r="418" spans="1:6">
      <c r="A418" s="188">
        <v>34361</v>
      </c>
      <c r="B418" s="97" t="s">
        <v>1617</v>
      </c>
      <c r="C418" s="41" t="s">
        <v>100</v>
      </c>
      <c r="D418" s="293">
        <v>1.34</v>
      </c>
      <c r="E418" s="1278">
        <v>21.57</v>
      </c>
      <c r="F418" s="934">
        <f t="shared" si="4"/>
        <v>28.9</v>
      </c>
    </row>
    <row r="419" spans="1:6">
      <c r="A419" s="188">
        <v>13284</v>
      </c>
      <c r="B419" s="97" t="s">
        <v>1963</v>
      </c>
      <c r="C419" s="41" t="s">
        <v>100</v>
      </c>
      <c r="D419" s="203">
        <v>2.2200000000000002</v>
      </c>
      <c r="E419" s="1278">
        <v>0.95</v>
      </c>
      <c r="F419" s="934">
        <f t="shared" si="4"/>
        <v>2.1</v>
      </c>
    </row>
    <row r="420" spans="1:6">
      <c r="A420" s="188">
        <v>1380</v>
      </c>
      <c r="B420" s="97" t="s">
        <v>1618</v>
      </c>
      <c r="C420" s="41" t="s">
        <v>100</v>
      </c>
      <c r="D420" s="203">
        <v>2.5</v>
      </c>
      <c r="E420" s="1278">
        <v>2.95</v>
      </c>
      <c r="F420" s="934">
        <f t="shared" si="4"/>
        <v>7.37</v>
      </c>
    </row>
    <row r="421" spans="1:6" ht="38.25">
      <c r="A421" s="188">
        <v>11795</v>
      </c>
      <c r="B421" s="97" t="s">
        <v>1616</v>
      </c>
      <c r="C421" s="41" t="s">
        <v>46</v>
      </c>
      <c r="D421" s="203">
        <v>1.05</v>
      </c>
      <c r="E421" s="1278">
        <v>830.18</v>
      </c>
      <c r="F421" s="934">
        <f t="shared" si="4"/>
        <v>871.68</v>
      </c>
    </row>
    <row r="422" spans="1:6" ht="15.75" thickBot="1">
      <c r="A422" s="99"/>
      <c r="B422" s="1005"/>
      <c r="C422" s="52"/>
      <c r="D422" s="1006"/>
      <c r="E422" s="1007" t="s">
        <v>58</v>
      </c>
      <c r="F422" s="1008">
        <f>SUM(F416:F421)</f>
        <v>917.06999999999994</v>
      </c>
    </row>
    <row r="423" spans="1:6" ht="15.75" thickBot="1">
      <c r="A423" s="977"/>
      <c r="B423" s="1950" t="s">
        <v>53</v>
      </c>
      <c r="C423" s="1951"/>
      <c r="D423" s="1951"/>
      <c r="E423" s="1951"/>
      <c r="F423" s="978">
        <f>F414+F422</f>
        <v>1008.4599999999999</v>
      </c>
    </row>
    <row r="424" spans="1:6" ht="15.75" thickBot="1"/>
    <row r="425" spans="1:6" ht="25.5">
      <c r="A425" s="226" t="s">
        <v>1605</v>
      </c>
      <c r="B425" s="183" t="s">
        <v>1961</v>
      </c>
      <c r="C425" s="71" t="s">
        <v>46</v>
      </c>
      <c r="D425" s="72"/>
      <c r="E425" s="73"/>
      <c r="F425" s="122"/>
    </row>
    <row r="426" spans="1:6">
      <c r="A426" s="1957" t="s">
        <v>1962</v>
      </c>
      <c r="B426" s="1958"/>
      <c r="C426" s="1958"/>
      <c r="D426" s="1958"/>
      <c r="E426" s="1958"/>
      <c r="F426" s="1959"/>
    </row>
    <row r="427" spans="1:6" ht="30">
      <c r="A427" s="931"/>
      <c r="B427" s="941" t="s">
        <v>56</v>
      </c>
      <c r="C427" s="36" t="s">
        <v>49</v>
      </c>
      <c r="D427" s="37" t="s">
        <v>50</v>
      </c>
      <c r="E427" s="46" t="s">
        <v>62</v>
      </c>
      <c r="F427" s="932" t="s">
        <v>52</v>
      </c>
    </row>
    <row r="428" spans="1:6">
      <c r="A428" s="933">
        <v>88316</v>
      </c>
      <c r="B428" s="942" t="s">
        <v>66</v>
      </c>
      <c r="C428" s="41" t="s">
        <v>57</v>
      </c>
      <c r="D428" s="113">
        <v>3.3330000000000002</v>
      </c>
      <c r="E428" s="1248">
        <v>19.45</v>
      </c>
      <c r="F428" s="934">
        <f>TRUNC((D428*E428),2)</f>
        <v>64.819999999999993</v>
      </c>
    </row>
    <row r="429" spans="1:6">
      <c r="A429" s="202">
        <v>88309</v>
      </c>
      <c r="B429" s="990" t="s">
        <v>103</v>
      </c>
      <c r="C429" s="41" t="s">
        <v>57</v>
      </c>
      <c r="D429" s="113">
        <v>3.3330000000000002</v>
      </c>
      <c r="E429" s="1271">
        <v>24.59</v>
      </c>
      <c r="F429" s="934">
        <f>TRUNC((D429*E429),2)</f>
        <v>81.95</v>
      </c>
    </row>
    <row r="430" spans="1:6">
      <c r="A430" s="935"/>
      <c r="B430" s="936"/>
      <c r="C430" s="10" t="s">
        <v>42</v>
      </c>
      <c r="D430" s="42" t="s">
        <v>42</v>
      </c>
      <c r="E430" s="165" t="s">
        <v>58</v>
      </c>
      <c r="F430" s="937">
        <f>SUM(F428:F429)</f>
        <v>146.76999999999998</v>
      </c>
    </row>
    <row r="431" spans="1:6" ht="30">
      <c r="A431" s="202"/>
      <c r="B431" s="35" t="s">
        <v>95</v>
      </c>
      <c r="C431" s="36" t="s">
        <v>49</v>
      </c>
      <c r="D431" s="37" t="s">
        <v>50</v>
      </c>
      <c r="E431" s="46" t="s">
        <v>62</v>
      </c>
      <c r="F431" s="38" t="s">
        <v>52</v>
      </c>
    </row>
    <row r="432" spans="1:6" ht="38.25">
      <c r="A432" s="938">
        <v>11795</v>
      </c>
      <c r="B432" s="207" t="s">
        <v>533</v>
      </c>
      <c r="C432" s="943" t="s">
        <v>46</v>
      </c>
      <c r="D432" s="113">
        <v>1</v>
      </c>
      <c r="E432" s="1278">
        <v>830.18</v>
      </c>
      <c r="F432" s="934">
        <f>TRUNC((D432*E432),2)</f>
        <v>830.18</v>
      </c>
    </row>
    <row r="433" spans="1:6" ht="25.5">
      <c r="A433" s="188">
        <v>370</v>
      </c>
      <c r="B433" s="97" t="s">
        <v>388</v>
      </c>
      <c r="C433" s="41" t="s">
        <v>47</v>
      </c>
      <c r="D433" s="113">
        <v>8.6999999999999994E-3</v>
      </c>
      <c r="E433" s="1278">
        <v>125</v>
      </c>
      <c r="F433" s="934">
        <f>TRUNC((D433*E433),2)</f>
        <v>1.08</v>
      </c>
    </row>
    <row r="434" spans="1:6">
      <c r="A434" s="188">
        <v>13284</v>
      </c>
      <c r="B434" s="97" t="s">
        <v>1963</v>
      </c>
      <c r="C434" s="41" t="s">
        <v>100</v>
      </c>
      <c r="D434" s="113">
        <v>1.54E-2</v>
      </c>
      <c r="E434" s="1278">
        <v>0.95</v>
      </c>
      <c r="F434" s="934">
        <f>ROUNDUP((D434*E434),2)</f>
        <v>0.02</v>
      </c>
    </row>
    <row r="435" spans="1:6" ht="15.75" thickBot="1">
      <c r="A435" s="99"/>
      <c r="B435" s="91"/>
      <c r="C435" s="92"/>
      <c r="D435" s="114"/>
      <c r="E435" s="115" t="s">
        <v>58</v>
      </c>
      <c r="F435" s="294">
        <f>SUM(F432:F434)</f>
        <v>831.28</v>
      </c>
    </row>
    <row r="436" spans="1:6" ht="15.75" thickBot="1">
      <c r="A436" s="83"/>
      <c r="B436" s="2002" t="s">
        <v>53</v>
      </c>
      <c r="C436" s="2002"/>
      <c r="D436" s="2002"/>
      <c r="E436" s="2002"/>
      <c r="F436" s="295">
        <f>F430+F435</f>
        <v>978.05</v>
      </c>
    </row>
    <row r="437" spans="1:6" ht="15.75" thickBot="1">
      <c r="A437" s="538"/>
      <c r="B437" s="433"/>
      <c r="C437" s="166"/>
      <c r="D437" s="630"/>
      <c r="E437" s="597"/>
      <c r="F437" s="631"/>
    </row>
    <row r="438" spans="1:6" ht="25.5">
      <c r="A438" s="70" t="s">
        <v>1614</v>
      </c>
      <c r="B438" s="183" t="s">
        <v>1596</v>
      </c>
      <c r="C438" s="71" t="s">
        <v>54</v>
      </c>
      <c r="D438" s="72"/>
      <c r="E438" s="73"/>
      <c r="F438" s="122"/>
    </row>
    <row r="439" spans="1:6">
      <c r="A439" s="1957" t="s">
        <v>535</v>
      </c>
      <c r="B439" s="1958"/>
      <c r="C439" s="1958"/>
      <c r="D439" s="1958"/>
      <c r="E439" s="1958"/>
      <c r="F439" s="1959"/>
    </row>
    <row r="440" spans="1:6" ht="30">
      <c r="A440" s="931"/>
      <c r="B440" s="1009" t="s">
        <v>56</v>
      </c>
      <c r="C440" s="36" t="s">
        <v>49</v>
      </c>
      <c r="D440" s="37" t="s">
        <v>50</v>
      </c>
      <c r="E440" s="46" t="s">
        <v>62</v>
      </c>
      <c r="F440" s="932" t="s">
        <v>52</v>
      </c>
    </row>
    <row r="441" spans="1:6">
      <c r="A441" s="933">
        <v>88316</v>
      </c>
      <c r="B441" s="990" t="s">
        <v>66</v>
      </c>
      <c r="C441" s="41" t="s">
        <v>57</v>
      </c>
      <c r="D441" s="110">
        <v>0.2</v>
      </c>
      <c r="E441" s="1248">
        <v>19.45</v>
      </c>
      <c r="F441" s="934">
        <f>TRUNC((D441*E441),2)</f>
        <v>3.89</v>
      </c>
    </row>
    <row r="442" spans="1:6">
      <c r="A442" s="61">
        <v>88309</v>
      </c>
      <c r="B442" s="43" t="s">
        <v>103</v>
      </c>
      <c r="C442" s="41" t="s">
        <v>57</v>
      </c>
      <c r="D442" s="110">
        <v>0.2</v>
      </c>
      <c r="E442" s="1271">
        <v>24.59</v>
      </c>
      <c r="F442" s="934">
        <f>TRUNC((D442*E442),2)</f>
        <v>4.91</v>
      </c>
    </row>
    <row r="443" spans="1:6">
      <c r="A443" s="935"/>
      <c r="B443" s="936"/>
      <c r="C443" s="10" t="s">
        <v>42</v>
      </c>
      <c r="D443" s="42" t="s">
        <v>42</v>
      </c>
      <c r="E443" s="165" t="s">
        <v>58</v>
      </c>
      <c r="F443" s="937">
        <f>SUM(F441:F442)</f>
        <v>8.8000000000000007</v>
      </c>
    </row>
    <row r="444" spans="1:6" ht="30">
      <c r="A444" s="202"/>
      <c r="B444" s="632" t="s">
        <v>95</v>
      </c>
      <c r="C444" s="36" t="s">
        <v>49</v>
      </c>
      <c r="D444" s="37" t="s">
        <v>50</v>
      </c>
      <c r="E444" s="46" t="s">
        <v>62</v>
      </c>
      <c r="F444" s="38" t="s">
        <v>52</v>
      </c>
    </row>
    <row r="445" spans="1:6">
      <c r="A445" s="938">
        <v>37329</v>
      </c>
      <c r="B445" s="1211" t="s">
        <v>534</v>
      </c>
      <c r="C445" s="41" t="s">
        <v>47</v>
      </c>
      <c r="D445" s="113">
        <v>0.1</v>
      </c>
      <c r="E445" s="1278">
        <v>123.67</v>
      </c>
      <c r="F445" s="934">
        <f>TRUNC((D445*E445),2)</f>
        <v>12.36</v>
      </c>
    </row>
    <row r="446" spans="1:6" ht="15.75" thickBot="1">
      <c r="A446" s="1131">
        <v>37595</v>
      </c>
      <c r="B446" s="966" t="s">
        <v>536</v>
      </c>
      <c r="C446" s="967" t="s">
        <v>100</v>
      </c>
      <c r="D446" s="1233">
        <v>0.5</v>
      </c>
      <c r="E446" s="1279">
        <v>3.07</v>
      </c>
      <c r="F446" s="970">
        <f>TRUNC((D446*E446),2)</f>
        <v>1.53</v>
      </c>
    </row>
    <row r="447" spans="1:6" ht="38.25">
      <c r="A447" s="1234">
        <v>20231</v>
      </c>
      <c r="B447" s="1235" t="s">
        <v>537</v>
      </c>
      <c r="C447" s="973" t="s">
        <v>54</v>
      </c>
      <c r="D447" s="992">
        <v>1</v>
      </c>
      <c r="E447" s="975">
        <v>81.86</v>
      </c>
      <c r="F447" s="985">
        <f>TRUNC((D447*E447),2)</f>
        <v>81.86</v>
      </c>
    </row>
    <row r="448" spans="1:6" ht="15.75" thickBot="1">
      <c r="A448" s="99"/>
      <c r="B448" s="91"/>
      <c r="C448" s="92"/>
      <c r="D448" s="114"/>
      <c r="E448" s="115" t="s">
        <v>58</v>
      </c>
      <c r="F448" s="294">
        <f>SUM(F445:F447)</f>
        <v>95.75</v>
      </c>
    </row>
    <row r="449" spans="1:6" ht="15.75" thickBot="1">
      <c r="A449" s="83"/>
      <c r="B449" s="2002" t="s">
        <v>53</v>
      </c>
      <c r="C449" s="2002"/>
      <c r="D449" s="2002"/>
      <c r="E449" s="2002"/>
      <c r="F449" s="295">
        <f>F443+F448</f>
        <v>104.55</v>
      </c>
    </row>
    <row r="450" spans="1:6" ht="15.75" thickBot="1">
      <c r="A450" s="297"/>
      <c r="B450" s="298"/>
      <c r="C450" s="299"/>
      <c r="D450" s="215"/>
      <c r="E450" s="215"/>
      <c r="F450" s="300"/>
    </row>
    <row r="451" spans="1:6" ht="25.5">
      <c r="A451" s="70" t="s">
        <v>1960</v>
      </c>
      <c r="B451" s="183" t="s">
        <v>1970</v>
      </c>
      <c r="C451" s="71" t="s">
        <v>46</v>
      </c>
      <c r="D451" s="72"/>
      <c r="E451" s="73"/>
      <c r="F451" s="122"/>
    </row>
    <row r="452" spans="1:6" ht="15.75" thickBot="1">
      <c r="A452" s="1995" t="s">
        <v>1971</v>
      </c>
      <c r="B452" s="1996"/>
      <c r="C452" s="1996"/>
      <c r="D452" s="1996"/>
      <c r="E452" s="1996"/>
      <c r="F452" s="1997"/>
    </row>
    <row r="453" spans="1:6" ht="30">
      <c r="A453" s="1230"/>
      <c r="B453" s="1236" t="s">
        <v>56</v>
      </c>
      <c r="C453" s="1014" t="s">
        <v>49</v>
      </c>
      <c r="D453" s="1015" t="s">
        <v>50</v>
      </c>
      <c r="E453" s="1016" t="s">
        <v>62</v>
      </c>
      <c r="F453" s="989" t="s">
        <v>52</v>
      </c>
    </row>
    <row r="454" spans="1:6">
      <c r="A454" s="933">
        <v>88316</v>
      </c>
      <c r="B454" s="990" t="s">
        <v>66</v>
      </c>
      <c r="C454" s="41" t="s">
        <v>57</v>
      </c>
      <c r="D454" s="110">
        <v>2</v>
      </c>
      <c r="E454" s="1248">
        <v>19.45</v>
      </c>
      <c r="F454" s="934">
        <f>TRUNC((D454*E454),2)</f>
        <v>38.9</v>
      </c>
    </row>
    <row r="455" spans="1:6">
      <c r="A455" s="61">
        <v>88309</v>
      </c>
      <c r="B455" s="43" t="s">
        <v>103</v>
      </c>
      <c r="C455" s="41" t="s">
        <v>57</v>
      </c>
      <c r="D455" s="110">
        <v>2</v>
      </c>
      <c r="E455" s="1271">
        <v>24.59</v>
      </c>
      <c r="F455" s="934">
        <f>TRUNC((D455*E455),2)</f>
        <v>49.18</v>
      </c>
    </row>
    <row r="456" spans="1:6">
      <c r="A456" s="935"/>
      <c r="B456" s="936"/>
      <c r="C456" s="10" t="s">
        <v>42</v>
      </c>
      <c r="D456" s="42" t="s">
        <v>42</v>
      </c>
      <c r="E456" s="165" t="s">
        <v>58</v>
      </c>
      <c r="F456" s="937">
        <f>SUM(F454:F455)</f>
        <v>88.08</v>
      </c>
    </row>
    <row r="457" spans="1:6" ht="30">
      <c r="A457" s="202"/>
      <c r="B457" s="632" t="s">
        <v>95</v>
      </c>
      <c r="C457" s="36" t="s">
        <v>49</v>
      </c>
      <c r="D457" s="37" t="s">
        <v>50</v>
      </c>
      <c r="E457" s="46" t="s">
        <v>62</v>
      </c>
      <c r="F457" s="38" t="s">
        <v>52</v>
      </c>
    </row>
    <row r="458" spans="1:6" ht="38.25">
      <c r="A458" s="938">
        <v>102486</v>
      </c>
      <c r="B458" s="97" t="s">
        <v>1972</v>
      </c>
      <c r="C458" s="41" t="s">
        <v>47</v>
      </c>
      <c r="D458" s="113">
        <v>7.0000000000000007E-2</v>
      </c>
      <c r="E458" s="1278">
        <v>707.32</v>
      </c>
      <c r="F458" s="934">
        <f>TRUNC((D458*E458),2)</f>
        <v>49.51</v>
      </c>
    </row>
    <row r="459" spans="1:6" ht="38.25">
      <c r="A459" s="938">
        <v>103670</v>
      </c>
      <c r="B459" s="97" t="s">
        <v>2166</v>
      </c>
      <c r="C459" s="41" t="s">
        <v>47</v>
      </c>
      <c r="D459" s="113">
        <v>7.0000000000000007E-2</v>
      </c>
      <c r="E459" s="1278">
        <v>266.11</v>
      </c>
      <c r="F459" s="934">
        <f t="shared" ref="F459:F461" si="5">TRUNC((D459*E459),2)</f>
        <v>18.62</v>
      </c>
    </row>
    <row r="460" spans="1:6" ht="38.25">
      <c r="A460" s="938">
        <v>96536</v>
      </c>
      <c r="B460" s="97" t="s">
        <v>397</v>
      </c>
      <c r="C460" s="943" t="s">
        <v>46</v>
      </c>
      <c r="D460" s="113">
        <v>1.67</v>
      </c>
      <c r="E460" s="1278">
        <v>75.89</v>
      </c>
      <c r="F460" s="934">
        <f t="shared" si="5"/>
        <v>126.73</v>
      </c>
    </row>
    <row r="461" spans="1:6" ht="25.5">
      <c r="A461" s="938">
        <v>92803</v>
      </c>
      <c r="B461" s="97" t="s">
        <v>2167</v>
      </c>
      <c r="C461" s="41" t="s">
        <v>100</v>
      </c>
      <c r="D461" s="113">
        <v>4.4000000000000004</v>
      </c>
      <c r="E461" s="1278">
        <v>12.06</v>
      </c>
      <c r="F461" s="934">
        <f t="shared" si="5"/>
        <v>53.06</v>
      </c>
    </row>
    <row r="462" spans="1:6">
      <c r="A462" s="1010">
        <v>345</v>
      </c>
      <c r="B462" s="97" t="s">
        <v>1973</v>
      </c>
      <c r="C462" s="41" t="s">
        <v>100</v>
      </c>
      <c r="D462" s="113">
        <v>0.1</v>
      </c>
      <c r="E462" s="1278">
        <v>35.51</v>
      </c>
      <c r="F462" s="934">
        <f>TRUNC((D462*E462),2)</f>
        <v>3.55</v>
      </c>
    </row>
    <row r="463" spans="1:6" ht="15.75" thickBot="1">
      <c r="A463" s="99"/>
      <c r="B463" s="91"/>
      <c r="C463" s="92"/>
      <c r="D463" s="114"/>
      <c r="E463" s="115" t="s">
        <v>58</v>
      </c>
      <c r="F463" s="294">
        <f>SUM(F458:F462)</f>
        <v>251.47000000000003</v>
      </c>
    </row>
    <row r="464" spans="1:6" ht="15.75" thickBot="1">
      <c r="A464" s="83"/>
      <c r="B464" s="2002" t="s">
        <v>53</v>
      </c>
      <c r="C464" s="2002"/>
      <c r="D464" s="2002"/>
      <c r="E464" s="2002"/>
      <c r="F464" s="295">
        <f>F456+F463</f>
        <v>339.55</v>
      </c>
    </row>
    <row r="465" spans="1:6" ht="15.75" thickBot="1">
      <c r="A465" s="297"/>
      <c r="B465" s="298"/>
      <c r="C465" s="299"/>
      <c r="D465" s="215"/>
      <c r="E465" s="215"/>
      <c r="F465" s="300"/>
    </row>
    <row r="466" spans="1:6">
      <c r="A466" s="70" t="s">
        <v>1966</v>
      </c>
      <c r="B466" s="183" t="s">
        <v>2015</v>
      </c>
      <c r="C466" s="71" t="s">
        <v>46</v>
      </c>
      <c r="D466" s="72"/>
      <c r="E466" s="73"/>
      <c r="F466" s="122"/>
    </row>
    <row r="467" spans="1:6">
      <c r="A467" s="1957" t="s">
        <v>2014</v>
      </c>
      <c r="B467" s="1958"/>
      <c r="C467" s="1958"/>
      <c r="D467" s="1958"/>
      <c r="E467" s="1958"/>
      <c r="F467" s="1959"/>
    </row>
    <row r="468" spans="1:6" ht="30">
      <c r="A468" s="931"/>
      <c r="B468" s="1009" t="s">
        <v>56</v>
      </c>
      <c r="C468" s="36" t="s">
        <v>49</v>
      </c>
      <c r="D468" s="37" t="s">
        <v>50</v>
      </c>
      <c r="E468" s="46" t="s">
        <v>62</v>
      </c>
      <c r="F468" s="932" t="s">
        <v>52</v>
      </c>
    </row>
    <row r="469" spans="1:6">
      <c r="A469" s="61">
        <v>88309</v>
      </c>
      <c r="B469" s="43" t="s">
        <v>103</v>
      </c>
      <c r="C469" s="41" t="s">
        <v>57</v>
      </c>
      <c r="D469" s="112">
        <v>0.113</v>
      </c>
      <c r="E469" s="1271">
        <v>24.59</v>
      </c>
      <c r="F469" s="934">
        <f>TRUNC((D469*E469),2)</f>
        <v>2.77</v>
      </c>
    </row>
    <row r="470" spans="1:6">
      <c r="A470" s="933">
        <v>88316</v>
      </c>
      <c r="B470" s="990" t="s">
        <v>66</v>
      </c>
      <c r="C470" s="41" t="s">
        <v>57</v>
      </c>
      <c r="D470" s="112">
        <v>3.61E-2</v>
      </c>
      <c r="E470" s="1248">
        <v>19.45</v>
      </c>
      <c r="F470" s="934">
        <f>TRUNC((D470*E470),2)</f>
        <v>0.7</v>
      </c>
    </row>
    <row r="471" spans="1:6">
      <c r="A471" s="935"/>
      <c r="B471" s="936"/>
      <c r="C471" s="10" t="s">
        <v>42</v>
      </c>
      <c r="D471" s="42" t="s">
        <v>42</v>
      </c>
      <c r="E471" s="165" t="s">
        <v>58</v>
      </c>
      <c r="F471" s="937">
        <f>SUM(F469:F470)</f>
        <v>3.4699999999999998</v>
      </c>
    </row>
    <row r="472" spans="1:6" ht="30">
      <c r="A472" s="202"/>
      <c r="B472" s="632" t="s">
        <v>95</v>
      </c>
      <c r="C472" s="36" t="s">
        <v>49</v>
      </c>
      <c r="D472" s="37" t="s">
        <v>50</v>
      </c>
      <c r="E472" s="46" t="s">
        <v>62</v>
      </c>
      <c r="F472" s="38" t="s">
        <v>52</v>
      </c>
    </row>
    <row r="473" spans="1:6" ht="25.5">
      <c r="A473" s="938">
        <v>7334</v>
      </c>
      <c r="B473" s="97" t="s">
        <v>2016</v>
      </c>
      <c r="C473" s="1237" t="s">
        <v>424</v>
      </c>
      <c r="D473" s="113">
        <v>0.2</v>
      </c>
      <c r="E473" s="1278">
        <v>21.98</v>
      </c>
      <c r="F473" s="934">
        <f>TRUNC((D473*E473),2)</f>
        <v>4.3899999999999997</v>
      </c>
    </row>
    <row r="474" spans="1:6" ht="38.25">
      <c r="A474" s="938">
        <v>38546</v>
      </c>
      <c r="B474" s="97" t="s">
        <v>2017</v>
      </c>
      <c r="C474" s="943" t="s">
        <v>47</v>
      </c>
      <c r="D474" s="112">
        <v>3.1199999999999999E-2</v>
      </c>
      <c r="E474" s="1278">
        <v>642.23</v>
      </c>
      <c r="F474" s="934">
        <f>TRUNC((D474*E474),2)</f>
        <v>20.03</v>
      </c>
    </row>
    <row r="475" spans="1:6" ht="15.75" thickBot="1">
      <c r="A475" s="99"/>
      <c r="B475" s="91"/>
      <c r="C475" s="92"/>
      <c r="D475" s="114"/>
      <c r="E475" s="115" t="s">
        <v>58</v>
      </c>
      <c r="F475" s="294">
        <f>SUM(F473:F474)</f>
        <v>24.42</v>
      </c>
    </row>
    <row r="476" spans="1:6" ht="15.75" thickBot="1">
      <c r="A476" s="83"/>
      <c r="B476" s="2002" t="s">
        <v>53</v>
      </c>
      <c r="C476" s="2002"/>
      <c r="D476" s="2002"/>
      <c r="E476" s="2002"/>
      <c r="F476" s="295">
        <f>F471+F475</f>
        <v>27.89</v>
      </c>
    </row>
    <row r="477" spans="1:6" ht="15.75" thickBot="1">
      <c r="A477" s="296"/>
      <c r="B477" s="929"/>
      <c r="C477" s="929"/>
      <c r="D477" s="929"/>
      <c r="E477" s="929"/>
      <c r="F477" s="930"/>
    </row>
    <row r="478" spans="1:6" ht="63.75">
      <c r="A478" s="70" t="s">
        <v>1967</v>
      </c>
      <c r="B478" s="183" t="s">
        <v>157</v>
      </c>
      <c r="C478" s="71" t="s">
        <v>46</v>
      </c>
      <c r="D478" s="72"/>
      <c r="E478" s="73"/>
      <c r="F478" s="122"/>
    </row>
    <row r="479" spans="1:6">
      <c r="A479" s="1957" t="s">
        <v>539</v>
      </c>
      <c r="B479" s="1958"/>
      <c r="C479" s="1958"/>
      <c r="D479" s="1958"/>
      <c r="E479" s="1958"/>
      <c r="F479" s="1959"/>
    </row>
    <row r="480" spans="1:6" ht="30">
      <c r="A480" s="931"/>
      <c r="B480" s="941" t="s">
        <v>56</v>
      </c>
      <c r="C480" s="36" t="s">
        <v>49</v>
      </c>
      <c r="D480" s="37" t="s">
        <v>50</v>
      </c>
      <c r="E480" s="46" t="s">
        <v>62</v>
      </c>
      <c r="F480" s="932" t="s">
        <v>52</v>
      </c>
    </row>
    <row r="481" spans="1:6">
      <c r="A481" s="933">
        <v>88316</v>
      </c>
      <c r="B481" s="942" t="s">
        <v>66</v>
      </c>
      <c r="C481" s="41" t="s">
        <v>57</v>
      </c>
      <c r="D481" s="113">
        <v>6.2E-2</v>
      </c>
      <c r="E481" s="1248">
        <v>19.45</v>
      </c>
      <c r="F481" s="934">
        <f>TRUNC((D481*E481),2)</f>
        <v>1.2</v>
      </c>
    </row>
    <row r="482" spans="1:6">
      <c r="A482" s="933">
        <v>88323</v>
      </c>
      <c r="B482" s="207" t="s">
        <v>540</v>
      </c>
      <c r="C482" s="41" t="s">
        <v>57</v>
      </c>
      <c r="D482" s="113">
        <v>5.6000000000000001E-2</v>
      </c>
      <c r="E482" s="1248">
        <v>24.07</v>
      </c>
      <c r="F482" s="934">
        <f>TRUNC((D482*E482),2)</f>
        <v>1.34</v>
      </c>
    </row>
    <row r="483" spans="1:6">
      <c r="A483" s="935"/>
      <c r="B483" s="936"/>
      <c r="C483" s="10" t="s">
        <v>42</v>
      </c>
      <c r="D483" s="42" t="s">
        <v>42</v>
      </c>
      <c r="E483" s="165" t="s">
        <v>58</v>
      </c>
      <c r="F483" s="937">
        <f>SUM(F481:F482)</f>
        <v>2.54</v>
      </c>
    </row>
    <row r="484" spans="1:6" ht="30">
      <c r="A484" s="202"/>
      <c r="B484" s="35" t="s">
        <v>95</v>
      </c>
      <c r="C484" s="36" t="s">
        <v>49</v>
      </c>
      <c r="D484" s="37" t="s">
        <v>50</v>
      </c>
      <c r="E484" s="46" t="s">
        <v>62</v>
      </c>
      <c r="F484" s="38" t="s">
        <v>52</v>
      </c>
    </row>
    <row r="485" spans="1:6" ht="38.25">
      <c r="A485" s="938">
        <v>11029</v>
      </c>
      <c r="B485" s="207" t="s">
        <v>541</v>
      </c>
      <c r="C485" s="943" t="s">
        <v>542</v>
      </c>
      <c r="D485" s="113">
        <v>4.1500000000000004</v>
      </c>
      <c r="E485" s="1278">
        <v>1.96</v>
      </c>
      <c r="F485" s="934">
        <f>TRUNC((D485*E485),2)</f>
        <v>8.1300000000000008</v>
      </c>
    </row>
    <row r="486" spans="1:6" ht="38.25">
      <c r="A486" s="938">
        <v>93281</v>
      </c>
      <c r="B486" s="207" t="s">
        <v>543</v>
      </c>
      <c r="C486" s="943" t="s">
        <v>425</v>
      </c>
      <c r="D486" s="112">
        <v>8.9999999999999998E-4</v>
      </c>
      <c r="E486" s="1278">
        <v>19.510000000000002</v>
      </c>
      <c r="F486" s="934">
        <f>TRUNC((D486*E486),2)</f>
        <v>0.01</v>
      </c>
    </row>
    <row r="487" spans="1:6" ht="38.25">
      <c r="A487" s="938">
        <v>93282</v>
      </c>
      <c r="B487" s="207" t="s">
        <v>544</v>
      </c>
      <c r="C487" s="943" t="s">
        <v>545</v>
      </c>
      <c r="D487" s="112">
        <v>1.1999999999999999E-3</v>
      </c>
      <c r="E487" s="1278">
        <v>18.32</v>
      </c>
      <c r="F487" s="934">
        <f>TRUNC((D487*E487),2)</f>
        <v>0.02</v>
      </c>
    </row>
    <row r="488" spans="1:6" ht="63.75">
      <c r="A488" s="69">
        <v>39520</v>
      </c>
      <c r="B488" s="944" t="s">
        <v>156</v>
      </c>
      <c r="C488" s="943" t="s">
        <v>46</v>
      </c>
      <c r="D488" s="113">
        <v>1.1399999999999999</v>
      </c>
      <c r="E488" s="1278">
        <v>139.55000000000001</v>
      </c>
      <c r="F488" s="934">
        <f>TRUNC((D488*E488),2)</f>
        <v>159.08000000000001</v>
      </c>
    </row>
    <row r="489" spans="1:6" ht="15.75" thickBot="1">
      <c r="A489" s="55"/>
      <c r="B489" s="91"/>
      <c r="C489" s="92"/>
      <c r="D489" s="114"/>
      <c r="E489" s="115" t="s">
        <v>58</v>
      </c>
      <c r="F489" s="294">
        <f>SUM(F485:F488)</f>
        <v>167.24</v>
      </c>
    </row>
    <row r="490" spans="1:6" ht="15.75" thickBot="1">
      <c r="A490" s="83"/>
      <c r="B490" s="2002" t="s">
        <v>53</v>
      </c>
      <c r="C490" s="2002"/>
      <c r="D490" s="2002"/>
      <c r="E490" s="2002"/>
      <c r="F490" s="295">
        <f>F483+F489</f>
        <v>169.78</v>
      </c>
    </row>
    <row r="491" spans="1:6" ht="12.75" customHeight="1" thickBot="1">
      <c r="A491" s="360"/>
      <c r="B491" s="361"/>
      <c r="C491" s="362"/>
      <c r="D491" s="363"/>
      <c r="E491" s="363"/>
      <c r="F491" s="360"/>
    </row>
    <row r="492" spans="1:6">
      <c r="A492" s="70" t="s">
        <v>2384</v>
      </c>
      <c r="B492" s="183" t="s">
        <v>2385</v>
      </c>
      <c r="C492" s="71" t="s">
        <v>55</v>
      </c>
      <c r="D492" s="72"/>
      <c r="E492" s="73"/>
      <c r="F492" s="122"/>
    </row>
    <row r="493" spans="1:6">
      <c r="A493" s="1957" t="s">
        <v>2387</v>
      </c>
      <c r="B493" s="1958"/>
      <c r="C493" s="1958"/>
      <c r="D493" s="1958"/>
      <c r="E493" s="1958"/>
      <c r="F493" s="1959"/>
    </row>
    <row r="494" spans="1:6" ht="30">
      <c r="A494" s="931"/>
      <c r="B494" s="1009" t="s">
        <v>56</v>
      </c>
      <c r="C494" s="36" t="s">
        <v>49</v>
      </c>
      <c r="D494" s="37" t="s">
        <v>50</v>
      </c>
      <c r="E494" s="46" t="s">
        <v>62</v>
      </c>
      <c r="F494" s="932" t="s">
        <v>52</v>
      </c>
    </row>
    <row r="495" spans="1:6">
      <c r="A495" s="61">
        <v>88309</v>
      </c>
      <c r="B495" s="43" t="s">
        <v>103</v>
      </c>
      <c r="C495" s="41" t="s">
        <v>57</v>
      </c>
      <c r="D495" s="112">
        <v>0.25</v>
      </c>
      <c r="E495" s="1736">
        <v>24.59</v>
      </c>
      <c r="F495" s="934">
        <f>TRUNC((D495*E495),2)</f>
        <v>6.14</v>
      </c>
    </row>
    <row r="496" spans="1:6">
      <c r="A496" s="935"/>
      <c r="B496" s="936"/>
      <c r="C496" s="10" t="s">
        <v>42</v>
      </c>
      <c r="D496" s="42" t="s">
        <v>42</v>
      </c>
      <c r="E496" s="165" t="s">
        <v>58</v>
      </c>
      <c r="F496" s="937">
        <f>SUM(F495:F495)</f>
        <v>6.14</v>
      </c>
    </row>
    <row r="497" spans="1:6" ht="30">
      <c r="A497" s="202"/>
      <c r="B497" s="632" t="s">
        <v>95</v>
      </c>
      <c r="C497" s="36" t="s">
        <v>49</v>
      </c>
      <c r="D497" s="37" t="s">
        <v>50</v>
      </c>
      <c r="E497" s="46" t="s">
        <v>62</v>
      </c>
      <c r="F497" s="38" t="s">
        <v>52</v>
      </c>
    </row>
    <row r="498" spans="1:6">
      <c r="A498" s="938">
        <v>10848</v>
      </c>
      <c r="B498" s="1487" t="s">
        <v>2386</v>
      </c>
      <c r="C498" s="1237" t="s">
        <v>55</v>
      </c>
      <c r="D498" s="113">
        <v>1</v>
      </c>
      <c r="E498" s="1278">
        <v>1206.01</v>
      </c>
      <c r="F498" s="934">
        <f>TRUNC((D498*E498),2)</f>
        <v>1206.01</v>
      </c>
    </row>
    <row r="499" spans="1:6" ht="38.25">
      <c r="A499" s="938">
        <v>11950</v>
      </c>
      <c r="B499" s="97" t="s">
        <v>2104</v>
      </c>
      <c r="C499" s="1237" t="s">
        <v>55</v>
      </c>
      <c r="D499" s="112">
        <v>4</v>
      </c>
      <c r="E499" s="1278">
        <v>0.2</v>
      </c>
      <c r="F499" s="934">
        <f>TRUNC((D499*E499),2)</f>
        <v>0.8</v>
      </c>
    </row>
    <row r="500" spans="1:6" ht="15.75" thickBot="1">
      <c r="A500" s="99"/>
      <c r="B500" s="91"/>
      <c r="C500" s="92"/>
      <c r="D500" s="114"/>
      <c r="E500" s="115" t="s">
        <v>58</v>
      </c>
      <c r="F500" s="294">
        <f>SUM(F498:F499)</f>
        <v>1206.81</v>
      </c>
    </row>
    <row r="501" spans="1:6" ht="15.75" thickBot="1">
      <c r="A501" s="83"/>
      <c r="B501" s="2002" t="s">
        <v>53</v>
      </c>
      <c r="C501" s="2002"/>
      <c r="D501" s="2002"/>
      <c r="E501" s="2002"/>
      <c r="F501" s="295">
        <f>F496+F500</f>
        <v>1212.95</v>
      </c>
    </row>
  </sheetData>
  <mergeCells count="153">
    <mergeCell ref="A493:F493"/>
    <mergeCell ref="B501:E501"/>
    <mergeCell ref="B3:F3"/>
    <mergeCell ref="B4:F4"/>
    <mergeCell ref="B5:F5"/>
    <mergeCell ref="A452:F452"/>
    <mergeCell ref="B464:E464"/>
    <mergeCell ref="A467:F467"/>
    <mergeCell ref="B476:E476"/>
    <mergeCell ref="A479:F479"/>
    <mergeCell ref="B490:E490"/>
    <mergeCell ref="A409:F409"/>
    <mergeCell ref="B423:E423"/>
    <mergeCell ref="A426:F426"/>
    <mergeCell ref="B436:E436"/>
    <mergeCell ref="A439:F439"/>
    <mergeCell ref="B449:E449"/>
    <mergeCell ref="D394:E394"/>
    <mergeCell ref="D395:E395"/>
    <mergeCell ref="D396:E396"/>
    <mergeCell ref="A399:F399"/>
    <mergeCell ref="B406:E406"/>
    <mergeCell ref="D380:E380"/>
    <mergeCell ref="A383:F383"/>
    <mergeCell ref="B390:E390"/>
    <mergeCell ref="B391:E391"/>
    <mergeCell ref="D392:E392"/>
    <mergeCell ref="D393:E393"/>
    <mergeCell ref="B374:E374"/>
    <mergeCell ref="B375:E375"/>
    <mergeCell ref="D376:E376"/>
    <mergeCell ref="D377:E377"/>
    <mergeCell ref="D378:E378"/>
    <mergeCell ref="D379:E379"/>
    <mergeCell ref="D360:E360"/>
    <mergeCell ref="D361:E361"/>
    <mergeCell ref="D362:E362"/>
    <mergeCell ref="D363:E363"/>
    <mergeCell ref="D364:E364"/>
    <mergeCell ref="A367:F367"/>
    <mergeCell ref="D347:E347"/>
    <mergeCell ref="A350:F350"/>
    <mergeCell ref="B357:E357"/>
    <mergeCell ref="B358:E358"/>
    <mergeCell ref="D359:E359"/>
    <mergeCell ref="B341:E341"/>
    <mergeCell ref="B342:E342"/>
    <mergeCell ref="D343:E343"/>
    <mergeCell ref="D344:E344"/>
    <mergeCell ref="D345:E345"/>
    <mergeCell ref="D346:E346"/>
    <mergeCell ref="B302:E302"/>
    <mergeCell ref="A305:F305"/>
    <mergeCell ref="B315:E315"/>
    <mergeCell ref="A318:F318"/>
    <mergeCell ref="B328:E328"/>
    <mergeCell ref="A331:F331"/>
    <mergeCell ref="B266:E266"/>
    <mergeCell ref="A269:F269"/>
    <mergeCell ref="B280:E280"/>
    <mergeCell ref="A283:F283"/>
    <mergeCell ref="B291:E291"/>
    <mergeCell ref="A294:F294"/>
    <mergeCell ref="A231:F231"/>
    <mergeCell ref="B241:E241"/>
    <mergeCell ref="D242:E242"/>
    <mergeCell ref="A245:F245"/>
    <mergeCell ref="B254:E254"/>
    <mergeCell ref="A257:F257"/>
    <mergeCell ref="D215:E215"/>
    <mergeCell ref="D216:E216"/>
    <mergeCell ref="D217:E217"/>
    <mergeCell ref="D218:E218"/>
    <mergeCell ref="A221:F221"/>
    <mergeCell ref="B228:E228"/>
    <mergeCell ref="D201:E201"/>
    <mergeCell ref="D202:E202"/>
    <mergeCell ref="A205:F205"/>
    <mergeCell ref="B212:E212"/>
    <mergeCell ref="B213:E213"/>
    <mergeCell ref="D214:E214"/>
    <mergeCell ref="A189:F189"/>
    <mergeCell ref="B196:E196"/>
    <mergeCell ref="B197:E197"/>
    <mergeCell ref="D198:E198"/>
    <mergeCell ref="D199:E199"/>
    <mergeCell ref="D200:E200"/>
    <mergeCell ref="B181:E181"/>
    <mergeCell ref="D182:E182"/>
    <mergeCell ref="D183:E183"/>
    <mergeCell ref="D184:E184"/>
    <mergeCell ref="D185:E185"/>
    <mergeCell ref="D186:E186"/>
    <mergeCell ref="D166:E166"/>
    <mergeCell ref="D167:E167"/>
    <mergeCell ref="D168:E168"/>
    <mergeCell ref="D169:E169"/>
    <mergeCell ref="A172:F172"/>
    <mergeCell ref="B180:E180"/>
    <mergeCell ref="D152:E152"/>
    <mergeCell ref="D153:E153"/>
    <mergeCell ref="A156:F156"/>
    <mergeCell ref="B163:E163"/>
    <mergeCell ref="B164:E164"/>
    <mergeCell ref="D165:E165"/>
    <mergeCell ref="B146:E146"/>
    <mergeCell ref="C147:E147"/>
    <mergeCell ref="B148:E148"/>
    <mergeCell ref="D149:E149"/>
    <mergeCell ref="D150:E150"/>
    <mergeCell ref="D151:E151"/>
    <mergeCell ref="D130:E130"/>
    <mergeCell ref="D131:E131"/>
    <mergeCell ref="D132:E132"/>
    <mergeCell ref="D133:E133"/>
    <mergeCell ref="D134:E134"/>
    <mergeCell ref="A137:F137"/>
    <mergeCell ref="A120:F120"/>
    <mergeCell ref="B128:E128"/>
    <mergeCell ref="B129:E129"/>
    <mergeCell ref="D99:E99"/>
    <mergeCell ref="A102:F102"/>
    <mergeCell ref="B111:E111"/>
    <mergeCell ref="B112:E112"/>
    <mergeCell ref="D113:E113"/>
    <mergeCell ref="D114:E114"/>
    <mergeCell ref="D96:E96"/>
    <mergeCell ref="D97:E97"/>
    <mergeCell ref="D98:E98"/>
    <mergeCell ref="D82:E82"/>
    <mergeCell ref="D83:E83"/>
    <mergeCell ref="A86:F86"/>
    <mergeCell ref="D115:E115"/>
    <mergeCell ref="D116:E116"/>
    <mergeCell ref="D117:E117"/>
    <mergeCell ref="A13:F13"/>
    <mergeCell ref="B20:E20"/>
    <mergeCell ref="B21:E21"/>
    <mergeCell ref="B22:E22"/>
    <mergeCell ref="A25:F25"/>
    <mergeCell ref="B37:E37"/>
    <mergeCell ref="B93:E93"/>
    <mergeCell ref="B94:E94"/>
    <mergeCell ref="D95:E95"/>
    <mergeCell ref="D79:E79"/>
    <mergeCell ref="D80:E80"/>
    <mergeCell ref="D81:E81"/>
    <mergeCell ref="A40:F40"/>
    <mergeCell ref="B64:E64"/>
    <mergeCell ref="A67:F67"/>
    <mergeCell ref="B76:E76"/>
    <mergeCell ref="C77:D77"/>
    <mergeCell ref="B78:E78"/>
  </mergeCells>
  <hyperlinks>
    <hyperlink ref="F152" r:id="rId1" display="contato@svgmetalurgica.com.br/ 3682-6168" xr:uid="{00000000-0004-0000-0400-000000000000}"/>
    <hyperlink ref="F168" r:id="rId2" display="contato@svgmetalurgica.com.br/ 3682-6168" xr:uid="{00000000-0004-0000-0400-000001000000}"/>
    <hyperlink ref="F185" r:id="rId3" display="contato@svgmetalurgica.com.br/ 3682-6168" xr:uid="{00000000-0004-0000-0400-000002000000}"/>
    <hyperlink ref="F217" r:id="rId4" display="contato@svgmetalurgica.com.br/ 3682-6168" xr:uid="{00000000-0004-0000-0400-000003000000}"/>
    <hyperlink ref="F363" r:id="rId5" display="contato@svgmetalurgica.com.br/ 3682-6168" xr:uid="{00000000-0004-0000-0400-000004000000}"/>
  </hyperlinks>
  <printOptions horizontalCentered="1"/>
  <pageMargins left="0.51181102362204722" right="0.51181102362204722" top="0.78740157480314965" bottom="0.78740157480314965" header="0.31496062992125984" footer="0.31496062992125984"/>
  <pageSetup paperSize="9" scale="65"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topLeftCell="A22" workbookViewId="0">
      <selection activeCell="A24" sqref="A24:E27"/>
    </sheetView>
  </sheetViews>
  <sheetFormatPr defaultRowHeight="15"/>
  <cols>
    <col min="1" max="1" width="15.42578125" customWidth="1"/>
    <col min="2" max="2" width="57.85546875" customWidth="1"/>
    <col min="3" max="3" width="10" customWidth="1"/>
    <col min="4" max="4" width="9.28515625" customWidth="1"/>
    <col min="5" max="5" width="11.140625" customWidth="1"/>
    <col min="6" max="6" width="19.140625" customWidth="1"/>
  </cols>
  <sheetData>
    <row r="1" spans="1:6">
      <c r="A1" s="58"/>
      <c r="B1" s="59"/>
      <c r="C1" s="59"/>
      <c r="D1" s="59"/>
      <c r="E1" s="59"/>
      <c r="F1" s="60"/>
    </row>
    <row r="2" spans="1:6">
      <c r="A2" s="55"/>
      <c r="B2" s="16"/>
      <c r="C2" s="16"/>
      <c r="D2" s="16"/>
      <c r="E2" s="16"/>
      <c r="F2" s="56"/>
    </row>
    <row r="3" spans="1:6">
      <c r="A3" s="55"/>
      <c r="B3" s="2012"/>
      <c r="C3" s="2012"/>
      <c r="D3" s="2012"/>
      <c r="E3" s="2012"/>
      <c r="F3" s="2013"/>
    </row>
    <row r="4" spans="1:6">
      <c r="A4" s="55"/>
      <c r="B4" s="2012"/>
      <c r="C4" s="2012"/>
      <c r="D4" s="2012"/>
      <c r="E4" s="2012"/>
      <c r="F4" s="2013"/>
    </row>
    <row r="5" spans="1:6">
      <c r="A5" s="55"/>
      <c r="B5" s="2014"/>
      <c r="C5" s="2014"/>
      <c r="D5" s="2014"/>
      <c r="E5" s="2014"/>
      <c r="F5" s="2015"/>
    </row>
    <row r="6" spans="1:6" ht="15.75" thickBot="1">
      <c r="A6" s="1021"/>
      <c r="B6" s="1132"/>
      <c r="C6" s="1132"/>
      <c r="D6" s="1132"/>
      <c r="E6" s="1132"/>
      <c r="F6" s="1133"/>
    </row>
    <row r="7" spans="1:6" ht="6" customHeight="1" thickBot="1"/>
    <row r="8" spans="1:6">
      <c r="A8" s="124" t="s">
        <v>0</v>
      </c>
      <c r="B8" s="59" t="str">
        <f>'PLANILHA SEM DESON'!B9:C9</f>
        <v>SEMA-PRO-2022/00145</v>
      </c>
      <c r="C8" s="59"/>
      <c r="D8" s="59"/>
      <c r="E8" s="125" t="s">
        <v>133</v>
      </c>
      <c r="F8" s="424">
        <f>'PLANILHA SEM DESON'!J12</f>
        <v>0</v>
      </c>
    </row>
    <row r="9" spans="1:6">
      <c r="A9" s="103" t="s">
        <v>1</v>
      </c>
      <c r="B9" s="16" t="str">
        <f>'PLANILHA SEM DESON'!B10:C10</f>
        <v>CONSTRUÇÃO DE DIRETORIA DE UNIDADE DESCONCENTRADA DA SEMA - DUDS</v>
      </c>
      <c r="C9" s="16"/>
      <c r="D9" s="16"/>
      <c r="E9" s="16"/>
      <c r="F9" s="56"/>
    </row>
    <row r="10" spans="1:6">
      <c r="A10" s="103" t="s">
        <v>2</v>
      </c>
      <c r="B10" s="16" t="str">
        <f>'PLANILHA SEM DESON'!B11:C11</f>
        <v>Rua Erichin, esquina com Rua Circular - Bairro Residencial Arco Íris</v>
      </c>
      <c r="C10" s="16"/>
      <c r="D10" s="16"/>
      <c r="E10" s="16"/>
      <c r="F10" s="56"/>
    </row>
    <row r="11" spans="1:6">
      <c r="A11" s="103" t="s">
        <v>4</v>
      </c>
      <c r="B11" s="16" t="str">
        <f>'PLANILHA SEM DESON'!B12:C12</f>
        <v>CONFRESA - MT</v>
      </c>
      <c r="C11" s="16"/>
      <c r="D11" s="16"/>
      <c r="E11" s="16"/>
      <c r="F11" s="56"/>
    </row>
    <row r="12" spans="1:6" ht="15.75" thickBot="1">
      <c r="A12" s="1134" t="s">
        <v>5</v>
      </c>
      <c r="B12" s="1132" t="str">
        <f>'PLANILHA SEM DESON'!B13</f>
        <v xml:space="preserve">CONSTRUÇÃO </v>
      </c>
      <c r="C12" s="1132"/>
      <c r="D12" s="1132"/>
      <c r="E12" s="1132"/>
      <c r="F12" s="1133"/>
    </row>
    <row r="13" spans="1:6" ht="6" customHeight="1" thickBot="1">
      <c r="A13" s="16"/>
    </row>
    <row r="14" spans="1:6" ht="16.5" thickBot="1">
      <c r="A14" s="2021" t="s">
        <v>1857</v>
      </c>
      <c r="B14" s="2022"/>
      <c r="C14" s="2022"/>
      <c r="D14" s="2022"/>
      <c r="E14" s="2022"/>
      <c r="F14" s="2023"/>
    </row>
    <row r="15" spans="1:6" ht="25.5">
      <c r="A15" s="226" t="s">
        <v>1855</v>
      </c>
      <c r="B15" s="476" t="s">
        <v>2062</v>
      </c>
      <c r="C15" s="232" t="s">
        <v>54</v>
      </c>
      <c r="D15" s="72"/>
      <c r="E15" s="73"/>
      <c r="F15" s="122"/>
    </row>
    <row r="16" spans="1:6">
      <c r="A16" s="1987" t="s">
        <v>2057</v>
      </c>
      <c r="B16" s="1988"/>
      <c r="C16" s="1988"/>
      <c r="D16" s="1988"/>
      <c r="E16" s="1988"/>
      <c r="F16" s="1989"/>
    </row>
    <row r="17" spans="1:8" ht="25.5">
      <c r="A17" s="129"/>
      <c r="B17" s="233" t="s">
        <v>56</v>
      </c>
      <c r="C17" s="234" t="s">
        <v>49</v>
      </c>
      <c r="D17" s="235" t="s">
        <v>50</v>
      </c>
      <c r="E17" s="236" t="s">
        <v>62</v>
      </c>
      <c r="F17" s="237" t="s">
        <v>52</v>
      </c>
      <c r="H17" s="256"/>
    </row>
    <row r="18" spans="1:8" ht="25.5">
      <c r="A18" s="227">
        <v>88239</v>
      </c>
      <c r="B18" s="97" t="s">
        <v>423</v>
      </c>
      <c r="C18" s="179" t="s">
        <v>57</v>
      </c>
      <c r="D18" s="239">
        <v>0.123</v>
      </c>
      <c r="E18" s="1248">
        <v>18.79</v>
      </c>
      <c r="F18" s="1156">
        <f>TRUNC((D18*E18),2)</f>
        <v>2.31</v>
      </c>
    </row>
    <row r="19" spans="1:8" ht="25.5">
      <c r="A19" s="227">
        <v>88262</v>
      </c>
      <c r="B19" s="97" t="s">
        <v>411</v>
      </c>
      <c r="C19" s="179" t="s">
        <v>57</v>
      </c>
      <c r="D19" s="239">
        <v>7.4999999999999997E-2</v>
      </c>
      <c r="E19" s="1248">
        <v>22.16</v>
      </c>
      <c r="F19" s="1156">
        <f>TRUNC((D19*E19),2)</f>
        <v>1.66</v>
      </c>
    </row>
    <row r="20" spans="1:8">
      <c r="A20" s="1022">
        <v>88309</v>
      </c>
      <c r="B20" s="97" t="s">
        <v>103</v>
      </c>
      <c r="C20" s="179" t="s">
        <v>57</v>
      </c>
      <c r="D20" s="239">
        <v>0.02</v>
      </c>
      <c r="E20" s="1248">
        <v>22.41</v>
      </c>
      <c r="F20" s="1156">
        <f>TRUNC((D20*E20),2)</f>
        <v>0.44</v>
      </c>
    </row>
    <row r="21" spans="1:8">
      <c r="A21" s="1022">
        <v>88316</v>
      </c>
      <c r="B21" s="97" t="s">
        <v>66</v>
      </c>
      <c r="C21" s="179" t="s">
        <v>57</v>
      </c>
      <c r="D21" s="239">
        <v>0.06</v>
      </c>
      <c r="E21" s="1248">
        <v>17.82</v>
      </c>
      <c r="F21" s="1156">
        <f>TRUNC((D21*E21),2)</f>
        <v>1.06</v>
      </c>
    </row>
    <row r="22" spans="1:8">
      <c r="A22" s="1157"/>
      <c r="B22" s="942"/>
      <c r="C22" s="179" t="s">
        <v>42</v>
      </c>
      <c r="D22" s="240" t="s">
        <v>42</v>
      </c>
      <c r="E22" s="241" t="s">
        <v>58</v>
      </c>
      <c r="F22" s="1158">
        <f>SUM(F18:F21)</f>
        <v>5.4700000000000006</v>
      </c>
    </row>
    <row r="23" spans="1:8" ht="25.5">
      <c r="A23" s="1157"/>
      <c r="B23" s="1159" t="s">
        <v>95</v>
      </c>
      <c r="C23" s="193" t="s">
        <v>49</v>
      </c>
      <c r="D23" s="242" t="s">
        <v>50</v>
      </c>
      <c r="E23" s="243" t="s">
        <v>62</v>
      </c>
      <c r="F23" s="1158" t="s">
        <v>52</v>
      </c>
    </row>
    <row r="24" spans="1:8" ht="38.25">
      <c r="A24" s="227">
        <v>102475</v>
      </c>
      <c r="B24" s="97" t="s">
        <v>2061</v>
      </c>
      <c r="C24" s="179" t="s">
        <v>47</v>
      </c>
      <c r="D24" s="244">
        <v>0.01</v>
      </c>
      <c r="E24" s="1278">
        <v>658.56</v>
      </c>
      <c r="F24" s="1156">
        <f>TRUNC((D24*E24),2)</f>
        <v>6.58</v>
      </c>
    </row>
    <row r="25" spans="1:8" ht="63.75">
      <c r="A25" s="1022">
        <v>92915</v>
      </c>
      <c r="B25" s="97" t="s">
        <v>2058</v>
      </c>
      <c r="C25" s="179" t="s">
        <v>100</v>
      </c>
      <c r="D25" s="244">
        <v>0.72</v>
      </c>
      <c r="E25" s="1278">
        <v>19.28</v>
      </c>
      <c r="F25" s="1156">
        <f>TRUNC((D25*E25),2)</f>
        <v>13.88</v>
      </c>
    </row>
    <row r="26" spans="1:8">
      <c r="A26" s="1022">
        <v>5069</v>
      </c>
      <c r="B26" s="97" t="s">
        <v>2059</v>
      </c>
      <c r="C26" s="179" t="s">
        <v>100</v>
      </c>
      <c r="D26" s="244">
        <v>0.01</v>
      </c>
      <c r="E26" s="1278">
        <v>26.39</v>
      </c>
      <c r="F26" s="1156">
        <f>TRUNC((D26*E26),2)</f>
        <v>0.26</v>
      </c>
    </row>
    <row r="27" spans="1:8" ht="25.5">
      <c r="A27" s="1022">
        <v>6189</v>
      </c>
      <c r="B27" s="97" t="s">
        <v>2060</v>
      </c>
      <c r="C27" s="179" t="s">
        <v>54</v>
      </c>
      <c r="D27" s="244">
        <v>0.22189999999999999</v>
      </c>
      <c r="E27" s="1278">
        <v>26.29</v>
      </c>
      <c r="F27" s="1156">
        <f>TRUNC((D27*E27),2)</f>
        <v>5.83</v>
      </c>
    </row>
    <row r="28" spans="1:8" ht="15.75" thickBot="1">
      <c r="A28" s="99"/>
      <c r="B28" s="192"/>
      <c r="C28" s="1113"/>
      <c r="D28" s="247"/>
      <c r="E28" s="248" t="s">
        <v>58</v>
      </c>
      <c r="F28" s="214">
        <f>SUM(F24:F27)</f>
        <v>26.550000000000004</v>
      </c>
    </row>
    <row r="29" spans="1:8" ht="12.75" customHeight="1" thickBot="1">
      <c r="A29" s="977"/>
      <c r="B29" s="1960" t="s">
        <v>53</v>
      </c>
      <c r="C29" s="1960"/>
      <c r="D29" s="1960"/>
      <c r="E29" s="1960"/>
      <c r="F29" s="978">
        <f>F22+F28</f>
        <v>32.020000000000003</v>
      </c>
    </row>
    <row r="30" spans="1:8" ht="3.75" customHeight="1"/>
  </sheetData>
  <mergeCells count="6">
    <mergeCell ref="A16:F16"/>
    <mergeCell ref="B29:E29"/>
    <mergeCell ref="B3:F3"/>
    <mergeCell ref="B4:F4"/>
    <mergeCell ref="B5:F5"/>
    <mergeCell ref="A14:F14"/>
  </mergeCells>
  <printOptions horizontalCentered="1"/>
  <pageMargins left="0.51181102362204722" right="0.51181102362204722" top="0.78740157480314965" bottom="0.78740157480314965"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97"/>
  <sheetViews>
    <sheetView topLeftCell="A234" workbookViewId="0">
      <selection activeCell="A247" sqref="A247:E247"/>
    </sheetView>
  </sheetViews>
  <sheetFormatPr defaultRowHeight="15"/>
  <cols>
    <col min="1" max="1" width="14.85546875" customWidth="1"/>
    <col min="2" max="2" width="57.85546875" customWidth="1"/>
    <col min="3" max="3" width="10" customWidth="1"/>
    <col min="4" max="4" width="9.28515625" customWidth="1"/>
    <col min="5" max="5" width="11.140625" customWidth="1"/>
    <col min="6" max="6" width="19.140625" customWidth="1"/>
    <col min="7" max="7" width="14.42578125" bestFit="1" customWidth="1"/>
    <col min="8" max="8" width="21.7109375" customWidth="1"/>
    <col min="9" max="9" width="21.42578125" customWidth="1"/>
    <col min="10" max="10" width="13.28515625" customWidth="1"/>
  </cols>
  <sheetData>
    <row r="1" spans="1:8">
      <c r="A1" s="58"/>
      <c r="B1" s="59"/>
      <c r="C1" s="59"/>
      <c r="D1" s="59"/>
      <c r="E1" s="59"/>
      <c r="F1" s="60"/>
    </row>
    <row r="2" spans="1:8">
      <c r="A2" s="55"/>
      <c r="B2" s="16"/>
      <c r="C2" s="16"/>
      <c r="D2" s="16"/>
      <c r="E2" s="16"/>
      <c r="F2" s="56"/>
    </row>
    <row r="3" spans="1:8">
      <c r="A3" s="55"/>
      <c r="B3" s="2012"/>
      <c r="C3" s="2012"/>
      <c r="D3" s="2012"/>
      <c r="E3" s="2012"/>
      <c r="F3" s="2013"/>
    </row>
    <row r="4" spans="1:8">
      <c r="A4" s="55"/>
      <c r="B4" s="2012"/>
      <c r="C4" s="2012"/>
      <c r="D4" s="2012"/>
      <c r="E4" s="2012"/>
      <c r="F4" s="2013"/>
    </row>
    <row r="5" spans="1:8">
      <c r="A5" s="55"/>
      <c r="B5" s="2014"/>
      <c r="C5" s="2014"/>
      <c r="D5" s="2014"/>
      <c r="E5" s="2014"/>
      <c r="F5" s="2015"/>
    </row>
    <row r="6" spans="1:8" ht="15.75" thickBot="1">
      <c r="A6" s="1021"/>
      <c r="B6" s="1132"/>
      <c r="C6" s="1132"/>
      <c r="D6" s="1132"/>
      <c r="E6" s="1132"/>
      <c r="F6" s="1133"/>
    </row>
    <row r="7" spans="1:8" ht="3.75" customHeight="1" thickBot="1"/>
    <row r="8" spans="1:8">
      <c r="A8" s="124" t="s">
        <v>0</v>
      </c>
      <c r="B8" s="59" t="str">
        <f>'PLANILHA SEM DESON'!B9:C9</f>
        <v>SEMA-PRO-2022/00145</v>
      </c>
      <c r="C8" s="59"/>
      <c r="D8" s="59"/>
      <c r="E8" s="125" t="s">
        <v>133</v>
      </c>
      <c r="F8" s="424">
        <f>'PLANILHA SEM DESON'!J12</f>
        <v>0</v>
      </c>
    </row>
    <row r="9" spans="1:8">
      <c r="A9" s="103" t="s">
        <v>1</v>
      </c>
      <c r="B9" s="16" t="str">
        <f>'PLANILHA SEM DESON'!B10:C10</f>
        <v>CONSTRUÇÃO DE DIRETORIA DE UNIDADE DESCONCENTRADA DA SEMA - DUDS</v>
      </c>
      <c r="C9" s="16"/>
      <c r="D9" s="16"/>
      <c r="E9" s="16"/>
      <c r="F9" s="56"/>
    </row>
    <row r="10" spans="1:8">
      <c r="A10" s="103" t="s">
        <v>2</v>
      </c>
      <c r="B10" s="16" t="str">
        <f>'PLANILHA SEM DESON'!B11:C11</f>
        <v>Rua Erichin, esquina com Rua Circular - Bairro Residencial Arco Íris</v>
      </c>
      <c r="C10" s="16"/>
      <c r="D10" s="16"/>
      <c r="E10" s="16"/>
      <c r="F10" s="56"/>
    </row>
    <row r="11" spans="1:8">
      <c r="A11" s="103" t="s">
        <v>4</v>
      </c>
      <c r="B11" s="16" t="str">
        <f>'PLANILHA SEM DESON'!B12:C12</f>
        <v>CONFRESA - MT</v>
      </c>
      <c r="C11" s="16"/>
      <c r="D11" s="16"/>
      <c r="E11" s="16"/>
      <c r="F11" s="56"/>
    </row>
    <row r="12" spans="1:8" ht="15.75" thickBot="1">
      <c r="A12" s="1134" t="s">
        <v>5</v>
      </c>
      <c r="B12" s="1132" t="str">
        <f>'PLANILHA SEM DESON'!B13</f>
        <v xml:space="preserve">CONSTRUÇÃO </v>
      </c>
      <c r="C12" s="1132"/>
      <c r="D12" s="1132"/>
      <c r="E12" s="1132"/>
      <c r="F12" s="1133"/>
    </row>
    <row r="13" spans="1:8" ht="3.75" customHeight="1" thickBot="1">
      <c r="A13" s="16"/>
    </row>
    <row r="14" spans="1:8" ht="16.5" thickBot="1">
      <c r="A14" s="2021" t="s">
        <v>427</v>
      </c>
      <c r="B14" s="2022"/>
      <c r="C14" s="2022"/>
      <c r="D14" s="2022"/>
      <c r="E14" s="2022"/>
      <c r="F14" s="2023"/>
      <c r="H14" s="231"/>
    </row>
    <row r="15" spans="1:8" ht="25.5">
      <c r="A15" s="226" t="s">
        <v>428</v>
      </c>
      <c r="B15" s="128" t="s">
        <v>429</v>
      </c>
      <c r="C15" s="232" t="s">
        <v>55</v>
      </c>
      <c r="D15" s="72"/>
      <c r="E15" s="73"/>
      <c r="F15" s="122"/>
      <c r="G15" s="230"/>
      <c r="H15" s="230"/>
    </row>
    <row r="16" spans="1:8">
      <c r="A16" s="1987" t="s">
        <v>1753</v>
      </c>
      <c r="B16" s="1988"/>
      <c r="C16" s="1988"/>
      <c r="D16" s="1988"/>
      <c r="E16" s="1988"/>
      <c r="F16" s="1989"/>
    </row>
    <row r="17" spans="1:8" ht="25.5">
      <c r="A17" s="129"/>
      <c r="B17" s="233" t="s">
        <v>56</v>
      </c>
      <c r="C17" s="234" t="s">
        <v>49</v>
      </c>
      <c r="D17" s="235" t="s">
        <v>50</v>
      </c>
      <c r="E17" s="236" t="s">
        <v>62</v>
      </c>
      <c r="F17" s="237" t="s">
        <v>52</v>
      </c>
    </row>
    <row r="18" spans="1:8" ht="25.5">
      <c r="A18" s="227" t="s">
        <v>430</v>
      </c>
      <c r="B18" s="238" t="s">
        <v>101</v>
      </c>
      <c r="C18" s="179" t="s">
        <v>57</v>
      </c>
      <c r="D18" s="239">
        <v>0.108</v>
      </c>
      <c r="E18" s="1248">
        <v>20.16</v>
      </c>
      <c r="F18" s="1156">
        <f>TRUNC((D18*E18),2)</f>
        <v>2.17</v>
      </c>
    </row>
    <row r="19" spans="1:8" ht="25.5">
      <c r="A19" s="227" t="s">
        <v>431</v>
      </c>
      <c r="B19" s="238" t="s">
        <v>102</v>
      </c>
      <c r="C19" s="179" t="s">
        <v>57</v>
      </c>
      <c r="D19" s="239">
        <v>0.108</v>
      </c>
      <c r="E19" s="1248">
        <v>24.64</v>
      </c>
      <c r="F19" s="1156">
        <f>TRUNC((D19*E19),2)</f>
        <v>2.66</v>
      </c>
    </row>
    <row r="20" spans="1:8">
      <c r="A20" s="1157"/>
      <c r="B20" s="942"/>
      <c r="C20" s="179" t="s">
        <v>42</v>
      </c>
      <c r="D20" s="240" t="s">
        <v>42</v>
      </c>
      <c r="E20" s="241" t="s">
        <v>58</v>
      </c>
      <c r="F20" s="1158">
        <f>SUM(F18:F19)</f>
        <v>4.83</v>
      </c>
    </row>
    <row r="21" spans="1:8" ht="25.5">
      <c r="A21" s="1157"/>
      <c r="B21" s="1159" t="s">
        <v>95</v>
      </c>
      <c r="C21" s="193" t="s">
        <v>49</v>
      </c>
      <c r="D21" s="242" t="s">
        <v>50</v>
      </c>
      <c r="E21" s="243" t="s">
        <v>62</v>
      </c>
      <c r="F21" s="1158" t="s">
        <v>52</v>
      </c>
    </row>
    <row r="22" spans="1:8">
      <c r="A22" s="227" t="s">
        <v>432</v>
      </c>
      <c r="B22" s="238" t="s">
        <v>125</v>
      </c>
      <c r="C22" s="179" t="s">
        <v>55</v>
      </c>
      <c r="D22" s="244">
        <v>1.7999999999999999E-2</v>
      </c>
      <c r="E22" s="1278">
        <v>76.86</v>
      </c>
      <c r="F22" s="1156">
        <f>TRUNC((D22*E22),2)</f>
        <v>1.38</v>
      </c>
      <c r="H22" s="245"/>
    </row>
    <row r="23" spans="1:8" ht="25.5">
      <c r="A23" s="227" t="s">
        <v>433</v>
      </c>
      <c r="B23" s="238" t="s">
        <v>434</v>
      </c>
      <c r="C23" s="179" t="s">
        <v>55</v>
      </c>
      <c r="D23" s="244">
        <v>1</v>
      </c>
      <c r="E23" s="1278">
        <v>7</v>
      </c>
      <c r="F23" s="1156">
        <f>TRUNC((D23*E23),2)</f>
        <v>7</v>
      </c>
      <c r="H23" s="245"/>
    </row>
    <row r="24" spans="1:8">
      <c r="A24" s="227" t="s">
        <v>435</v>
      </c>
      <c r="B24" s="238" t="s">
        <v>126</v>
      </c>
      <c r="C24" s="179" t="s">
        <v>55</v>
      </c>
      <c r="D24" s="239">
        <v>2.1999999999999999E-2</v>
      </c>
      <c r="E24" s="1278">
        <v>87.08</v>
      </c>
      <c r="F24" s="1156">
        <f>TRUNC((D24*E24),2)</f>
        <v>1.91</v>
      </c>
      <c r="H24" s="245"/>
    </row>
    <row r="25" spans="1:8">
      <c r="A25" s="227" t="s">
        <v>436</v>
      </c>
      <c r="B25" s="238" t="s">
        <v>162</v>
      </c>
      <c r="C25" s="179" t="s">
        <v>55</v>
      </c>
      <c r="D25" s="239">
        <v>2.4E-2</v>
      </c>
      <c r="E25" s="1278">
        <v>2.56</v>
      </c>
      <c r="F25" s="1156">
        <f>TRUNC((D25*E25),2)</f>
        <v>0.06</v>
      </c>
      <c r="H25" s="246"/>
    </row>
    <row r="26" spans="1:8" ht="15.75" thickBot="1">
      <c r="A26" s="99"/>
      <c r="B26" s="192"/>
      <c r="C26" s="1113"/>
      <c r="D26" s="247"/>
      <c r="E26" s="248" t="s">
        <v>58</v>
      </c>
      <c r="F26" s="214">
        <f>SUM(F22:F25)</f>
        <v>10.35</v>
      </c>
      <c r="H26" s="249"/>
    </row>
    <row r="27" spans="1:8" ht="15.75" thickBot="1">
      <c r="A27" s="977"/>
      <c r="B27" s="1960" t="s">
        <v>53</v>
      </c>
      <c r="C27" s="1960"/>
      <c r="D27" s="1960"/>
      <c r="E27" s="1960"/>
      <c r="F27" s="978">
        <f>F20+F26</f>
        <v>15.18</v>
      </c>
      <c r="H27" s="249"/>
    </row>
    <row r="28" spans="1:8" ht="15.75" thickBot="1">
      <c r="H28" s="196"/>
    </row>
    <row r="29" spans="1:8" ht="25.5">
      <c r="A29" s="226" t="s">
        <v>437</v>
      </c>
      <c r="B29" s="476" t="s">
        <v>1752</v>
      </c>
      <c r="C29" s="232" t="s">
        <v>55</v>
      </c>
      <c r="D29" s="72"/>
      <c r="E29" s="73"/>
      <c r="F29" s="122"/>
      <c r="G29" s="230"/>
      <c r="H29" s="230"/>
    </row>
    <row r="30" spans="1:8" ht="15" customHeight="1">
      <c r="A30" s="1987" t="s">
        <v>1753</v>
      </c>
      <c r="B30" s="1988"/>
      <c r="C30" s="1988"/>
      <c r="D30" s="1988"/>
      <c r="E30" s="1988"/>
      <c r="F30" s="1989"/>
    </row>
    <row r="31" spans="1:8" ht="25.5">
      <c r="A31" s="129"/>
      <c r="B31" s="233" t="s">
        <v>56</v>
      </c>
      <c r="C31" s="234" t="s">
        <v>49</v>
      </c>
      <c r="D31" s="235" t="s">
        <v>50</v>
      </c>
      <c r="E31" s="236" t="s">
        <v>62</v>
      </c>
      <c r="F31" s="237" t="s">
        <v>52</v>
      </c>
    </row>
    <row r="32" spans="1:8" ht="25.5">
      <c r="A32" s="227" t="s">
        <v>430</v>
      </c>
      <c r="B32" s="238" t="s">
        <v>101</v>
      </c>
      <c r="C32" s="179" t="s">
        <v>57</v>
      </c>
      <c r="D32" s="239">
        <v>0.108</v>
      </c>
      <c r="E32" s="1248">
        <v>20.16</v>
      </c>
      <c r="F32" s="1156">
        <f>TRUNC((D32*E32),2)</f>
        <v>2.17</v>
      </c>
      <c r="H32" s="250"/>
    </row>
    <row r="33" spans="1:9" ht="25.5">
      <c r="A33" s="227" t="s">
        <v>431</v>
      </c>
      <c r="B33" s="238" t="s">
        <v>102</v>
      </c>
      <c r="C33" s="179" t="s">
        <v>57</v>
      </c>
      <c r="D33" s="239">
        <v>0.108</v>
      </c>
      <c r="E33" s="1248">
        <v>24.64</v>
      </c>
      <c r="F33" s="1156">
        <f>TRUNC((D33*E33),2)</f>
        <v>2.66</v>
      </c>
      <c r="H33" s="250"/>
    </row>
    <row r="34" spans="1:9">
      <c r="A34" s="1157"/>
      <c r="B34" s="942"/>
      <c r="C34" s="179" t="s">
        <v>42</v>
      </c>
      <c r="D34" s="240" t="s">
        <v>42</v>
      </c>
      <c r="E34" s="241" t="s">
        <v>58</v>
      </c>
      <c r="F34" s="1158">
        <f>SUM(F32:F33)</f>
        <v>4.83</v>
      </c>
      <c r="H34" s="250"/>
    </row>
    <row r="35" spans="1:9" ht="25.5">
      <c r="A35" s="1157"/>
      <c r="B35" s="1159" t="s">
        <v>95</v>
      </c>
      <c r="C35" s="193" t="s">
        <v>49</v>
      </c>
      <c r="D35" s="242" t="s">
        <v>50</v>
      </c>
      <c r="E35" s="243" t="s">
        <v>62</v>
      </c>
      <c r="F35" s="1158" t="s">
        <v>52</v>
      </c>
      <c r="H35" s="250"/>
    </row>
    <row r="36" spans="1:9">
      <c r="A36" s="227" t="s">
        <v>432</v>
      </c>
      <c r="B36" s="238" t="s">
        <v>125</v>
      </c>
      <c r="C36" s="179" t="s">
        <v>55</v>
      </c>
      <c r="D36" s="244">
        <v>1.7999999999999999E-2</v>
      </c>
      <c r="E36" s="1278">
        <v>76.86</v>
      </c>
      <c r="F36" s="1156">
        <f>TRUNC((D36*E36),2)</f>
        <v>1.38</v>
      </c>
      <c r="H36" s="250"/>
      <c r="I36" s="245"/>
    </row>
    <row r="37" spans="1:9" ht="25.5">
      <c r="A37" s="227">
        <v>3538</v>
      </c>
      <c r="B37" s="97" t="s">
        <v>1752</v>
      </c>
      <c r="C37" s="179" t="s">
        <v>55</v>
      </c>
      <c r="D37" s="244">
        <v>1</v>
      </c>
      <c r="E37" s="1278">
        <v>7.26</v>
      </c>
      <c r="F37" s="1156">
        <f>TRUNC((D37*E37),2)</f>
        <v>7.26</v>
      </c>
      <c r="H37" s="250"/>
      <c r="I37" s="245"/>
    </row>
    <row r="38" spans="1:9">
      <c r="A38" s="227" t="s">
        <v>435</v>
      </c>
      <c r="B38" s="238" t="s">
        <v>126</v>
      </c>
      <c r="C38" s="179" t="s">
        <v>55</v>
      </c>
      <c r="D38" s="239">
        <v>2.1999999999999999E-2</v>
      </c>
      <c r="E38" s="1278">
        <v>87.08</v>
      </c>
      <c r="F38" s="1156">
        <f>TRUNC((D38*E38),2)</f>
        <v>1.91</v>
      </c>
      <c r="H38" s="250"/>
      <c r="I38" s="245"/>
    </row>
    <row r="39" spans="1:9" ht="25.5">
      <c r="A39" s="227">
        <v>3767</v>
      </c>
      <c r="B39" s="238" t="s">
        <v>167</v>
      </c>
      <c r="C39" s="179" t="s">
        <v>55</v>
      </c>
      <c r="D39" s="239">
        <v>2.4E-2</v>
      </c>
      <c r="E39" s="1278">
        <v>1.35</v>
      </c>
      <c r="F39" s="1156">
        <f>TRUNC((D39*E39),2)</f>
        <v>0.03</v>
      </c>
      <c r="H39" s="250"/>
      <c r="I39" s="245"/>
    </row>
    <row r="40" spans="1:9" ht="15.75" thickBot="1">
      <c r="A40" s="99"/>
      <c r="B40" s="192"/>
      <c r="C40" s="1113"/>
      <c r="D40" s="247"/>
      <c r="E40" s="248" t="s">
        <v>58</v>
      </c>
      <c r="F40" s="214">
        <f>SUM(F36:F39)</f>
        <v>10.58</v>
      </c>
    </row>
    <row r="41" spans="1:9" ht="15.75" thickBot="1">
      <c r="A41" s="977"/>
      <c r="B41" s="1960" t="s">
        <v>53</v>
      </c>
      <c r="C41" s="1960"/>
      <c r="D41" s="1960"/>
      <c r="E41" s="1960"/>
      <c r="F41" s="978">
        <f>F34+F40</f>
        <v>15.41</v>
      </c>
    </row>
    <row r="42" spans="1:9" ht="15.75" thickBot="1"/>
    <row r="43" spans="1:9" ht="26.25" customHeight="1">
      <c r="A43" s="226" t="s">
        <v>439</v>
      </c>
      <c r="B43" s="128" t="s">
        <v>1736</v>
      </c>
      <c r="C43" s="232" t="s">
        <v>55</v>
      </c>
      <c r="D43" s="72"/>
      <c r="E43" s="73"/>
      <c r="F43" s="122"/>
      <c r="H43" s="230"/>
    </row>
    <row r="44" spans="1:9" ht="15" customHeight="1">
      <c r="A44" s="1987" t="s">
        <v>1753</v>
      </c>
      <c r="B44" s="1988"/>
      <c r="C44" s="1988"/>
      <c r="D44" s="1988"/>
      <c r="E44" s="1988"/>
      <c r="F44" s="1989"/>
      <c r="H44" s="196"/>
    </row>
    <row r="45" spans="1:9" ht="25.5">
      <c r="A45" s="129"/>
      <c r="B45" s="233" t="s">
        <v>56</v>
      </c>
      <c r="C45" s="234" t="s">
        <v>49</v>
      </c>
      <c r="D45" s="235" t="s">
        <v>50</v>
      </c>
      <c r="E45" s="236" t="s">
        <v>62</v>
      </c>
      <c r="F45" s="237" t="s">
        <v>52</v>
      </c>
      <c r="H45" s="251"/>
    </row>
    <row r="46" spans="1:9" ht="25.5">
      <c r="A46" s="227" t="s">
        <v>430</v>
      </c>
      <c r="B46" s="238" t="s">
        <v>101</v>
      </c>
      <c r="C46" s="179" t="s">
        <v>57</v>
      </c>
      <c r="D46" s="239">
        <v>0.108</v>
      </c>
      <c r="E46" s="1248">
        <v>20.16</v>
      </c>
      <c r="F46" s="1156">
        <f>TRUNC((D46*E46),2)</f>
        <v>2.17</v>
      </c>
      <c r="H46" s="252"/>
    </row>
    <row r="47" spans="1:9" ht="25.5">
      <c r="A47" s="227" t="s">
        <v>431</v>
      </c>
      <c r="B47" s="238" t="s">
        <v>102</v>
      </c>
      <c r="C47" s="179" t="s">
        <v>57</v>
      </c>
      <c r="D47" s="239">
        <v>0.108</v>
      </c>
      <c r="E47" s="1248">
        <v>24.64</v>
      </c>
      <c r="F47" s="1156">
        <f>TRUNC((D47*E47),2)</f>
        <v>2.66</v>
      </c>
      <c r="H47" s="252"/>
    </row>
    <row r="48" spans="1:9">
      <c r="A48" s="1157"/>
      <c r="B48" s="942"/>
      <c r="C48" s="179" t="s">
        <v>42</v>
      </c>
      <c r="D48" s="240" t="s">
        <v>42</v>
      </c>
      <c r="E48" s="241" t="s">
        <v>58</v>
      </c>
      <c r="F48" s="1158">
        <f>SUM(F46:F47)</f>
        <v>4.83</v>
      </c>
      <c r="H48" s="251"/>
    </row>
    <row r="49" spans="1:9" ht="25.5">
      <c r="A49" s="1157"/>
      <c r="B49" s="1159" t="s">
        <v>95</v>
      </c>
      <c r="C49" s="193" t="s">
        <v>49</v>
      </c>
      <c r="D49" s="242" t="s">
        <v>50</v>
      </c>
      <c r="E49" s="243" t="s">
        <v>62</v>
      </c>
      <c r="F49" s="1158" t="s">
        <v>52</v>
      </c>
      <c r="H49" s="251"/>
    </row>
    <row r="50" spans="1:9">
      <c r="A50" s="227" t="s">
        <v>432</v>
      </c>
      <c r="B50" s="238" t="s">
        <v>125</v>
      </c>
      <c r="C50" s="179" t="s">
        <v>55</v>
      </c>
      <c r="D50" s="244">
        <v>1.7999999999999999E-2</v>
      </c>
      <c r="E50" s="1278">
        <v>76.86</v>
      </c>
      <c r="F50" s="1156">
        <f>TRUNC((D50*E50),2)</f>
        <v>1.38</v>
      </c>
      <c r="H50" s="553"/>
      <c r="I50" s="554"/>
    </row>
    <row r="51" spans="1:9" ht="25.5">
      <c r="A51" s="227">
        <v>3511</v>
      </c>
      <c r="B51" s="238" t="s">
        <v>438</v>
      </c>
      <c r="C51" s="179" t="s">
        <v>55</v>
      </c>
      <c r="D51" s="244">
        <v>1</v>
      </c>
      <c r="E51" s="1278">
        <v>119.64</v>
      </c>
      <c r="F51" s="1156">
        <f>TRUNC((D51*E51),2)</f>
        <v>119.64</v>
      </c>
      <c r="H51" s="553"/>
      <c r="I51" s="554"/>
    </row>
    <row r="52" spans="1:9">
      <c r="A52" s="227" t="s">
        <v>435</v>
      </c>
      <c r="B52" s="238" t="s">
        <v>126</v>
      </c>
      <c r="C52" s="179" t="s">
        <v>55</v>
      </c>
      <c r="D52" s="239">
        <v>2.1999999999999999E-2</v>
      </c>
      <c r="E52" s="1278">
        <v>87.08</v>
      </c>
      <c r="F52" s="1156">
        <f>TRUNC((D52*E52),2)</f>
        <v>1.91</v>
      </c>
      <c r="H52" s="553"/>
      <c r="I52" s="554"/>
    </row>
    <row r="53" spans="1:9" ht="25.5">
      <c r="A53" s="227">
        <v>3767</v>
      </c>
      <c r="B53" s="238" t="s">
        <v>167</v>
      </c>
      <c r="C53" s="179" t="s">
        <v>55</v>
      </c>
      <c r="D53" s="239">
        <v>2.4E-2</v>
      </c>
      <c r="E53" s="1278">
        <v>1.35</v>
      </c>
      <c r="F53" s="1156">
        <f>TRUNC((D53*E53),2)</f>
        <v>0.03</v>
      </c>
      <c r="H53" s="553"/>
      <c r="I53" s="554"/>
    </row>
    <row r="54" spans="1:9" ht="15.75" thickBot="1">
      <c r="A54" s="99"/>
      <c r="B54" s="192"/>
      <c r="C54" s="1113"/>
      <c r="D54" s="247"/>
      <c r="E54" s="248" t="s">
        <v>58</v>
      </c>
      <c r="F54" s="214">
        <f>SUM(F50:F53)</f>
        <v>122.96</v>
      </c>
      <c r="H54" s="555"/>
      <c r="I54" s="555"/>
    </row>
    <row r="55" spans="1:9" ht="15.75" thickBot="1">
      <c r="A55" s="977"/>
      <c r="B55" s="1960" t="s">
        <v>53</v>
      </c>
      <c r="C55" s="1960"/>
      <c r="D55" s="1960"/>
      <c r="E55" s="1960"/>
      <c r="F55" s="978">
        <f>F48+F54</f>
        <v>127.78999999999999</v>
      </c>
      <c r="H55" s="555"/>
      <c r="I55" s="555"/>
    </row>
    <row r="56" spans="1:9" ht="15.75" thickBot="1">
      <c r="H56" s="555"/>
      <c r="I56" s="555"/>
    </row>
    <row r="57" spans="1:9" ht="26.25" thickBot="1">
      <c r="A57" s="258" t="s">
        <v>440</v>
      </c>
      <c r="B57" s="271" t="s">
        <v>1748</v>
      </c>
      <c r="C57" s="1178" t="s">
        <v>55</v>
      </c>
      <c r="D57" s="996"/>
      <c r="E57" s="997"/>
      <c r="F57" s="1179"/>
      <c r="G57" s="230"/>
      <c r="H57" s="556"/>
      <c r="I57" s="20"/>
    </row>
    <row r="58" spans="1:9">
      <c r="A58" s="2024" t="s">
        <v>1749</v>
      </c>
      <c r="B58" s="2025"/>
      <c r="C58" s="2025"/>
      <c r="D58" s="2025"/>
      <c r="E58" s="2025"/>
      <c r="F58" s="2026"/>
    </row>
    <row r="59" spans="1:9" ht="25.5">
      <c r="A59" s="129"/>
      <c r="B59" s="233" t="s">
        <v>56</v>
      </c>
      <c r="C59" s="234" t="s">
        <v>49</v>
      </c>
      <c r="D59" s="235" t="s">
        <v>50</v>
      </c>
      <c r="E59" s="236" t="s">
        <v>62</v>
      </c>
      <c r="F59" s="237" t="s">
        <v>52</v>
      </c>
    </row>
    <row r="60" spans="1:9" ht="25.5">
      <c r="A60" s="227" t="s">
        <v>430</v>
      </c>
      <c r="B60" s="238" t="s">
        <v>101</v>
      </c>
      <c r="C60" s="179" t="s">
        <v>57</v>
      </c>
      <c r="D60" s="239">
        <v>0.6</v>
      </c>
      <c r="E60" s="1248">
        <v>20.16</v>
      </c>
      <c r="F60" s="1156">
        <f>TRUNC((D60*E60),2)</f>
        <v>12.09</v>
      </c>
    </row>
    <row r="61" spans="1:9" ht="25.5">
      <c r="A61" s="227" t="s">
        <v>431</v>
      </c>
      <c r="B61" s="238" t="s">
        <v>102</v>
      </c>
      <c r="C61" s="179" t="s">
        <v>57</v>
      </c>
      <c r="D61" s="239">
        <v>0.6</v>
      </c>
      <c r="E61" s="1248">
        <v>24.64</v>
      </c>
      <c r="F61" s="1156">
        <f>TRUNC((D61*E61),2)</f>
        <v>14.78</v>
      </c>
    </row>
    <row r="62" spans="1:9">
      <c r="A62" s="1157"/>
      <c r="B62" s="942"/>
      <c r="C62" s="179" t="s">
        <v>42</v>
      </c>
      <c r="D62" s="240" t="s">
        <v>42</v>
      </c>
      <c r="E62" s="241" t="s">
        <v>58</v>
      </c>
      <c r="F62" s="1158">
        <f>SUM(F60:F61)</f>
        <v>26.869999999999997</v>
      </c>
    </row>
    <row r="63" spans="1:9" ht="25.5">
      <c r="A63" s="1157"/>
      <c r="B63" s="1159" t="s">
        <v>95</v>
      </c>
      <c r="C63" s="193" t="s">
        <v>49</v>
      </c>
      <c r="D63" s="242" t="s">
        <v>50</v>
      </c>
      <c r="E63" s="243" t="s">
        <v>62</v>
      </c>
      <c r="F63" s="1158" t="s">
        <v>52</v>
      </c>
      <c r="H63" s="253"/>
    </row>
    <row r="64" spans="1:9" ht="38.25">
      <c r="A64" s="227">
        <v>1413</v>
      </c>
      <c r="B64" s="97" t="s">
        <v>1750</v>
      </c>
      <c r="C64" s="179" t="s">
        <v>55</v>
      </c>
      <c r="D64" s="244">
        <v>1</v>
      </c>
      <c r="E64" s="1278">
        <v>16.72</v>
      </c>
      <c r="F64" s="1156">
        <f>TRUNC((D64*E64),2)</f>
        <v>16.72</v>
      </c>
      <c r="H64" s="253"/>
    </row>
    <row r="65" spans="1:8">
      <c r="A65" s="227">
        <v>3148</v>
      </c>
      <c r="B65" s="97" t="s">
        <v>446</v>
      </c>
      <c r="C65" s="179" t="s">
        <v>55</v>
      </c>
      <c r="D65" s="244">
        <v>8.9999999999999993E-3</v>
      </c>
      <c r="E65" s="1278">
        <v>17.989999999999998</v>
      </c>
      <c r="F65" s="1156">
        <f>TRUNC((D65*E65),2)</f>
        <v>0.16</v>
      </c>
      <c r="H65" s="253"/>
    </row>
    <row r="66" spans="1:8" ht="25.5">
      <c r="A66" s="227">
        <v>3907</v>
      </c>
      <c r="B66" s="97" t="s">
        <v>1751</v>
      </c>
      <c r="C66" s="179" t="s">
        <v>55</v>
      </c>
      <c r="D66" s="239">
        <v>1</v>
      </c>
      <c r="E66" s="1278">
        <v>7.53</v>
      </c>
      <c r="F66" s="1156">
        <f>TRUNC((D66*E66),2)</f>
        <v>7.53</v>
      </c>
      <c r="H66" s="253"/>
    </row>
    <row r="67" spans="1:8" ht="15.75" thickBot="1">
      <c r="A67" s="99"/>
      <c r="B67" s="192"/>
      <c r="C67" s="1113"/>
      <c r="D67" s="247"/>
      <c r="E67" s="248" t="s">
        <v>58</v>
      </c>
      <c r="F67" s="214">
        <f>SUM(F64:F66)</f>
        <v>24.41</v>
      </c>
      <c r="H67" s="253"/>
    </row>
    <row r="68" spans="1:8" ht="15.75" thickBot="1">
      <c r="A68" s="977"/>
      <c r="B68" s="1960" t="s">
        <v>53</v>
      </c>
      <c r="C68" s="1960"/>
      <c r="D68" s="1960"/>
      <c r="E68" s="1960"/>
      <c r="F68" s="978">
        <f>F62+F67</f>
        <v>51.28</v>
      </c>
      <c r="H68" s="253"/>
    </row>
    <row r="69" spans="1:8" ht="15.75" thickBot="1"/>
    <row r="70" spans="1:8" ht="25.5">
      <c r="A70" s="226" t="s">
        <v>442</v>
      </c>
      <c r="B70" s="128" t="s">
        <v>242</v>
      </c>
      <c r="C70" s="232" t="s">
        <v>54</v>
      </c>
      <c r="D70" s="72"/>
      <c r="E70" s="73"/>
      <c r="F70" s="122"/>
      <c r="G70" s="230"/>
      <c r="H70" s="230"/>
    </row>
    <row r="71" spans="1:8">
      <c r="A71" s="1987" t="s">
        <v>444</v>
      </c>
      <c r="B71" s="1988"/>
      <c r="C71" s="1988"/>
      <c r="D71" s="1988"/>
      <c r="E71" s="1988"/>
      <c r="F71" s="1989"/>
    </row>
    <row r="72" spans="1:8" ht="25.5">
      <c r="A72" s="129"/>
      <c r="B72" s="233" t="s">
        <v>56</v>
      </c>
      <c r="C72" s="234" t="s">
        <v>49</v>
      </c>
      <c r="D72" s="235" t="s">
        <v>50</v>
      </c>
      <c r="E72" s="236" t="s">
        <v>62</v>
      </c>
      <c r="F72" s="237" t="s">
        <v>52</v>
      </c>
      <c r="H72" s="253"/>
    </row>
    <row r="73" spans="1:8" ht="25.5">
      <c r="A73" s="227" t="s">
        <v>430</v>
      </c>
      <c r="B73" s="238" t="s">
        <v>101</v>
      </c>
      <c r="C73" s="179" t="s">
        <v>57</v>
      </c>
      <c r="D73" s="239">
        <v>2.9000000000000001E-2</v>
      </c>
      <c r="E73" s="1248">
        <v>20.16</v>
      </c>
      <c r="F73" s="1156">
        <f>TRUNC((D73*E73),2)</f>
        <v>0.57999999999999996</v>
      </c>
      <c r="H73" s="253"/>
    </row>
    <row r="74" spans="1:8" ht="25.5">
      <c r="A74" s="227" t="s">
        <v>431</v>
      </c>
      <c r="B74" s="238" t="s">
        <v>102</v>
      </c>
      <c r="C74" s="179" t="s">
        <v>57</v>
      </c>
      <c r="D74" s="239">
        <v>2.9000000000000001E-2</v>
      </c>
      <c r="E74" s="1248">
        <v>24.64</v>
      </c>
      <c r="F74" s="1156">
        <f>TRUNC((D74*E74),2)</f>
        <v>0.71</v>
      </c>
      <c r="H74" s="253"/>
    </row>
    <row r="75" spans="1:8">
      <c r="A75" s="1157"/>
      <c r="B75" s="942"/>
      <c r="C75" s="179" t="s">
        <v>42</v>
      </c>
      <c r="D75" s="240" t="s">
        <v>42</v>
      </c>
      <c r="E75" s="241" t="s">
        <v>58</v>
      </c>
      <c r="F75" s="1158">
        <f>SUM(F73:F74)</f>
        <v>1.29</v>
      </c>
      <c r="H75" s="253"/>
    </row>
    <row r="76" spans="1:8" ht="25.5">
      <c r="A76" s="1157"/>
      <c r="B76" s="1159" t="s">
        <v>95</v>
      </c>
      <c r="C76" s="193" t="s">
        <v>49</v>
      </c>
      <c r="D76" s="242" t="s">
        <v>50</v>
      </c>
      <c r="E76" s="243" t="s">
        <v>62</v>
      </c>
      <c r="F76" s="1158" t="s">
        <v>52</v>
      </c>
      <c r="H76" s="253"/>
    </row>
    <row r="77" spans="1:8" ht="25.5">
      <c r="A77" s="227">
        <v>9875</v>
      </c>
      <c r="B77" s="238" t="s">
        <v>1747</v>
      </c>
      <c r="C77" s="179" t="s">
        <v>55</v>
      </c>
      <c r="D77" s="239">
        <v>1.0609999999999999</v>
      </c>
      <c r="E77" s="1278">
        <v>19.72</v>
      </c>
      <c r="F77" s="1156">
        <f>TRUNC((D77*E77),2)</f>
        <v>20.92</v>
      </c>
      <c r="H77" s="253"/>
    </row>
    <row r="78" spans="1:8">
      <c r="A78" s="227">
        <v>38383</v>
      </c>
      <c r="B78" s="238" t="s">
        <v>162</v>
      </c>
      <c r="C78" s="179" t="s">
        <v>55</v>
      </c>
      <c r="D78" s="239">
        <v>0.01</v>
      </c>
      <c r="E78" s="1248">
        <v>2.56</v>
      </c>
      <c r="F78" s="1156">
        <f>TRUNC((D78*E78),2)</f>
        <v>0.02</v>
      </c>
    </row>
    <row r="79" spans="1:8" ht="15.75" thickBot="1">
      <c r="A79" s="99"/>
      <c r="B79" s="192"/>
      <c r="C79" s="1113"/>
      <c r="D79" s="247"/>
      <c r="E79" s="248" t="s">
        <v>58</v>
      </c>
      <c r="F79" s="214">
        <f>SUM(F77:F78)</f>
        <v>20.94</v>
      </c>
    </row>
    <row r="80" spans="1:8" ht="15.75" thickBot="1">
      <c r="A80" s="977"/>
      <c r="B80" s="1960" t="s">
        <v>53</v>
      </c>
      <c r="C80" s="1960"/>
      <c r="D80" s="1960"/>
      <c r="E80" s="1960"/>
      <c r="F80" s="978">
        <f>F75+F79</f>
        <v>22.23</v>
      </c>
    </row>
    <row r="81" spans="1:8" ht="15.75" thickBot="1"/>
    <row r="82" spans="1:8" ht="38.25">
      <c r="A82" s="226" t="s">
        <v>443</v>
      </c>
      <c r="B82" s="128" t="s">
        <v>244</v>
      </c>
      <c r="C82" s="232" t="s">
        <v>55</v>
      </c>
      <c r="D82" s="72"/>
      <c r="E82" s="73"/>
      <c r="F82" s="122"/>
      <c r="G82" s="230"/>
      <c r="H82" s="230"/>
    </row>
    <row r="83" spans="1:8">
      <c r="A83" s="1987" t="s">
        <v>449</v>
      </c>
      <c r="B83" s="1988"/>
      <c r="C83" s="1988"/>
      <c r="D83" s="1988"/>
      <c r="E83" s="1988"/>
      <c r="F83" s="1989"/>
    </row>
    <row r="84" spans="1:8" ht="25.5">
      <c r="A84" s="129"/>
      <c r="B84" s="233" t="s">
        <v>56</v>
      </c>
      <c r="C84" s="234" t="s">
        <v>49</v>
      </c>
      <c r="D84" s="235" t="s">
        <v>50</v>
      </c>
      <c r="E84" s="236" t="s">
        <v>62</v>
      </c>
      <c r="F84" s="237" t="s">
        <v>52</v>
      </c>
    </row>
    <row r="85" spans="1:8" ht="25.5">
      <c r="A85" s="227" t="s">
        <v>430</v>
      </c>
      <c r="B85" s="238" t="s">
        <v>101</v>
      </c>
      <c r="C85" s="179" t="s">
        <v>57</v>
      </c>
      <c r="D85" s="239">
        <v>7.1999999999999995E-2</v>
      </c>
      <c r="E85" s="1248">
        <v>20.16</v>
      </c>
      <c r="F85" s="1156">
        <f>TRUNC((D85*E85),2)</f>
        <v>1.45</v>
      </c>
      <c r="H85" s="253"/>
    </row>
    <row r="86" spans="1:8" ht="25.5">
      <c r="A86" s="227" t="s">
        <v>431</v>
      </c>
      <c r="B86" s="238" t="s">
        <v>102</v>
      </c>
      <c r="C86" s="179" t="s">
        <v>57</v>
      </c>
      <c r="D86" s="239">
        <v>7.1999999999999995E-2</v>
      </c>
      <c r="E86" s="1248">
        <v>24.64</v>
      </c>
      <c r="F86" s="1156">
        <f>TRUNC((D86*E86),2)</f>
        <v>1.77</v>
      </c>
      <c r="H86" s="253"/>
    </row>
    <row r="87" spans="1:8">
      <c r="A87" s="1157"/>
      <c r="B87" s="942"/>
      <c r="C87" s="179" t="s">
        <v>42</v>
      </c>
      <c r="D87" s="240" t="s">
        <v>42</v>
      </c>
      <c r="E87" s="241" t="s">
        <v>58</v>
      </c>
      <c r="F87" s="1158">
        <f>SUM(F85:F86)</f>
        <v>3.2199999999999998</v>
      </c>
      <c r="H87" s="253"/>
    </row>
    <row r="88" spans="1:8" ht="25.5">
      <c r="A88" s="1157"/>
      <c r="B88" s="1159" t="s">
        <v>95</v>
      </c>
      <c r="C88" s="193" t="s">
        <v>49</v>
      </c>
      <c r="D88" s="242" t="s">
        <v>50</v>
      </c>
      <c r="E88" s="243" t="s">
        <v>62</v>
      </c>
      <c r="F88" s="1158" t="s">
        <v>52</v>
      </c>
      <c r="H88" s="253"/>
    </row>
    <row r="89" spans="1:8" ht="25.5">
      <c r="A89" s="227">
        <v>112</v>
      </c>
      <c r="B89" s="207" t="s">
        <v>450</v>
      </c>
      <c r="C89" s="179" t="s">
        <v>55</v>
      </c>
      <c r="D89" s="239">
        <v>1</v>
      </c>
      <c r="E89" s="1278">
        <v>6.25</v>
      </c>
      <c r="F89" s="1156">
        <f>TRUNC((D89*E89),2)</f>
        <v>6.25</v>
      </c>
      <c r="H89" s="253"/>
    </row>
    <row r="90" spans="1:8">
      <c r="A90" s="227">
        <v>122</v>
      </c>
      <c r="B90" s="207" t="s">
        <v>125</v>
      </c>
      <c r="C90" s="179" t="s">
        <v>55</v>
      </c>
      <c r="D90" s="239">
        <v>1.7999999999999999E-2</v>
      </c>
      <c r="E90" s="1278">
        <v>76.86</v>
      </c>
      <c r="F90" s="1156">
        <f>TRUNC((D90*E90),2)</f>
        <v>1.38</v>
      </c>
      <c r="H90" s="253"/>
    </row>
    <row r="91" spans="1:8">
      <c r="A91" s="227">
        <v>20083</v>
      </c>
      <c r="B91" s="207" t="s">
        <v>126</v>
      </c>
      <c r="C91" s="179" t="s">
        <v>55</v>
      </c>
      <c r="D91" s="239">
        <v>2.1999999999999999E-2</v>
      </c>
      <c r="E91" s="1278">
        <v>87.08</v>
      </c>
      <c r="F91" s="1156">
        <f>TRUNC((D91*E91),2)</f>
        <v>1.91</v>
      </c>
    </row>
    <row r="92" spans="1:8">
      <c r="A92" s="227">
        <v>38383</v>
      </c>
      <c r="B92" s="207" t="s">
        <v>162</v>
      </c>
      <c r="C92" s="179" t="s">
        <v>55</v>
      </c>
      <c r="D92" s="239">
        <v>2.4E-2</v>
      </c>
      <c r="E92" s="1248">
        <v>2.5299999999999998</v>
      </c>
      <c r="F92" s="1156">
        <f>TRUNC((D92*E92),2)</f>
        <v>0.06</v>
      </c>
    </row>
    <row r="93" spans="1:8" ht="15.75" thickBot="1">
      <c r="A93" s="99"/>
      <c r="B93" s="192"/>
      <c r="C93" s="1113"/>
      <c r="D93" s="247"/>
      <c r="E93" s="248" t="s">
        <v>58</v>
      </c>
      <c r="F93" s="214">
        <f>SUM(F89:F92)</f>
        <v>9.6</v>
      </c>
    </row>
    <row r="94" spans="1:8" ht="15.75" thickBot="1">
      <c r="A94" s="977"/>
      <c r="B94" s="1960" t="s">
        <v>53</v>
      </c>
      <c r="C94" s="1960"/>
      <c r="D94" s="1960"/>
      <c r="E94" s="1960"/>
      <c r="F94" s="978">
        <f>F87+F93</f>
        <v>12.82</v>
      </c>
    </row>
    <row r="95" spans="1:8" ht="15.75" thickBot="1"/>
    <row r="96" spans="1:8" ht="38.25">
      <c r="A96" s="226" t="s">
        <v>445</v>
      </c>
      <c r="B96" s="128" t="s">
        <v>245</v>
      </c>
      <c r="C96" s="232" t="s">
        <v>55</v>
      </c>
      <c r="D96" s="72"/>
      <c r="E96" s="73"/>
      <c r="F96" s="122"/>
      <c r="H96" s="230"/>
    </row>
    <row r="97" spans="1:9">
      <c r="A97" s="1987" t="s">
        <v>1741</v>
      </c>
      <c r="B97" s="1988"/>
      <c r="C97" s="1988"/>
      <c r="D97" s="1988"/>
      <c r="E97" s="1988"/>
      <c r="F97" s="1989"/>
    </row>
    <row r="98" spans="1:9" ht="25.5">
      <c r="A98" s="129"/>
      <c r="B98" s="233" t="s">
        <v>56</v>
      </c>
      <c r="C98" s="234" t="s">
        <v>49</v>
      </c>
      <c r="D98" s="235" t="s">
        <v>50</v>
      </c>
      <c r="E98" s="236" t="s">
        <v>62</v>
      </c>
      <c r="F98" s="237" t="s">
        <v>52</v>
      </c>
    </row>
    <row r="99" spans="1:9" ht="25.5">
      <c r="A99" s="227" t="s">
        <v>430</v>
      </c>
      <c r="B99" s="238" t="s">
        <v>101</v>
      </c>
      <c r="C99" s="179" t="s">
        <v>57</v>
      </c>
      <c r="D99" s="189">
        <v>4.4999999999999998E-2</v>
      </c>
      <c r="E99" s="1248">
        <v>20.16</v>
      </c>
      <c r="F99" s="1156">
        <f>TRUNC((D99*E99),2)</f>
        <v>0.9</v>
      </c>
    </row>
    <row r="100" spans="1:9" ht="25.5">
      <c r="A100" s="227" t="s">
        <v>431</v>
      </c>
      <c r="B100" s="238" t="s">
        <v>102</v>
      </c>
      <c r="C100" s="179" t="s">
        <v>57</v>
      </c>
      <c r="D100" s="189">
        <v>4.4999999999999998E-2</v>
      </c>
      <c r="E100" s="1248">
        <v>24.64</v>
      </c>
      <c r="F100" s="1156">
        <f>TRUNC((D100*E100),2)</f>
        <v>1.1000000000000001</v>
      </c>
    </row>
    <row r="101" spans="1:9">
      <c r="A101" s="1157"/>
      <c r="B101" s="942"/>
      <c r="C101" s="179" t="s">
        <v>42</v>
      </c>
      <c r="D101" s="240" t="s">
        <v>42</v>
      </c>
      <c r="E101" s="241" t="s">
        <v>58</v>
      </c>
      <c r="F101" s="1158">
        <f>SUM(F99:F100)</f>
        <v>2</v>
      </c>
    </row>
    <row r="102" spans="1:9" ht="25.5">
      <c r="A102" s="1157"/>
      <c r="B102" s="1159" t="s">
        <v>95</v>
      </c>
      <c r="C102" s="193" t="s">
        <v>49</v>
      </c>
      <c r="D102" s="242" t="s">
        <v>50</v>
      </c>
      <c r="E102" s="243" t="s">
        <v>62</v>
      </c>
      <c r="F102" s="1158" t="s">
        <v>52</v>
      </c>
      <c r="H102" s="253"/>
      <c r="I102" s="253"/>
    </row>
    <row r="103" spans="1:9" ht="25.5">
      <c r="A103" s="227">
        <v>20085</v>
      </c>
      <c r="B103" s="97" t="s">
        <v>1740</v>
      </c>
      <c r="C103" s="179" t="s">
        <v>55</v>
      </c>
      <c r="D103" s="239">
        <v>1</v>
      </c>
      <c r="E103" s="1278">
        <v>2.59</v>
      </c>
      <c r="F103" s="1156">
        <f>TRUNC((D103*E103),2)</f>
        <v>2.59</v>
      </c>
      <c r="H103" s="251"/>
      <c r="I103" s="560"/>
    </row>
    <row r="104" spans="1:9" ht="38.25">
      <c r="A104" s="227">
        <v>20078</v>
      </c>
      <c r="B104" s="97" t="s">
        <v>1739</v>
      </c>
      <c r="C104" s="179" t="s">
        <v>55</v>
      </c>
      <c r="D104" s="189">
        <v>0.02</v>
      </c>
      <c r="E104" s="1278">
        <v>31.72</v>
      </c>
      <c r="F104" s="1156">
        <f>TRUNC((D104*E104),2)</f>
        <v>0.63</v>
      </c>
      <c r="H104" s="251"/>
      <c r="I104" s="560"/>
    </row>
    <row r="105" spans="1:9" ht="24.75" customHeight="1">
      <c r="A105" s="227">
        <v>813</v>
      </c>
      <c r="B105" s="97" t="s">
        <v>1742</v>
      </c>
      <c r="C105" s="179" t="s">
        <v>55</v>
      </c>
      <c r="D105" s="239">
        <v>1</v>
      </c>
      <c r="E105" s="1248">
        <v>6.34</v>
      </c>
      <c r="F105" s="1156">
        <f>TRUNC((D105*E105),2)</f>
        <v>6.34</v>
      </c>
      <c r="H105" s="251"/>
      <c r="I105" s="560"/>
    </row>
    <row r="106" spans="1:9" ht="15.75" thickBot="1">
      <c r="A106" s="99"/>
      <c r="B106" s="192"/>
      <c r="C106" s="1113"/>
      <c r="D106" s="247"/>
      <c r="E106" s="248" t="s">
        <v>58</v>
      </c>
      <c r="F106" s="214">
        <f>SUM(F103:F105)</f>
        <v>9.5599999999999987</v>
      </c>
      <c r="H106" s="251"/>
      <c r="I106" s="560"/>
    </row>
    <row r="107" spans="1:9" ht="15.75" thickBot="1">
      <c r="A107" s="83"/>
      <c r="B107" s="2027" t="s">
        <v>53</v>
      </c>
      <c r="C107" s="2027"/>
      <c r="D107" s="2027"/>
      <c r="E107" s="2027"/>
      <c r="F107" s="295">
        <f>F101+F106</f>
        <v>11.559999999999999</v>
      </c>
      <c r="H107" s="251"/>
      <c r="I107" s="560"/>
    </row>
    <row r="108" spans="1:9" ht="15.75" thickBot="1"/>
    <row r="109" spans="1:9" ht="25.5">
      <c r="A109" s="226" t="s">
        <v>447</v>
      </c>
      <c r="B109" s="128" t="s">
        <v>247</v>
      </c>
      <c r="C109" s="232" t="s">
        <v>55</v>
      </c>
      <c r="D109" s="72"/>
      <c r="E109" s="73"/>
      <c r="F109" s="122"/>
      <c r="G109" s="230"/>
      <c r="H109" s="230"/>
    </row>
    <row r="110" spans="1:9">
      <c r="A110" s="1987" t="s">
        <v>1746</v>
      </c>
      <c r="B110" s="1988"/>
      <c r="C110" s="1988"/>
      <c r="D110" s="1988"/>
      <c r="E110" s="1988"/>
      <c r="F110" s="1989"/>
    </row>
    <row r="111" spans="1:9" ht="25.5">
      <c r="A111" s="129"/>
      <c r="B111" s="233" t="s">
        <v>56</v>
      </c>
      <c r="C111" s="234" t="s">
        <v>49</v>
      </c>
      <c r="D111" s="235" t="s">
        <v>50</v>
      </c>
      <c r="E111" s="236" t="s">
        <v>62</v>
      </c>
      <c r="F111" s="237" t="s">
        <v>52</v>
      </c>
    </row>
    <row r="112" spans="1:9" ht="25.5">
      <c r="A112" s="227" t="s">
        <v>430</v>
      </c>
      <c r="B112" s="238" t="s">
        <v>101</v>
      </c>
      <c r="C112" s="179" t="s">
        <v>57</v>
      </c>
      <c r="D112" s="239">
        <v>0.20899999999999999</v>
      </c>
      <c r="E112" s="1248">
        <v>20.16</v>
      </c>
      <c r="F112" s="1156">
        <f>TRUNC((D112*E112),2)</f>
        <v>4.21</v>
      </c>
    </row>
    <row r="113" spans="1:11" ht="25.5">
      <c r="A113" s="227" t="s">
        <v>431</v>
      </c>
      <c r="B113" s="238" t="s">
        <v>102</v>
      </c>
      <c r="C113" s="179" t="s">
        <v>57</v>
      </c>
      <c r="D113" s="239">
        <v>0.20899999999999999</v>
      </c>
      <c r="E113" s="1248">
        <v>24.64</v>
      </c>
      <c r="F113" s="1156">
        <f>TRUNC((D113*E113),2)</f>
        <v>5.14</v>
      </c>
    </row>
    <row r="114" spans="1:11">
      <c r="A114" s="1157"/>
      <c r="B114" s="942"/>
      <c r="C114" s="179" t="s">
        <v>42</v>
      </c>
      <c r="D114" s="240" t="s">
        <v>42</v>
      </c>
      <c r="E114" s="241" t="s">
        <v>58</v>
      </c>
      <c r="F114" s="1158">
        <f>SUM(F112:F113)</f>
        <v>9.35</v>
      </c>
    </row>
    <row r="115" spans="1:11" ht="25.5">
      <c r="A115" s="1157"/>
      <c r="B115" s="1159" t="s">
        <v>95</v>
      </c>
      <c r="C115" s="193" t="s">
        <v>49</v>
      </c>
      <c r="D115" s="242" t="s">
        <v>50</v>
      </c>
      <c r="E115" s="243" t="s">
        <v>62</v>
      </c>
      <c r="F115" s="1158" t="s">
        <v>52</v>
      </c>
      <c r="H115" s="253"/>
    </row>
    <row r="116" spans="1:11">
      <c r="A116" s="227">
        <v>122</v>
      </c>
      <c r="B116" s="207" t="s">
        <v>125</v>
      </c>
      <c r="C116" s="179" t="s">
        <v>55</v>
      </c>
      <c r="D116" s="239">
        <v>0.06</v>
      </c>
      <c r="E116" s="1278">
        <v>76.86</v>
      </c>
      <c r="F116" s="1156">
        <f>TRUNC((D116*E116),2)</f>
        <v>4.6100000000000003</v>
      </c>
      <c r="H116" s="253"/>
    </row>
    <row r="117" spans="1:11" ht="25.5">
      <c r="A117" s="227">
        <v>7129</v>
      </c>
      <c r="B117" s="207" t="s">
        <v>454</v>
      </c>
      <c r="C117" s="179" t="s">
        <v>55</v>
      </c>
      <c r="D117" s="239">
        <v>1</v>
      </c>
      <c r="E117" s="1278">
        <v>14.27</v>
      </c>
      <c r="F117" s="1156">
        <f>TRUNC((D117*E117),2)</f>
        <v>14.27</v>
      </c>
      <c r="H117" s="253"/>
    </row>
    <row r="118" spans="1:11">
      <c r="A118" s="227">
        <v>20083</v>
      </c>
      <c r="B118" s="207" t="s">
        <v>126</v>
      </c>
      <c r="C118" s="179" t="s">
        <v>55</v>
      </c>
      <c r="D118" s="239">
        <v>7.8E-2</v>
      </c>
      <c r="E118" s="1278">
        <v>87.08</v>
      </c>
      <c r="F118" s="1156">
        <f>TRUNC((D118*E118),2)</f>
        <v>6.79</v>
      </c>
      <c r="H118" s="253"/>
    </row>
    <row r="119" spans="1:11">
      <c r="A119" s="227">
        <v>38383</v>
      </c>
      <c r="B119" s="207" t="s">
        <v>162</v>
      </c>
      <c r="C119" s="179" t="s">
        <v>55</v>
      </c>
      <c r="D119" s="239">
        <v>5.2999999999999999E-2</v>
      </c>
      <c r="E119" s="1248">
        <v>2.5299999999999998</v>
      </c>
      <c r="F119" s="1156">
        <f>TRUNC((D119*E119),2)</f>
        <v>0.13</v>
      </c>
      <c r="H119" s="253"/>
    </row>
    <row r="120" spans="1:11" ht="15.75" thickBot="1">
      <c r="A120" s="99"/>
      <c r="B120" s="192"/>
      <c r="C120" s="1113"/>
      <c r="D120" s="247"/>
      <c r="E120" s="248" t="s">
        <v>58</v>
      </c>
      <c r="F120" s="214">
        <f>SUM(F116:F119)</f>
        <v>25.799999999999997</v>
      </c>
      <c r="H120" s="253"/>
    </row>
    <row r="121" spans="1:11" ht="15.75" thickBot="1">
      <c r="A121" s="977"/>
      <c r="B121" s="1960" t="s">
        <v>53</v>
      </c>
      <c r="C121" s="1960"/>
      <c r="D121" s="1960"/>
      <c r="E121" s="1960"/>
      <c r="F121" s="978">
        <f>F114+F120</f>
        <v>35.15</v>
      </c>
      <c r="H121" s="253"/>
    </row>
    <row r="122" spans="1:11" ht="15.75" thickBot="1">
      <c r="I122" s="196"/>
      <c r="J122" s="196"/>
      <c r="K122" s="196"/>
    </row>
    <row r="123" spans="1:11" ht="26.25" customHeight="1">
      <c r="A123" s="226" t="s">
        <v>448</v>
      </c>
      <c r="B123" s="128" t="s">
        <v>464</v>
      </c>
      <c r="C123" s="232" t="s">
        <v>55</v>
      </c>
      <c r="D123" s="72"/>
      <c r="E123" s="73"/>
      <c r="F123" s="122"/>
      <c r="H123" s="230"/>
      <c r="I123" s="555"/>
      <c r="J123" s="555"/>
      <c r="K123" s="555"/>
    </row>
    <row r="124" spans="1:11" ht="15" customHeight="1">
      <c r="A124" s="1987" t="s">
        <v>441</v>
      </c>
      <c r="B124" s="1988"/>
      <c r="C124" s="1988"/>
      <c r="D124" s="1988"/>
      <c r="E124" s="1988"/>
      <c r="F124" s="1989"/>
      <c r="I124" s="555"/>
      <c r="J124" s="555"/>
      <c r="K124" s="555"/>
    </row>
    <row r="125" spans="1:11" ht="25.5">
      <c r="A125" s="129"/>
      <c r="B125" s="233" t="s">
        <v>56</v>
      </c>
      <c r="C125" s="234" t="s">
        <v>49</v>
      </c>
      <c r="D125" s="235" t="s">
        <v>50</v>
      </c>
      <c r="E125" s="236" t="s">
        <v>62</v>
      </c>
      <c r="F125" s="237" t="s">
        <v>52</v>
      </c>
      <c r="I125" s="555"/>
      <c r="J125" s="555"/>
      <c r="K125" s="555"/>
    </row>
    <row r="126" spans="1:11" ht="25.5">
      <c r="A126" s="227" t="s">
        <v>430</v>
      </c>
      <c r="B126" s="238" t="s">
        <v>101</v>
      </c>
      <c r="C126" s="179" t="s">
        <v>57</v>
      </c>
      <c r="D126" s="257">
        <v>0.20899999999999999</v>
      </c>
      <c r="E126" s="1248">
        <v>20.16</v>
      </c>
      <c r="F126" s="1156">
        <f>TRUNC((D126*E126),2)</f>
        <v>4.21</v>
      </c>
      <c r="I126" s="196"/>
      <c r="J126" s="196"/>
      <c r="K126" s="196"/>
    </row>
    <row r="127" spans="1:11" ht="25.5">
      <c r="A127" s="227" t="s">
        <v>431</v>
      </c>
      <c r="B127" s="238" t="s">
        <v>102</v>
      </c>
      <c r="C127" s="179" t="s">
        <v>57</v>
      </c>
      <c r="D127" s="257">
        <v>0.20899999999999999</v>
      </c>
      <c r="E127" s="1248">
        <v>24.64</v>
      </c>
      <c r="F127" s="1156">
        <f>TRUNC((D127*E127),2)</f>
        <v>5.14</v>
      </c>
    </row>
    <row r="128" spans="1:11">
      <c r="A128" s="1157"/>
      <c r="B128" s="942"/>
      <c r="C128" s="179" t="s">
        <v>42</v>
      </c>
      <c r="D128" s="240" t="s">
        <v>42</v>
      </c>
      <c r="E128" s="241" t="s">
        <v>58</v>
      </c>
      <c r="F128" s="1158">
        <f>SUM(F126:F127)</f>
        <v>9.35</v>
      </c>
      <c r="H128" s="560"/>
      <c r="I128" s="251"/>
      <c r="J128" s="251"/>
    </row>
    <row r="129" spans="1:10" ht="25.5">
      <c r="A129" s="1157"/>
      <c r="B129" s="1159" t="s">
        <v>95</v>
      </c>
      <c r="C129" s="193" t="s">
        <v>49</v>
      </c>
      <c r="D129" s="242" t="s">
        <v>50</v>
      </c>
      <c r="E129" s="243" t="s">
        <v>62</v>
      </c>
      <c r="F129" s="1158" t="s">
        <v>52</v>
      </c>
      <c r="H129" s="560"/>
      <c r="I129" s="251"/>
      <c r="J129" s="251"/>
    </row>
    <row r="130" spans="1:10" ht="25.5">
      <c r="A130" s="227">
        <v>7142</v>
      </c>
      <c r="B130" s="207" t="s">
        <v>465</v>
      </c>
      <c r="C130" s="179" t="s">
        <v>55</v>
      </c>
      <c r="D130" s="239">
        <v>1</v>
      </c>
      <c r="E130" s="1278">
        <v>13.52</v>
      </c>
      <c r="F130" s="1156">
        <f>TRUNC((D130*E130),2)</f>
        <v>13.52</v>
      </c>
      <c r="H130" s="560"/>
      <c r="I130" s="251"/>
      <c r="J130" s="251"/>
    </row>
    <row r="131" spans="1:10">
      <c r="A131" s="227">
        <v>122</v>
      </c>
      <c r="B131" s="207" t="s">
        <v>125</v>
      </c>
      <c r="C131" s="179" t="s">
        <v>55</v>
      </c>
      <c r="D131" s="189">
        <v>0.06</v>
      </c>
      <c r="E131" s="1278">
        <v>76.86</v>
      </c>
      <c r="F131" s="1156">
        <f>TRUNC((D131*E131),2)</f>
        <v>4.6100000000000003</v>
      </c>
      <c r="H131" s="560"/>
      <c r="I131" s="251"/>
      <c r="J131" s="251"/>
    </row>
    <row r="132" spans="1:10">
      <c r="A132" s="227">
        <v>20083</v>
      </c>
      <c r="B132" s="207" t="s">
        <v>126</v>
      </c>
      <c r="C132" s="179" t="s">
        <v>55</v>
      </c>
      <c r="D132" s="189">
        <v>7.8E-2</v>
      </c>
      <c r="E132" s="1278">
        <v>87.08</v>
      </c>
      <c r="F132" s="1156">
        <f>TRUNC((D132*E132),2)</f>
        <v>6.79</v>
      </c>
      <c r="H132" s="560"/>
      <c r="I132" s="251"/>
      <c r="J132" s="251"/>
    </row>
    <row r="133" spans="1:10">
      <c r="A133" s="227">
        <v>38383</v>
      </c>
      <c r="B133" s="207" t="s">
        <v>162</v>
      </c>
      <c r="C133" s="179" t="s">
        <v>55</v>
      </c>
      <c r="D133" s="189">
        <v>5.2999999999999999E-2</v>
      </c>
      <c r="E133" s="1248">
        <v>2.5299999999999998</v>
      </c>
      <c r="F133" s="1156">
        <f>TRUNC((D133*E133),2)</f>
        <v>0.13</v>
      </c>
      <c r="H133" s="560"/>
      <c r="I133" s="251"/>
      <c r="J133" s="251"/>
    </row>
    <row r="134" spans="1:10" ht="15.75" thickBot="1">
      <c r="A134" s="99"/>
      <c r="B134" s="192"/>
      <c r="C134" s="1113"/>
      <c r="D134" s="247"/>
      <c r="E134" s="248" t="s">
        <v>58</v>
      </c>
      <c r="F134" s="214">
        <f>SUM(F130:F133)</f>
        <v>25.049999999999997</v>
      </c>
    </row>
    <row r="135" spans="1:10" ht="15.75" thickBot="1">
      <c r="A135" s="977"/>
      <c r="B135" s="1960" t="s">
        <v>53</v>
      </c>
      <c r="C135" s="1960"/>
      <c r="D135" s="1960"/>
      <c r="E135" s="1960"/>
      <c r="F135" s="978">
        <f>F128+F134</f>
        <v>34.4</v>
      </c>
    </row>
    <row r="136" spans="1:10" ht="15.75" thickBot="1"/>
    <row r="137" spans="1:10" ht="41.25" customHeight="1">
      <c r="A137" s="226" t="s">
        <v>451</v>
      </c>
      <c r="B137" s="128" t="s">
        <v>1745</v>
      </c>
      <c r="C137" s="232" t="s">
        <v>55</v>
      </c>
      <c r="D137" s="72"/>
      <c r="E137" s="73"/>
      <c r="F137" s="122"/>
      <c r="G137" s="230"/>
      <c r="H137" s="230"/>
    </row>
    <row r="138" spans="1:10">
      <c r="A138" s="1987" t="s">
        <v>1744</v>
      </c>
      <c r="B138" s="1988"/>
      <c r="C138" s="1988"/>
      <c r="D138" s="1988"/>
      <c r="E138" s="1988"/>
      <c r="F138" s="1989"/>
    </row>
    <row r="139" spans="1:10" ht="25.5">
      <c r="A139" s="129"/>
      <c r="B139" s="233" t="s">
        <v>56</v>
      </c>
      <c r="C139" s="234" t="s">
        <v>49</v>
      </c>
      <c r="D139" s="235" t="s">
        <v>50</v>
      </c>
      <c r="E139" s="236" t="s">
        <v>62</v>
      </c>
      <c r="F139" s="237" t="s">
        <v>52</v>
      </c>
    </row>
    <row r="140" spans="1:10" ht="25.5">
      <c r="A140" s="227" t="s">
        <v>430</v>
      </c>
      <c r="B140" s="238" t="s">
        <v>101</v>
      </c>
      <c r="C140" s="179" t="s">
        <v>57</v>
      </c>
      <c r="D140" s="239">
        <v>0.5</v>
      </c>
      <c r="E140" s="1248">
        <v>20.16</v>
      </c>
      <c r="F140" s="1156">
        <f>TRUNC((D140*E140),2)</f>
        <v>10.08</v>
      </c>
    </row>
    <row r="141" spans="1:10" ht="25.5">
      <c r="A141" s="227" t="s">
        <v>431</v>
      </c>
      <c r="B141" s="238" t="s">
        <v>102</v>
      </c>
      <c r="C141" s="179" t="s">
        <v>57</v>
      </c>
      <c r="D141" s="239">
        <v>0.5</v>
      </c>
      <c r="E141" s="1248">
        <v>24.64</v>
      </c>
      <c r="F141" s="1156">
        <f>TRUNC((D141*E141),2)</f>
        <v>12.32</v>
      </c>
    </row>
    <row r="142" spans="1:10">
      <c r="A142" s="202">
        <v>88309</v>
      </c>
      <c r="B142" s="990" t="s">
        <v>103</v>
      </c>
      <c r="C142" s="179" t="s">
        <v>57</v>
      </c>
      <c r="D142" s="239">
        <v>1</v>
      </c>
      <c r="E142" s="1278">
        <v>24.59</v>
      </c>
      <c r="F142" s="1156">
        <f>TRUNC((D142*E142),2)</f>
        <v>24.59</v>
      </c>
    </row>
    <row r="143" spans="1:10">
      <c r="A143" s="935">
        <v>88316</v>
      </c>
      <c r="B143" s="469" t="s">
        <v>66</v>
      </c>
      <c r="C143" s="179" t="s">
        <v>57</v>
      </c>
      <c r="D143" s="239">
        <v>1</v>
      </c>
      <c r="E143" s="1278">
        <v>19.45</v>
      </c>
      <c r="F143" s="1156">
        <f>TRUNC((D143*E143),2)</f>
        <v>19.45</v>
      </c>
    </row>
    <row r="144" spans="1:10">
      <c r="A144" s="1157"/>
      <c r="B144" s="942"/>
      <c r="C144" s="179" t="s">
        <v>42</v>
      </c>
      <c r="D144" s="240" t="s">
        <v>42</v>
      </c>
      <c r="E144" s="241" t="s">
        <v>58</v>
      </c>
      <c r="F144" s="1158">
        <f>SUM(F140:F143)</f>
        <v>66.44</v>
      </c>
      <c r="H144" s="253"/>
    </row>
    <row r="145" spans="1:8" ht="25.5">
      <c r="A145" s="1157"/>
      <c r="B145" s="1159" t="s">
        <v>95</v>
      </c>
      <c r="C145" s="193" t="s">
        <v>49</v>
      </c>
      <c r="D145" s="242" t="s">
        <v>50</v>
      </c>
      <c r="E145" s="243" t="s">
        <v>62</v>
      </c>
      <c r="F145" s="1158" t="s">
        <v>52</v>
      </c>
      <c r="H145" s="253"/>
    </row>
    <row r="146" spans="1:8" ht="38.25">
      <c r="A146" s="227">
        <v>11694</v>
      </c>
      <c r="B146" s="97" t="s">
        <v>1743</v>
      </c>
      <c r="C146" s="179" t="s">
        <v>55</v>
      </c>
      <c r="D146" s="239">
        <v>1</v>
      </c>
      <c r="E146" s="1278">
        <v>1214.68</v>
      </c>
      <c r="F146" s="1156">
        <f>TRUNC((D146*E146),2)</f>
        <v>1214.68</v>
      </c>
      <c r="H146" s="253"/>
    </row>
    <row r="147" spans="1:8" ht="15.75" thickBot="1">
      <c r="A147" s="99"/>
      <c r="B147" s="192"/>
      <c r="C147" s="1113"/>
      <c r="D147" s="247"/>
      <c r="E147" s="248" t="s">
        <v>58</v>
      </c>
      <c r="F147" s="214">
        <f>SUM(F146:F146)</f>
        <v>1214.68</v>
      </c>
      <c r="H147" s="253"/>
    </row>
    <row r="148" spans="1:8" ht="15.75" thickBot="1">
      <c r="A148" s="977"/>
      <c r="B148" s="1960" t="s">
        <v>53</v>
      </c>
      <c r="C148" s="1960"/>
      <c r="D148" s="1960"/>
      <c r="E148" s="1960"/>
      <c r="F148" s="978">
        <f>F144+F147</f>
        <v>1281.1200000000001</v>
      </c>
    </row>
    <row r="149" spans="1:8" ht="15.75" thickBot="1"/>
    <row r="150" spans="1:8" ht="28.5" customHeight="1">
      <c r="A150" s="226" t="s">
        <v>452</v>
      </c>
      <c r="B150" s="128" t="s">
        <v>1765</v>
      </c>
      <c r="C150" s="232" t="s">
        <v>55</v>
      </c>
      <c r="D150" s="72"/>
      <c r="E150" s="73"/>
      <c r="F150" s="122"/>
      <c r="G150" s="230"/>
      <c r="H150" s="230"/>
    </row>
    <row r="151" spans="1:8">
      <c r="A151" s="1987" t="s">
        <v>1766</v>
      </c>
      <c r="B151" s="1988"/>
      <c r="C151" s="1988"/>
      <c r="D151" s="1988"/>
      <c r="E151" s="1988"/>
      <c r="F151" s="1989"/>
    </row>
    <row r="152" spans="1:8" ht="25.5">
      <c r="A152" s="129"/>
      <c r="B152" s="233" t="s">
        <v>56</v>
      </c>
      <c r="C152" s="234" t="s">
        <v>49</v>
      </c>
      <c r="D152" s="235" t="s">
        <v>50</v>
      </c>
      <c r="E152" s="236" t="s">
        <v>62</v>
      </c>
      <c r="F152" s="237" t="s">
        <v>52</v>
      </c>
    </row>
    <row r="153" spans="1:8" ht="25.5">
      <c r="A153" s="227" t="s">
        <v>430</v>
      </c>
      <c r="B153" s="238" t="s">
        <v>101</v>
      </c>
      <c r="C153" s="179" t="s">
        <v>57</v>
      </c>
      <c r="D153" s="239">
        <v>0.4</v>
      </c>
      <c r="E153" s="1248">
        <v>20.16</v>
      </c>
      <c r="F153" s="1156">
        <f>TRUNC((D153*E153),2)</f>
        <v>8.06</v>
      </c>
    </row>
    <row r="154" spans="1:8" ht="25.5">
      <c r="A154" s="227" t="s">
        <v>431</v>
      </c>
      <c r="B154" s="238" t="s">
        <v>102</v>
      </c>
      <c r="C154" s="179" t="s">
        <v>57</v>
      </c>
      <c r="D154" s="239">
        <v>0.4</v>
      </c>
      <c r="E154" s="1248">
        <v>24.64</v>
      </c>
      <c r="F154" s="1156">
        <f>TRUNC((D154*E154),2)</f>
        <v>9.85</v>
      </c>
    </row>
    <row r="155" spans="1:8">
      <c r="A155" s="1157"/>
      <c r="B155" s="942"/>
      <c r="C155" s="179" t="s">
        <v>42</v>
      </c>
      <c r="D155" s="240" t="s">
        <v>42</v>
      </c>
      <c r="E155" s="241" t="s">
        <v>58</v>
      </c>
      <c r="F155" s="1158">
        <f>SUM(F153:F154)</f>
        <v>17.91</v>
      </c>
    </row>
    <row r="156" spans="1:8" ht="25.5">
      <c r="A156" s="1157"/>
      <c r="B156" s="1159" t="s">
        <v>95</v>
      </c>
      <c r="C156" s="193" t="s">
        <v>49</v>
      </c>
      <c r="D156" s="242" t="s">
        <v>50</v>
      </c>
      <c r="E156" s="243" t="s">
        <v>62</v>
      </c>
      <c r="F156" s="1158" t="s">
        <v>52</v>
      </c>
    </row>
    <row r="157" spans="1:8" ht="30.75" customHeight="1" thickBot="1">
      <c r="A157" s="1171">
        <v>6142</v>
      </c>
      <c r="B157" s="979" t="s">
        <v>1767</v>
      </c>
      <c r="C157" s="1164" t="s">
        <v>55</v>
      </c>
      <c r="D157" s="1172">
        <v>1</v>
      </c>
      <c r="E157" s="1279">
        <v>10.39</v>
      </c>
      <c r="F157" s="1166">
        <f>TRUNC((D157*E157),2)</f>
        <v>10.39</v>
      </c>
    </row>
    <row r="158" spans="1:8" ht="15.75" thickBot="1">
      <c r="A158" s="1173"/>
      <c r="B158" s="1174"/>
      <c r="C158" s="1114"/>
      <c r="D158" s="1175"/>
      <c r="E158" s="1176" t="s">
        <v>58</v>
      </c>
      <c r="F158" s="1177">
        <f>SUM(F157:F157)</f>
        <v>10.39</v>
      </c>
    </row>
    <row r="159" spans="1:8" ht="15.75" thickBot="1">
      <c r="A159" s="977"/>
      <c r="B159" s="1960" t="s">
        <v>53</v>
      </c>
      <c r="C159" s="1960"/>
      <c r="D159" s="1960"/>
      <c r="E159" s="1960"/>
      <c r="F159" s="978">
        <f>F155+F158</f>
        <v>28.3</v>
      </c>
    </row>
    <row r="160" spans="1:8" ht="15.75" thickBot="1"/>
    <row r="161" spans="1:8" ht="18.75" customHeight="1">
      <c r="A161" s="226" t="s">
        <v>453</v>
      </c>
      <c r="B161" s="281" t="s">
        <v>1762</v>
      </c>
      <c r="C161" s="232" t="s">
        <v>55</v>
      </c>
      <c r="D161" s="72"/>
      <c r="E161" s="73"/>
      <c r="F161" s="122"/>
      <c r="G161" s="230"/>
      <c r="H161" s="230"/>
    </row>
    <row r="162" spans="1:8">
      <c r="A162" s="1987" t="s">
        <v>1764</v>
      </c>
      <c r="B162" s="1988"/>
      <c r="C162" s="1988"/>
      <c r="D162" s="1988"/>
      <c r="E162" s="1988"/>
      <c r="F162" s="1989"/>
    </row>
    <row r="163" spans="1:8" ht="25.5">
      <c r="A163" s="129"/>
      <c r="B163" s="233" t="s">
        <v>56</v>
      </c>
      <c r="C163" s="234" t="s">
        <v>49</v>
      </c>
      <c r="D163" s="235" t="s">
        <v>50</v>
      </c>
      <c r="E163" s="236" t="s">
        <v>62</v>
      </c>
      <c r="F163" s="237" t="s">
        <v>52</v>
      </c>
    </row>
    <row r="164" spans="1:8" ht="25.5">
      <c r="A164" s="227" t="s">
        <v>430</v>
      </c>
      <c r="B164" s="238" t="s">
        <v>101</v>
      </c>
      <c r="C164" s="179" t="s">
        <v>57</v>
      </c>
      <c r="D164" s="239">
        <v>0.5</v>
      </c>
      <c r="E164" s="1248">
        <v>20.16</v>
      </c>
      <c r="F164" s="1156">
        <f>TRUNC((D164*E164),2)</f>
        <v>10.08</v>
      </c>
    </row>
    <row r="165" spans="1:8" ht="25.5">
      <c r="A165" s="227" t="s">
        <v>431</v>
      </c>
      <c r="B165" s="238" t="s">
        <v>102</v>
      </c>
      <c r="C165" s="179" t="s">
        <v>57</v>
      </c>
      <c r="D165" s="239">
        <v>0.5</v>
      </c>
      <c r="E165" s="1248">
        <v>24.64</v>
      </c>
      <c r="F165" s="1156">
        <f>TRUNC((D165*E165),2)</f>
        <v>12.32</v>
      </c>
    </row>
    <row r="166" spans="1:8">
      <c r="A166" s="1157"/>
      <c r="B166" s="942"/>
      <c r="C166" s="179" t="s">
        <v>42</v>
      </c>
      <c r="D166" s="240" t="s">
        <v>42</v>
      </c>
      <c r="E166" s="241" t="s">
        <v>58</v>
      </c>
      <c r="F166" s="1158">
        <f>SUM(F164:F165)</f>
        <v>22.4</v>
      </c>
    </row>
    <row r="167" spans="1:8" ht="25.5">
      <c r="A167" s="1157"/>
      <c r="B167" s="1159" t="s">
        <v>95</v>
      </c>
      <c r="C167" s="193" t="s">
        <v>49</v>
      </c>
      <c r="D167" s="242" t="s">
        <v>50</v>
      </c>
      <c r="E167" s="243" t="s">
        <v>62</v>
      </c>
      <c r="F167" s="1158" t="s">
        <v>52</v>
      </c>
      <c r="H167" s="253"/>
    </row>
    <row r="168" spans="1:8">
      <c r="A168" s="227">
        <v>1370</v>
      </c>
      <c r="B168" s="97" t="s">
        <v>1762</v>
      </c>
      <c r="C168" s="179" t="s">
        <v>55</v>
      </c>
      <c r="D168" s="239">
        <v>1</v>
      </c>
      <c r="E168" s="1278">
        <v>118.7</v>
      </c>
      <c r="F168" s="1156">
        <f>TRUNC((D168*E168),2)</f>
        <v>118.7</v>
      </c>
      <c r="H168" s="253"/>
    </row>
    <row r="169" spans="1:8" ht="15.75" customHeight="1">
      <c r="A169" s="227">
        <v>37459</v>
      </c>
      <c r="B169" s="1126" t="s">
        <v>1763</v>
      </c>
      <c r="C169" s="179" t="s">
        <v>54</v>
      </c>
      <c r="D169" s="254">
        <v>0.28000000000000003</v>
      </c>
      <c r="E169" s="1278">
        <v>9.32</v>
      </c>
      <c r="F169" s="1156">
        <f>TRUNC((D169*E169),2)</f>
        <v>2.6</v>
      </c>
      <c r="H169" s="253"/>
    </row>
    <row r="170" spans="1:8" ht="15.75" thickBot="1">
      <c r="A170" s="99"/>
      <c r="B170" s="192"/>
      <c r="C170" s="1113"/>
      <c r="D170" s="247"/>
      <c r="E170" s="248"/>
      <c r="F170" s="214">
        <f>SUM(F168:F169)</f>
        <v>121.3</v>
      </c>
      <c r="H170" s="253"/>
    </row>
    <row r="171" spans="1:8" ht="15.75" thickBot="1">
      <c r="A171" s="977"/>
      <c r="B171" s="1960" t="s">
        <v>53</v>
      </c>
      <c r="C171" s="1960"/>
      <c r="D171" s="1960"/>
      <c r="E171" s="1960"/>
      <c r="F171" s="978">
        <f>F166+F170</f>
        <v>143.69999999999999</v>
      </c>
    </row>
    <row r="172" spans="1:8" ht="15.75" thickBot="1"/>
    <row r="173" spans="1:8" ht="38.25">
      <c r="A173" s="226" t="s">
        <v>455</v>
      </c>
      <c r="B173" s="128" t="s">
        <v>249</v>
      </c>
      <c r="C173" s="232" t="s">
        <v>55</v>
      </c>
      <c r="D173" s="72"/>
      <c r="E173" s="73"/>
      <c r="F173" s="122"/>
      <c r="G173" s="230"/>
      <c r="H173" s="260" t="s">
        <v>2067</v>
      </c>
    </row>
    <row r="174" spans="1:8" ht="15" customHeight="1">
      <c r="A174" s="1987" t="s">
        <v>1916</v>
      </c>
      <c r="B174" s="1988"/>
      <c r="C174" s="1988"/>
      <c r="D174" s="1988"/>
      <c r="E174" s="1988"/>
      <c r="F174" s="1989"/>
    </row>
    <row r="175" spans="1:8" ht="25.5">
      <c r="A175" s="129"/>
      <c r="B175" s="233" t="s">
        <v>56</v>
      </c>
      <c r="C175" s="234" t="s">
        <v>49</v>
      </c>
      <c r="D175" s="235" t="s">
        <v>50</v>
      </c>
      <c r="E175" s="236" t="s">
        <v>62</v>
      </c>
      <c r="F175" s="237" t="s">
        <v>52</v>
      </c>
    </row>
    <row r="176" spans="1:8" ht="25.5">
      <c r="A176" s="227" t="s">
        <v>430</v>
      </c>
      <c r="B176" s="238" t="s">
        <v>101</v>
      </c>
      <c r="C176" s="179" t="s">
        <v>57</v>
      </c>
      <c r="D176" s="239">
        <v>0.25</v>
      </c>
      <c r="E176" s="1248">
        <v>20.16</v>
      </c>
      <c r="F176" s="1156">
        <f>TRUNC((D176*E176),2)</f>
        <v>5.04</v>
      </c>
    </row>
    <row r="177" spans="1:8" ht="25.5">
      <c r="A177" s="227" t="s">
        <v>431</v>
      </c>
      <c r="B177" s="238" t="s">
        <v>102</v>
      </c>
      <c r="C177" s="179" t="s">
        <v>57</v>
      </c>
      <c r="D177" s="239">
        <v>0.25</v>
      </c>
      <c r="E177" s="1248">
        <v>24.64</v>
      </c>
      <c r="F177" s="1156">
        <f>TRUNC((D177*E177),2)</f>
        <v>6.16</v>
      </c>
    </row>
    <row r="178" spans="1:8">
      <c r="A178" s="1157"/>
      <c r="B178" s="942"/>
      <c r="C178" s="179" t="s">
        <v>42</v>
      </c>
      <c r="D178" s="240" t="s">
        <v>42</v>
      </c>
      <c r="E178" s="241" t="s">
        <v>58</v>
      </c>
      <c r="F178" s="1158">
        <f>SUM(F176:F177)</f>
        <v>11.2</v>
      </c>
    </row>
    <row r="179" spans="1:8" ht="25.5">
      <c r="A179" s="1157"/>
      <c r="B179" s="1159" t="s">
        <v>95</v>
      </c>
      <c r="C179" s="193" t="s">
        <v>49</v>
      </c>
      <c r="D179" s="242" t="s">
        <v>50</v>
      </c>
      <c r="E179" s="243" t="s">
        <v>62</v>
      </c>
      <c r="F179" s="1158" t="s">
        <v>52</v>
      </c>
      <c r="H179" s="253"/>
    </row>
    <row r="180" spans="1:8">
      <c r="A180" s="227">
        <v>122</v>
      </c>
      <c r="B180" s="207" t="s">
        <v>125</v>
      </c>
      <c r="C180" s="179" t="s">
        <v>55</v>
      </c>
      <c r="D180" s="254">
        <v>1.4800000000000001E-2</v>
      </c>
      <c r="E180" s="1278">
        <v>76.86</v>
      </c>
      <c r="F180" s="1156">
        <f t="shared" ref="F180:F185" si="0">TRUNC((D180*E180),2)</f>
        <v>1.1299999999999999</v>
      </c>
      <c r="H180" s="253"/>
    </row>
    <row r="181" spans="1:8" ht="25.5">
      <c r="A181" s="227">
        <v>296</v>
      </c>
      <c r="B181" s="207" t="s">
        <v>456</v>
      </c>
      <c r="C181" s="179" t="s">
        <v>55</v>
      </c>
      <c r="D181" s="239">
        <v>1</v>
      </c>
      <c r="E181" s="1278">
        <v>1.98</v>
      </c>
      <c r="F181" s="1156">
        <f t="shared" si="0"/>
        <v>1.98</v>
      </c>
      <c r="H181" s="253"/>
    </row>
    <row r="182" spans="1:8" ht="25.5">
      <c r="A182" s="227">
        <v>11712</v>
      </c>
      <c r="B182" s="207" t="s">
        <v>1914</v>
      </c>
      <c r="C182" s="179" t="s">
        <v>55</v>
      </c>
      <c r="D182" s="239">
        <v>1</v>
      </c>
      <c r="E182" s="1278">
        <v>49.95</v>
      </c>
      <c r="F182" s="1156">
        <f t="shared" si="0"/>
        <v>49.95</v>
      </c>
      <c r="H182" s="253"/>
    </row>
    <row r="183" spans="1:8" ht="38.25">
      <c r="A183" s="227">
        <v>20078</v>
      </c>
      <c r="B183" s="207" t="s">
        <v>1915</v>
      </c>
      <c r="C183" s="179" t="s">
        <v>55</v>
      </c>
      <c r="D183" s="239">
        <v>0.02</v>
      </c>
      <c r="E183" s="1278">
        <v>31.72</v>
      </c>
      <c r="F183" s="1156">
        <f t="shared" si="0"/>
        <v>0.63</v>
      </c>
      <c r="H183" s="597"/>
    </row>
    <row r="184" spans="1:8">
      <c r="A184" s="227">
        <v>20083</v>
      </c>
      <c r="B184" s="207" t="s">
        <v>126</v>
      </c>
      <c r="C184" s="179" t="s">
        <v>55</v>
      </c>
      <c r="D184" s="254">
        <v>2.2499999999999999E-2</v>
      </c>
      <c r="E184" s="1278">
        <v>87.08</v>
      </c>
      <c r="F184" s="1156">
        <f t="shared" si="0"/>
        <v>1.95</v>
      </c>
      <c r="H184" s="597"/>
    </row>
    <row r="185" spans="1:8">
      <c r="A185" s="227">
        <v>38383</v>
      </c>
      <c r="B185" s="207" t="s">
        <v>162</v>
      </c>
      <c r="C185" s="179" t="s">
        <v>55</v>
      </c>
      <c r="D185" s="239">
        <v>6.4000000000000001E-2</v>
      </c>
      <c r="E185" s="1248">
        <v>2.5299999999999998</v>
      </c>
      <c r="F185" s="1156">
        <f t="shared" si="0"/>
        <v>0.16</v>
      </c>
      <c r="H185" s="598"/>
    </row>
    <row r="186" spans="1:8" ht="15.75" thickBot="1">
      <c r="A186" s="99"/>
      <c r="B186" s="192"/>
      <c r="C186" s="1113"/>
      <c r="D186" s="247"/>
      <c r="E186" s="248" t="s">
        <v>58</v>
      </c>
      <c r="F186" s="596">
        <f>SUM(F180:F185)</f>
        <v>55.800000000000004</v>
      </c>
      <c r="H186" s="253"/>
    </row>
    <row r="187" spans="1:8" ht="15.75" thickBot="1">
      <c r="A187" s="977"/>
      <c r="B187" s="1960" t="s">
        <v>53</v>
      </c>
      <c r="C187" s="1960"/>
      <c r="D187" s="1960"/>
      <c r="E187" s="1960"/>
      <c r="F187" s="978">
        <f>F178+F186</f>
        <v>67</v>
      </c>
    </row>
    <row r="188" spans="1:8" ht="15.75" thickBot="1"/>
    <row r="189" spans="1:8">
      <c r="A189" s="226" t="s">
        <v>1929</v>
      </c>
      <c r="B189" s="128" t="s">
        <v>1930</v>
      </c>
      <c r="C189" s="232" t="s">
        <v>55</v>
      </c>
      <c r="D189" s="72"/>
      <c r="E189" s="73"/>
      <c r="F189" s="122"/>
    </row>
    <row r="190" spans="1:8" ht="15" customHeight="1">
      <c r="A190" s="1987" t="s">
        <v>1931</v>
      </c>
      <c r="B190" s="1988"/>
      <c r="C190" s="1988"/>
      <c r="D190" s="1988"/>
      <c r="E190" s="1988"/>
      <c r="F190" s="1989"/>
    </row>
    <row r="191" spans="1:8" ht="25.5">
      <c r="A191" s="129"/>
      <c r="B191" s="233" t="s">
        <v>56</v>
      </c>
      <c r="C191" s="234" t="s">
        <v>49</v>
      </c>
      <c r="D191" s="235" t="s">
        <v>50</v>
      </c>
      <c r="E191" s="236" t="s">
        <v>62</v>
      </c>
      <c r="F191" s="237" t="s">
        <v>52</v>
      </c>
    </row>
    <row r="192" spans="1:8" ht="25.5">
      <c r="A192" s="227" t="s">
        <v>430</v>
      </c>
      <c r="B192" s="238" t="s">
        <v>101</v>
      </c>
      <c r="C192" s="179" t="s">
        <v>57</v>
      </c>
      <c r="D192" s="239">
        <v>0.2</v>
      </c>
      <c r="E192" s="1248">
        <v>20.16</v>
      </c>
      <c r="F192" s="1156">
        <f>TRUNC((D192*E192),2)</f>
        <v>4.03</v>
      </c>
    </row>
    <row r="193" spans="1:6" ht="25.5">
      <c r="A193" s="227" t="s">
        <v>431</v>
      </c>
      <c r="B193" s="238" t="s">
        <v>102</v>
      </c>
      <c r="C193" s="179" t="s">
        <v>57</v>
      </c>
      <c r="D193" s="239">
        <v>0.2</v>
      </c>
      <c r="E193" s="1248">
        <v>24.64</v>
      </c>
      <c r="F193" s="1156">
        <f>TRUNC((D193*E193),2)</f>
        <v>4.92</v>
      </c>
    </row>
    <row r="194" spans="1:6">
      <c r="A194" s="1157"/>
      <c r="B194" s="942"/>
      <c r="C194" s="179" t="s">
        <v>42</v>
      </c>
      <c r="D194" s="240" t="s">
        <v>42</v>
      </c>
      <c r="E194" s="241" t="s">
        <v>58</v>
      </c>
      <c r="F194" s="1158">
        <f>SUM(F192:F193)</f>
        <v>8.9499999999999993</v>
      </c>
    </row>
    <row r="195" spans="1:6" ht="25.5">
      <c r="A195" s="1157"/>
      <c r="B195" s="1159" t="s">
        <v>95</v>
      </c>
      <c r="C195" s="193" t="s">
        <v>49</v>
      </c>
      <c r="D195" s="242" t="s">
        <v>50</v>
      </c>
      <c r="E195" s="243" t="s">
        <v>62</v>
      </c>
      <c r="F195" s="1158" t="s">
        <v>52</v>
      </c>
    </row>
    <row r="196" spans="1:6">
      <c r="A196" s="1160">
        <v>3148</v>
      </c>
      <c r="B196" s="97" t="s">
        <v>446</v>
      </c>
      <c r="C196" s="179" t="s">
        <v>55</v>
      </c>
      <c r="D196" s="189">
        <v>0.31</v>
      </c>
      <c r="E196" s="1278">
        <v>17.989999999999998</v>
      </c>
      <c r="F196" s="1156">
        <f>TRUNC((D196*E196),2)</f>
        <v>5.57</v>
      </c>
    </row>
    <row r="197" spans="1:6" ht="25.5">
      <c r="A197" s="227">
        <v>10836</v>
      </c>
      <c r="B197" s="97" t="s">
        <v>1932</v>
      </c>
      <c r="C197" s="179" t="s">
        <v>55</v>
      </c>
      <c r="D197" s="239">
        <v>1</v>
      </c>
      <c r="E197" s="1278">
        <v>27.26</v>
      </c>
      <c r="F197" s="1156">
        <f>TRUNC((D197*E197),2)</f>
        <v>27.26</v>
      </c>
    </row>
    <row r="198" spans="1:6" ht="15.75" thickBot="1">
      <c r="A198" s="99"/>
      <c r="B198" s="192"/>
      <c r="C198" s="1113"/>
      <c r="D198" s="247"/>
      <c r="E198" s="248" t="s">
        <v>58</v>
      </c>
      <c r="F198" s="214">
        <f>SUM(F196:F197)</f>
        <v>32.83</v>
      </c>
    </row>
    <row r="199" spans="1:6" ht="15.75" thickBot="1">
      <c r="A199" s="977"/>
      <c r="B199" s="1960" t="s">
        <v>53</v>
      </c>
      <c r="C199" s="1960"/>
      <c r="D199" s="1960"/>
      <c r="E199" s="1960"/>
      <c r="F199" s="978">
        <f>F194+F198</f>
        <v>41.78</v>
      </c>
    </row>
    <row r="200" spans="1:6" ht="15.75" thickBot="1"/>
    <row r="201" spans="1:6">
      <c r="A201" s="226" t="s">
        <v>1933</v>
      </c>
      <c r="B201" s="128" t="s">
        <v>1930</v>
      </c>
      <c r="C201" s="232" t="s">
        <v>55</v>
      </c>
      <c r="D201" s="72"/>
      <c r="E201" s="73"/>
      <c r="F201" s="122"/>
    </row>
    <row r="202" spans="1:6" ht="15" customHeight="1">
      <c r="A202" s="1987" t="s">
        <v>1931</v>
      </c>
      <c r="B202" s="1988"/>
      <c r="C202" s="1988"/>
      <c r="D202" s="1988"/>
      <c r="E202" s="1988"/>
      <c r="F202" s="1989"/>
    </row>
    <row r="203" spans="1:6" ht="25.5">
      <c r="A203" s="129"/>
      <c r="B203" s="233" t="s">
        <v>56</v>
      </c>
      <c r="C203" s="234" t="s">
        <v>49</v>
      </c>
      <c r="D203" s="235" t="s">
        <v>50</v>
      </c>
      <c r="E203" s="236" t="s">
        <v>62</v>
      </c>
      <c r="F203" s="237" t="s">
        <v>52</v>
      </c>
    </row>
    <row r="204" spans="1:6" ht="25.5">
      <c r="A204" s="227" t="s">
        <v>430</v>
      </c>
      <c r="B204" s="238" t="s">
        <v>101</v>
      </c>
      <c r="C204" s="179" t="s">
        <v>57</v>
      </c>
      <c r="D204" s="239">
        <v>0.185</v>
      </c>
      <c r="E204" s="1248">
        <v>20.16</v>
      </c>
      <c r="F204" s="1156">
        <f>TRUNC((D204*E204),2)</f>
        <v>3.72</v>
      </c>
    </row>
    <row r="205" spans="1:6" ht="25.5">
      <c r="A205" s="227" t="s">
        <v>431</v>
      </c>
      <c r="B205" s="238" t="s">
        <v>102</v>
      </c>
      <c r="C205" s="179" t="s">
        <v>57</v>
      </c>
      <c r="D205" s="239">
        <v>0.185</v>
      </c>
      <c r="E205" s="1248">
        <v>24.64</v>
      </c>
      <c r="F205" s="1156">
        <f>TRUNC((D205*E205),2)</f>
        <v>4.55</v>
      </c>
    </row>
    <row r="206" spans="1:6">
      <c r="A206" s="1157"/>
      <c r="B206" s="942"/>
      <c r="C206" s="179" t="s">
        <v>42</v>
      </c>
      <c r="D206" s="240" t="s">
        <v>42</v>
      </c>
      <c r="E206" s="241" t="s">
        <v>58</v>
      </c>
      <c r="F206" s="1158">
        <f>SUM(F204:F205)</f>
        <v>8.27</v>
      </c>
    </row>
    <row r="207" spans="1:6" ht="25.5">
      <c r="A207" s="1157"/>
      <c r="B207" s="1159" t="s">
        <v>95</v>
      </c>
      <c r="C207" s="193" t="s">
        <v>49</v>
      </c>
      <c r="D207" s="242" t="s">
        <v>50</v>
      </c>
      <c r="E207" s="243" t="s">
        <v>62</v>
      </c>
      <c r="F207" s="1158" t="s">
        <v>52</v>
      </c>
    </row>
    <row r="208" spans="1:6" ht="25.5">
      <c r="A208" s="1160">
        <v>20085</v>
      </c>
      <c r="B208" s="97" t="s">
        <v>1740</v>
      </c>
      <c r="C208" s="179" t="s">
        <v>55</v>
      </c>
      <c r="D208" s="189">
        <v>1</v>
      </c>
      <c r="E208" s="1278">
        <v>2.59</v>
      </c>
      <c r="F208" s="1156">
        <f>TRUNC((D208*E208),2)</f>
        <v>2.59</v>
      </c>
    </row>
    <row r="209" spans="1:9" ht="26.25" thickBot="1">
      <c r="A209" s="1162">
        <v>301</v>
      </c>
      <c r="B209" s="1163" t="s">
        <v>1934</v>
      </c>
      <c r="C209" s="1164" t="s">
        <v>55</v>
      </c>
      <c r="D209" s="1165">
        <v>1</v>
      </c>
      <c r="E209" s="1279">
        <v>3.5</v>
      </c>
      <c r="F209" s="1166">
        <f>TRUNC((D209*E209),2)</f>
        <v>3.5</v>
      </c>
    </row>
    <row r="210" spans="1:9" ht="38.25">
      <c r="A210" s="1167">
        <v>20078</v>
      </c>
      <c r="B210" s="991" t="s">
        <v>1739</v>
      </c>
      <c r="C210" s="1168" t="s">
        <v>55</v>
      </c>
      <c r="D210" s="1169">
        <v>9.1999999999999998E-2</v>
      </c>
      <c r="E210" s="975">
        <v>31.72</v>
      </c>
      <c r="F210" s="1170">
        <f>TRUNC((D210*E210),2)</f>
        <v>2.91</v>
      </c>
    </row>
    <row r="211" spans="1:9" ht="25.5">
      <c r="A211" s="1160">
        <v>10908</v>
      </c>
      <c r="B211" s="97" t="s">
        <v>1935</v>
      </c>
      <c r="C211" s="179" t="s">
        <v>55</v>
      </c>
      <c r="D211" s="189">
        <v>1</v>
      </c>
      <c r="E211" s="1278">
        <v>24.81</v>
      </c>
      <c r="F211" s="1156">
        <f>TRUNC((D211*E211),2)</f>
        <v>24.81</v>
      </c>
    </row>
    <row r="212" spans="1:9" ht="15.75" thickBot="1">
      <c r="A212" s="99"/>
      <c r="B212" s="192"/>
      <c r="C212" s="1113"/>
      <c r="D212" s="247"/>
      <c r="E212" s="248" t="s">
        <v>58</v>
      </c>
      <c r="F212" s="214">
        <f>SUM(F208:F211)</f>
        <v>33.81</v>
      </c>
    </row>
    <row r="213" spans="1:9" ht="15.75" thickBot="1">
      <c r="A213" s="977"/>
      <c r="B213" s="1960" t="s">
        <v>53</v>
      </c>
      <c r="C213" s="1960"/>
      <c r="D213" s="1960"/>
      <c r="E213" s="1960"/>
      <c r="F213" s="978">
        <f>F206+F212</f>
        <v>42.08</v>
      </c>
    </row>
    <row r="214" spans="1:9" ht="15.75" thickBot="1"/>
    <row r="215" spans="1:9" ht="25.5">
      <c r="A215" s="226" t="s">
        <v>457</v>
      </c>
      <c r="B215" s="128" t="s">
        <v>1937</v>
      </c>
      <c r="C215" s="232" t="s">
        <v>55</v>
      </c>
      <c r="D215" s="72"/>
      <c r="E215" s="73"/>
      <c r="F215" s="122"/>
      <c r="H215" s="230"/>
    </row>
    <row r="216" spans="1:9">
      <c r="A216" s="1987" t="s">
        <v>1938</v>
      </c>
      <c r="B216" s="1988"/>
      <c r="C216" s="1988"/>
      <c r="D216" s="1988"/>
      <c r="E216" s="1988"/>
      <c r="F216" s="1989"/>
    </row>
    <row r="217" spans="1:9" ht="25.5">
      <c r="A217" s="129"/>
      <c r="B217" s="233" t="s">
        <v>56</v>
      </c>
      <c r="C217" s="234" t="s">
        <v>49</v>
      </c>
      <c r="D217" s="235" t="s">
        <v>50</v>
      </c>
      <c r="E217" s="236" t="s">
        <v>62</v>
      </c>
      <c r="F217" s="237" t="s">
        <v>52</v>
      </c>
    </row>
    <row r="218" spans="1:9" ht="25.5">
      <c r="A218" s="227" t="s">
        <v>430</v>
      </c>
      <c r="B218" s="238" t="s">
        <v>101</v>
      </c>
      <c r="C218" s="179" t="s">
        <v>57</v>
      </c>
      <c r="D218" s="239">
        <v>0.55000000000000004</v>
      </c>
      <c r="E218" s="1248">
        <v>20.16</v>
      </c>
      <c r="F218" s="1156">
        <f>TRUNC((D218*E218),2)</f>
        <v>11.08</v>
      </c>
    </row>
    <row r="219" spans="1:9" ht="25.5">
      <c r="A219" s="227" t="s">
        <v>431</v>
      </c>
      <c r="B219" s="238" t="s">
        <v>102</v>
      </c>
      <c r="C219" s="179" t="s">
        <v>57</v>
      </c>
      <c r="D219" s="239">
        <v>0.55000000000000004</v>
      </c>
      <c r="E219" s="1248">
        <v>24.64</v>
      </c>
      <c r="F219" s="1156">
        <f>TRUNC((D219*E219),2)</f>
        <v>13.55</v>
      </c>
    </row>
    <row r="220" spans="1:9">
      <c r="A220" s="1157"/>
      <c r="B220" s="942"/>
      <c r="C220" s="179" t="s">
        <v>42</v>
      </c>
      <c r="D220" s="240" t="s">
        <v>42</v>
      </c>
      <c r="E220" s="241" t="s">
        <v>58</v>
      </c>
      <c r="F220" s="1158">
        <f>SUM(F218:F219)</f>
        <v>24.630000000000003</v>
      </c>
      <c r="H220" s="618"/>
      <c r="I220" s="558"/>
    </row>
    <row r="221" spans="1:9" ht="25.5">
      <c r="A221" s="1157"/>
      <c r="B221" s="1159" t="s">
        <v>95</v>
      </c>
      <c r="C221" s="193" t="s">
        <v>49</v>
      </c>
      <c r="D221" s="242" t="s">
        <v>50</v>
      </c>
      <c r="E221" s="243" t="s">
        <v>62</v>
      </c>
      <c r="F221" s="1158" t="s">
        <v>52</v>
      </c>
      <c r="H221" s="560"/>
      <c r="I221" s="251"/>
    </row>
    <row r="222" spans="1:9">
      <c r="A222" s="227">
        <v>122</v>
      </c>
      <c r="B222" s="97" t="s">
        <v>125</v>
      </c>
      <c r="C222" s="179" t="s">
        <v>100</v>
      </c>
      <c r="D222" s="189">
        <v>7.6999999999999999E-2</v>
      </c>
      <c r="E222" s="1278">
        <v>76.86</v>
      </c>
      <c r="F222" s="1156">
        <f>TRUNC((D222*E222),2)</f>
        <v>5.91</v>
      </c>
      <c r="H222" s="560"/>
      <c r="I222" s="251"/>
    </row>
    <row r="223" spans="1:9">
      <c r="A223" s="227">
        <v>20083</v>
      </c>
      <c r="B223" s="97" t="s">
        <v>126</v>
      </c>
      <c r="C223" s="179" t="s">
        <v>424</v>
      </c>
      <c r="D223" s="189">
        <v>0.11799999999999999</v>
      </c>
      <c r="E223" s="1278">
        <v>87.08</v>
      </c>
      <c r="F223" s="1156">
        <f>TRUNC((D223*E223),2)</f>
        <v>10.27</v>
      </c>
      <c r="H223" s="560"/>
      <c r="I223" s="251"/>
    </row>
    <row r="224" spans="1:9" ht="25.5">
      <c r="A224" s="227">
        <v>11656</v>
      </c>
      <c r="B224" s="97" t="s">
        <v>1939</v>
      </c>
      <c r="C224" s="179" t="s">
        <v>55</v>
      </c>
      <c r="D224" s="239">
        <v>1</v>
      </c>
      <c r="E224" s="1278">
        <v>22.71</v>
      </c>
      <c r="F224" s="1156">
        <f>TRUNC((D224*E224),2)</f>
        <v>22.71</v>
      </c>
      <c r="H224" s="560"/>
      <c r="I224" s="251"/>
    </row>
    <row r="225" spans="1:9" ht="15.75" thickBot="1">
      <c r="A225" s="99"/>
      <c r="B225" s="192"/>
      <c r="C225" s="1113"/>
      <c r="D225" s="247"/>
      <c r="E225" s="248" t="s">
        <v>58</v>
      </c>
      <c r="F225" s="214">
        <f>SUM(F222:F224)</f>
        <v>38.89</v>
      </c>
    </row>
    <row r="226" spans="1:9" ht="15.75" thickBot="1">
      <c r="A226" s="977"/>
      <c r="B226" s="1960" t="s">
        <v>53</v>
      </c>
      <c r="C226" s="1960"/>
      <c r="D226" s="1960"/>
      <c r="E226" s="1960"/>
      <c r="F226" s="978">
        <f>F220+F225</f>
        <v>63.52</v>
      </c>
    </row>
    <row r="227" spans="1:9" ht="15.75" thickBot="1"/>
    <row r="228" spans="1:9" ht="15.75">
      <c r="A228" s="226" t="s">
        <v>458</v>
      </c>
      <c r="B228" s="128" t="s">
        <v>1941</v>
      </c>
      <c r="C228" s="232" t="s">
        <v>55</v>
      </c>
      <c r="D228" s="72"/>
      <c r="E228" s="73"/>
      <c r="F228" s="122"/>
      <c r="G228" s="230"/>
      <c r="H228" s="230"/>
    </row>
    <row r="229" spans="1:9">
      <c r="A229" s="1987" t="s">
        <v>1956</v>
      </c>
      <c r="B229" s="1988"/>
      <c r="C229" s="1988"/>
      <c r="D229" s="1988"/>
      <c r="E229" s="1988"/>
      <c r="F229" s="1989"/>
    </row>
    <row r="230" spans="1:9" ht="25.5">
      <c r="A230" s="129"/>
      <c r="B230" s="233" t="s">
        <v>56</v>
      </c>
      <c r="C230" s="234" t="s">
        <v>49</v>
      </c>
      <c r="D230" s="235" t="s">
        <v>50</v>
      </c>
      <c r="E230" s="236" t="s">
        <v>62</v>
      </c>
      <c r="F230" s="237" t="s">
        <v>52</v>
      </c>
    </row>
    <row r="231" spans="1:9" ht="25.5">
      <c r="A231" s="227" t="s">
        <v>430</v>
      </c>
      <c r="B231" s="238" t="s">
        <v>101</v>
      </c>
      <c r="C231" s="179" t="s">
        <v>57</v>
      </c>
      <c r="D231" s="254">
        <v>0.25</v>
      </c>
      <c r="E231" s="1248">
        <v>20.16</v>
      </c>
      <c r="F231" s="1156">
        <f>TRUNC((D231*E231),2)</f>
        <v>5.04</v>
      </c>
    </row>
    <row r="232" spans="1:9" ht="25.5">
      <c r="A232" s="227" t="s">
        <v>431</v>
      </c>
      <c r="B232" s="238" t="s">
        <v>102</v>
      </c>
      <c r="C232" s="179" t="s">
        <v>57</v>
      </c>
      <c r="D232" s="254">
        <v>0.25</v>
      </c>
      <c r="E232" s="1248">
        <v>24.64</v>
      </c>
      <c r="F232" s="1156">
        <f>TRUNC((D232*E232),2)</f>
        <v>6.16</v>
      </c>
    </row>
    <row r="233" spans="1:9">
      <c r="A233" s="1157"/>
      <c r="B233" s="942"/>
      <c r="C233" s="179" t="s">
        <v>42</v>
      </c>
      <c r="D233" s="240" t="s">
        <v>42</v>
      </c>
      <c r="E233" s="241" t="s">
        <v>58</v>
      </c>
      <c r="F233" s="1158">
        <f>SUM(F231:F232)</f>
        <v>11.2</v>
      </c>
    </row>
    <row r="234" spans="1:9" ht="25.5">
      <c r="A234" s="1157"/>
      <c r="B234" s="1159" t="s">
        <v>95</v>
      </c>
      <c r="C234" s="193" t="s">
        <v>49</v>
      </c>
      <c r="D234" s="242" t="s">
        <v>50</v>
      </c>
      <c r="E234" s="243" t="s">
        <v>62</v>
      </c>
      <c r="F234" s="1158" t="s">
        <v>52</v>
      </c>
      <c r="H234" s="253"/>
      <c r="I234" s="253"/>
    </row>
    <row r="235" spans="1:9">
      <c r="A235" s="1160">
        <v>3148</v>
      </c>
      <c r="B235" s="97" t="s">
        <v>446</v>
      </c>
      <c r="C235" s="179" t="s">
        <v>55</v>
      </c>
      <c r="D235" s="239">
        <v>0.94</v>
      </c>
      <c r="E235" s="1278">
        <v>17.989999999999998</v>
      </c>
      <c r="F235" s="1156">
        <f>TRUNC((D235*E235),2)</f>
        <v>16.91</v>
      </c>
      <c r="H235" s="253"/>
      <c r="I235" s="253"/>
    </row>
    <row r="236" spans="1:9">
      <c r="A236" s="227">
        <v>20262</v>
      </c>
      <c r="B236" s="97" t="s">
        <v>1942</v>
      </c>
      <c r="C236" s="179" t="s">
        <v>55</v>
      </c>
      <c r="D236" s="239">
        <v>1</v>
      </c>
      <c r="E236" s="1278">
        <v>22.8</v>
      </c>
      <c r="F236" s="1156">
        <f>TRUNC((D236*E236),2)</f>
        <v>22.8</v>
      </c>
      <c r="H236" s="253"/>
      <c r="I236" s="253"/>
    </row>
    <row r="237" spans="1:9" ht="15.75" thickBot="1">
      <c r="A237" s="99"/>
      <c r="B237" s="192"/>
      <c r="C237" s="1113"/>
      <c r="D237" s="247"/>
      <c r="E237" s="248" t="s">
        <v>58</v>
      </c>
      <c r="F237" s="214">
        <f>SUM(F235:F236)</f>
        <v>39.71</v>
      </c>
      <c r="H237" s="253"/>
      <c r="I237" s="253"/>
    </row>
    <row r="238" spans="1:9" ht="15.75" thickBot="1">
      <c r="A238" s="977"/>
      <c r="B238" s="1960" t="s">
        <v>53</v>
      </c>
      <c r="C238" s="1960"/>
      <c r="D238" s="1960"/>
      <c r="E238" s="1960"/>
      <c r="F238" s="978">
        <f>F233+F237</f>
        <v>50.91</v>
      </c>
    </row>
    <row r="239" spans="1:9" ht="15.75" thickBot="1"/>
    <row r="240" spans="1:9" ht="25.5" customHeight="1">
      <c r="A240" s="226" t="s">
        <v>459</v>
      </c>
      <c r="B240" s="128" t="s">
        <v>1944</v>
      </c>
      <c r="C240" s="232" t="s">
        <v>55</v>
      </c>
      <c r="D240" s="72"/>
      <c r="E240" s="73"/>
      <c r="F240" s="122"/>
      <c r="G240" s="230"/>
      <c r="H240" s="230"/>
    </row>
    <row r="241" spans="1:8">
      <c r="A241" s="1987" t="s">
        <v>463</v>
      </c>
      <c r="B241" s="1988"/>
      <c r="C241" s="1988"/>
      <c r="D241" s="1988"/>
      <c r="E241" s="1988"/>
      <c r="F241" s="1989"/>
    </row>
    <row r="242" spans="1:8" ht="25.5">
      <c r="A242" s="129"/>
      <c r="B242" s="233" t="s">
        <v>56</v>
      </c>
      <c r="C242" s="234" t="s">
        <v>49</v>
      </c>
      <c r="D242" s="235" t="s">
        <v>50</v>
      </c>
      <c r="E242" s="236" t="s">
        <v>62</v>
      </c>
      <c r="F242" s="237" t="s">
        <v>52</v>
      </c>
    </row>
    <row r="243" spans="1:8" ht="25.5">
      <c r="A243" s="227" t="s">
        <v>430</v>
      </c>
      <c r="B243" s="238" t="s">
        <v>101</v>
      </c>
      <c r="C243" s="179" t="s">
        <v>57</v>
      </c>
      <c r="D243" s="239">
        <v>0.14000000000000001</v>
      </c>
      <c r="E243" s="1248">
        <v>20.16</v>
      </c>
      <c r="F243" s="1156">
        <f>TRUNC((D243*E243),2)</f>
        <v>2.82</v>
      </c>
    </row>
    <row r="244" spans="1:8" ht="25.5">
      <c r="A244" s="227" t="s">
        <v>431</v>
      </c>
      <c r="B244" s="238" t="s">
        <v>102</v>
      </c>
      <c r="C244" s="179" t="s">
        <v>57</v>
      </c>
      <c r="D244" s="239">
        <v>0.14000000000000001</v>
      </c>
      <c r="E244" s="1248">
        <v>24.64</v>
      </c>
      <c r="F244" s="1156">
        <f>TRUNC((D244*E244),2)</f>
        <v>3.44</v>
      </c>
    </row>
    <row r="245" spans="1:8">
      <c r="A245" s="1157"/>
      <c r="B245" s="942"/>
      <c r="C245" s="179" t="s">
        <v>42</v>
      </c>
      <c r="D245" s="240" t="s">
        <v>42</v>
      </c>
      <c r="E245" s="241" t="s">
        <v>58</v>
      </c>
      <c r="F245" s="1158">
        <f>SUM(F243:F244)</f>
        <v>6.26</v>
      </c>
    </row>
    <row r="246" spans="1:8" ht="25.5">
      <c r="A246" s="1157"/>
      <c r="B246" s="1159" t="s">
        <v>95</v>
      </c>
      <c r="C246" s="193" t="s">
        <v>49</v>
      </c>
      <c r="D246" s="242" t="s">
        <v>50</v>
      </c>
      <c r="E246" s="243" t="s">
        <v>62</v>
      </c>
      <c r="F246" s="1158" t="s">
        <v>52</v>
      </c>
    </row>
    <row r="247" spans="1:8" ht="25.5">
      <c r="A247" s="1160">
        <v>6140</v>
      </c>
      <c r="B247" s="97" t="s">
        <v>1944</v>
      </c>
      <c r="C247" s="179" t="s">
        <v>55</v>
      </c>
      <c r="D247" s="189">
        <v>1</v>
      </c>
      <c r="E247" s="1278">
        <v>4.78</v>
      </c>
      <c r="F247" s="1156">
        <f>TRUNC((D247*E247),2)</f>
        <v>4.78</v>
      </c>
    </row>
    <row r="248" spans="1:8" ht="15.75" thickBot="1">
      <c r="A248" s="99"/>
      <c r="B248" s="192"/>
      <c r="C248" s="1113"/>
      <c r="D248" s="247"/>
      <c r="E248" s="248" t="s">
        <v>58</v>
      </c>
      <c r="F248" s="214">
        <f>SUM(F247:F247)</f>
        <v>4.78</v>
      </c>
    </row>
    <row r="249" spans="1:8" ht="15.75" thickBot="1">
      <c r="A249" s="977"/>
      <c r="B249" s="1960" t="s">
        <v>53</v>
      </c>
      <c r="C249" s="1960"/>
      <c r="D249" s="1960"/>
      <c r="E249" s="1960"/>
      <c r="F249" s="978">
        <f>F245+F248</f>
        <v>11.04</v>
      </c>
    </row>
    <row r="250" spans="1:8" ht="15.75" thickBot="1"/>
    <row r="251" spans="1:8" ht="28.5" customHeight="1">
      <c r="A251" s="226" t="s">
        <v>460</v>
      </c>
      <c r="B251" s="128" t="s">
        <v>1945</v>
      </c>
      <c r="C251" s="232" t="s">
        <v>55</v>
      </c>
      <c r="D251" s="72"/>
      <c r="E251" s="73"/>
      <c r="F251" s="122"/>
      <c r="G251" s="230"/>
      <c r="H251" s="230"/>
    </row>
    <row r="252" spans="1:8" ht="15" customHeight="1">
      <c r="A252" s="1987" t="s">
        <v>1955</v>
      </c>
      <c r="B252" s="1988"/>
      <c r="C252" s="1988"/>
      <c r="D252" s="1988"/>
      <c r="E252" s="1988"/>
      <c r="F252" s="1989"/>
    </row>
    <row r="253" spans="1:8" ht="25.5">
      <c r="A253" s="129"/>
      <c r="B253" s="233" t="s">
        <v>56</v>
      </c>
      <c r="C253" s="234" t="s">
        <v>49</v>
      </c>
      <c r="D253" s="235" t="s">
        <v>50</v>
      </c>
      <c r="E253" s="236" t="s">
        <v>62</v>
      </c>
      <c r="F253" s="237" t="s">
        <v>52</v>
      </c>
    </row>
    <row r="254" spans="1:8" ht="25.5">
      <c r="A254" s="227" t="s">
        <v>430</v>
      </c>
      <c r="B254" s="238" t="s">
        <v>101</v>
      </c>
      <c r="C254" s="179" t="s">
        <v>57</v>
      </c>
      <c r="D254" s="254">
        <v>7.0000000000000007E-2</v>
      </c>
      <c r="E254" s="1248">
        <v>20.16</v>
      </c>
      <c r="F254" s="1156">
        <f>TRUNC((D254*E254),2)</f>
        <v>1.41</v>
      </c>
    </row>
    <row r="255" spans="1:8" ht="25.5">
      <c r="A255" s="227" t="s">
        <v>431</v>
      </c>
      <c r="B255" s="238" t="s">
        <v>102</v>
      </c>
      <c r="C255" s="179" t="s">
        <v>57</v>
      </c>
      <c r="D255" s="254">
        <v>7.0000000000000007E-2</v>
      </c>
      <c r="E255" s="1248">
        <v>24.64</v>
      </c>
      <c r="F255" s="1156">
        <f>TRUNC((D255*E255),2)</f>
        <v>1.72</v>
      </c>
    </row>
    <row r="256" spans="1:8">
      <c r="A256" s="1157"/>
      <c r="B256" s="942"/>
      <c r="C256" s="179" t="s">
        <v>42</v>
      </c>
      <c r="D256" s="240" t="s">
        <v>42</v>
      </c>
      <c r="E256" s="241" t="s">
        <v>58</v>
      </c>
      <c r="F256" s="1158">
        <f>SUM(F254:F255)</f>
        <v>3.13</v>
      </c>
    </row>
    <row r="257" spans="1:11" ht="25.5">
      <c r="A257" s="1157"/>
      <c r="B257" s="1159" t="s">
        <v>95</v>
      </c>
      <c r="C257" s="193" t="s">
        <v>49</v>
      </c>
      <c r="D257" s="242" t="s">
        <v>50</v>
      </c>
      <c r="E257" s="243" t="s">
        <v>62</v>
      </c>
      <c r="F257" s="1158" t="s">
        <v>52</v>
      </c>
      <c r="H257" s="253"/>
      <c r="I257" s="253"/>
    </row>
    <row r="258" spans="1:11">
      <c r="A258" s="227">
        <v>122</v>
      </c>
      <c r="B258" s="97" t="s">
        <v>125</v>
      </c>
      <c r="C258" s="179" t="s">
        <v>100</v>
      </c>
      <c r="D258" s="239">
        <v>8.0000000000000002E-3</v>
      </c>
      <c r="E258" s="1278">
        <v>76.86</v>
      </c>
      <c r="F258" s="1156">
        <f>TRUNC((D258*E258),2)</f>
        <v>0.61</v>
      </c>
      <c r="H258" s="253"/>
      <c r="I258" s="253"/>
    </row>
    <row r="259" spans="1:11">
      <c r="A259" s="227">
        <v>20083</v>
      </c>
      <c r="B259" s="97" t="s">
        <v>126</v>
      </c>
      <c r="C259" s="179" t="s">
        <v>424</v>
      </c>
      <c r="D259" s="239">
        <v>1.0999999999999999E-2</v>
      </c>
      <c r="E259" s="1278">
        <v>87.08</v>
      </c>
      <c r="F259" s="1156">
        <f>TRUNC((D259*E259),2)</f>
        <v>0.95</v>
      </c>
      <c r="H259" s="253"/>
      <c r="I259" s="253"/>
    </row>
    <row r="260" spans="1:11" ht="24.75">
      <c r="A260" s="227">
        <v>39319</v>
      </c>
      <c r="B260" s="1161" t="s">
        <v>1945</v>
      </c>
      <c r="C260" s="179" t="s">
        <v>55</v>
      </c>
      <c r="D260" s="239">
        <v>1</v>
      </c>
      <c r="E260" s="1278">
        <v>9.77</v>
      </c>
      <c r="F260" s="1156">
        <f>TRUNC((D260*E260),2)</f>
        <v>9.77</v>
      </c>
      <c r="H260" s="253"/>
      <c r="I260" s="253"/>
    </row>
    <row r="261" spans="1:11" ht="15.75" thickBot="1">
      <c r="A261" s="99"/>
      <c r="B261" s="192"/>
      <c r="C261" s="1113"/>
      <c r="D261" s="247"/>
      <c r="E261" s="248" t="s">
        <v>58</v>
      </c>
      <c r="F261" s="214">
        <f>SUM(F258:F260)</f>
        <v>11.33</v>
      </c>
      <c r="H261" s="253"/>
      <c r="I261" s="253"/>
    </row>
    <row r="262" spans="1:11" ht="15.75" thickBot="1">
      <c r="A262" s="83"/>
      <c r="B262" s="2027" t="s">
        <v>53</v>
      </c>
      <c r="C262" s="2027"/>
      <c r="D262" s="2027"/>
      <c r="E262" s="2027"/>
      <c r="F262" s="295">
        <f>F256+F261</f>
        <v>14.46</v>
      </c>
    </row>
    <row r="263" spans="1:11" ht="15.75" thickBot="1"/>
    <row r="264" spans="1:11" ht="25.5">
      <c r="A264" s="226" t="s">
        <v>461</v>
      </c>
      <c r="B264" s="183" t="s">
        <v>1946</v>
      </c>
      <c r="C264" s="232" t="s">
        <v>55</v>
      </c>
      <c r="D264" s="72"/>
      <c r="E264" s="73"/>
      <c r="F264" s="122"/>
      <c r="G264" s="255"/>
      <c r="H264" s="230"/>
    </row>
    <row r="265" spans="1:11">
      <c r="A265" s="1987" t="s">
        <v>1955</v>
      </c>
      <c r="B265" s="1988"/>
      <c r="C265" s="1988"/>
      <c r="D265" s="1988"/>
      <c r="E265" s="1988"/>
      <c r="F265" s="1989"/>
    </row>
    <row r="266" spans="1:11" ht="25.5">
      <c r="A266" s="129"/>
      <c r="B266" s="233" t="s">
        <v>56</v>
      </c>
      <c r="C266" s="234" t="s">
        <v>49</v>
      </c>
      <c r="D266" s="235" t="s">
        <v>50</v>
      </c>
      <c r="E266" s="236" t="s">
        <v>62</v>
      </c>
      <c r="F266" s="237" t="s">
        <v>52</v>
      </c>
      <c r="H266" s="256"/>
    </row>
    <row r="267" spans="1:11" ht="25.5">
      <c r="A267" s="227" t="s">
        <v>430</v>
      </c>
      <c r="B267" s="238" t="s">
        <v>101</v>
      </c>
      <c r="C267" s="179" t="s">
        <v>57</v>
      </c>
      <c r="D267" s="254">
        <v>7.0000000000000007E-2</v>
      </c>
      <c r="E267" s="1248">
        <v>20.16</v>
      </c>
      <c r="F267" s="1156">
        <f>TRUNC((D267*E267),2)</f>
        <v>1.41</v>
      </c>
    </row>
    <row r="268" spans="1:11" ht="25.5">
      <c r="A268" s="227" t="s">
        <v>431</v>
      </c>
      <c r="B268" s="238" t="s">
        <v>102</v>
      </c>
      <c r="C268" s="179" t="s">
        <v>57</v>
      </c>
      <c r="D268" s="254">
        <v>7.0000000000000007E-2</v>
      </c>
      <c r="E268" s="1248">
        <v>24.64</v>
      </c>
      <c r="F268" s="1156">
        <f>TRUNC((D268*E268),2)</f>
        <v>1.72</v>
      </c>
    </row>
    <row r="269" spans="1:11">
      <c r="A269" s="1157"/>
      <c r="B269" s="942"/>
      <c r="C269" s="179" t="s">
        <v>42</v>
      </c>
      <c r="D269" s="240" t="s">
        <v>42</v>
      </c>
      <c r="E269" s="241" t="s">
        <v>58</v>
      </c>
      <c r="F269" s="1158">
        <f>SUM(F267:F268)</f>
        <v>3.13</v>
      </c>
      <c r="H269" s="249"/>
      <c r="I269" s="557"/>
      <c r="J269" s="558"/>
    </row>
    <row r="270" spans="1:11" ht="25.5">
      <c r="A270" s="1157"/>
      <c r="B270" s="1159" t="s">
        <v>95</v>
      </c>
      <c r="C270" s="193" t="s">
        <v>49</v>
      </c>
      <c r="D270" s="242" t="s">
        <v>50</v>
      </c>
      <c r="E270" s="243" t="s">
        <v>62</v>
      </c>
      <c r="F270" s="1158" t="s">
        <v>52</v>
      </c>
      <c r="H270" s="249"/>
      <c r="I270" s="251"/>
      <c r="J270" s="558"/>
    </row>
    <row r="271" spans="1:11">
      <c r="A271" s="227">
        <v>122</v>
      </c>
      <c r="B271" s="97" t="s">
        <v>125</v>
      </c>
      <c r="C271" s="179" t="s">
        <v>100</v>
      </c>
      <c r="D271" s="239">
        <v>8.0000000000000002E-3</v>
      </c>
      <c r="E271" s="1278">
        <v>76.86</v>
      </c>
      <c r="F271" s="1156">
        <f>TRUNC((D271*E271),2)</f>
        <v>0.61</v>
      </c>
      <c r="H271" s="249"/>
      <c r="I271" s="557"/>
      <c r="J271" s="558"/>
      <c r="K271" s="20"/>
    </row>
    <row r="272" spans="1:11">
      <c r="A272" s="227">
        <v>20083</v>
      </c>
      <c r="B272" s="97" t="s">
        <v>126</v>
      </c>
      <c r="C272" s="179" t="s">
        <v>424</v>
      </c>
      <c r="D272" s="239">
        <v>1.0999999999999999E-2</v>
      </c>
      <c r="E272" s="1278">
        <v>87.08</v>
      </c>
      <c r="F272" s="1156">
        <f>TRUNC((D272*E272),2)</f>
        <v>0.95</v>
      </c>
      <c r="H272" s="249"/>
      <c r="I272" s="557"/>
      <c r="J272" s="558"/>
      <c r="K272" s="20"/>
    </row>
    <row r="273" spans="1:11" ht="24.75">
      <c r="A273" s="227">
        <v>39319</v>
      </c>
      <c r="B273" s="1161" t="s">
        <v>1945</v>
      </c>
      <c r="C273" s="179" t="s">
        <v>55</v>
      </c>
      <c r="D273" s="239">
        <v>1</v>
      </c>
      <c r="E273" s="1278">
        <v>16.25</v>
      </c>
      <c r="F273" s="1156">
        <f>TRUNC((D273*E273),2)</f>
        <v>16.25</v>
      </c>
      <c r="H273" s="249"/>
      <c r="I273" s="251"/>
      <c r="J273" s="558"/>
      <c r="K273" s="20"/>
    </row>
    <row r="274" spans="1:11" ht="15.75" thickBot="1">
      <c r="A274" s="99"/>
      <c r="B274" s="192"/>
      <c r="C274" s="1113"/>
      <c r="D274" s="247"/>
      <c r="E274" s="248" t="s">
        <v>58</v>
      </c>
      <c r="F274" s="214">
        <f>SUM(F271:F273)</f>
        <v>17.809999999999999</v>
      </c>
      <c r="I274" s="555"/>
      <c r="J274" s="555"/>
      <c r="K274" s="20"/>
    </row>
    <row r="275" spans="1:11" ht="15.75" thickBot="1">
      <c r="A275" s="44"/>
      <c r="B275" s="2028" t="s">
        <v>53</v>
      </c>
      <c r="C275" s="2028"/>
      <c r="D275" s="2028"/>
      <c r="E275" s="2028"/>
      <c r="F275" s="213">
        <f>F269+F274</f>
        <v>20.939999999999998</v>
      </c>
      <c r="I275" s="555"/>
      <c r="J275" s="555"/>
      <c r="K275" s="555"/>
    </row>
    <row r="276" spans="1:11" ht="15.75" thickBot="1">
      <c r="I276" s="555"/>
      <c r="J276" s="555"/>
      <c r="K276" s="555"/>
    </row>
    <row r="277" spans="1:11" ht="26.25" customHeight="1">
      <c r="A277" s="226" t="s">
        <v>462</v>
      </c>
      <c r="B277" s="128" t="s">
        <v>1948</v>
      </c>
      <c r="C277" s="232" t="s">
        <v>55</v>
      </c>
      <c r="D277" s="72"/>
      <c r="E277" s="73"/>
      <c r="F277" s="122"/>
      <c r="H277" s="230"/>
      <c r="I277" s="20"/>
      <c r="J277" s="20"/>
      <c r="K277" s="20"/>
    </row>
    <row r="278" spans="1:11">
      <c r="A278" s="1987" t="s">
        <v>1957</v>
      </c>
      <c r="B278" s="1988"/>
      <c r="C278" s="1988"/>
      <c r="D278" s="1988"/>
      <c r="E278" s="1988"/>
      <c r="F278" s="1989"/>
      <c r="H278" s="620"/>
      <c r="I278" s="620"/>
      <c r="J278" s="620"/>
      <c r="K278" s="620"/>
    </row>
    <row r="279" spans="1:11" ht="25.5">
      <c r="A279" s="129"/>
      <c r="B279" s="233" t="s">
        <v>56</v>
      </c>
      <c r="C279" s="234" t="s">
        <v>49</v>
      </c>
      <c r="D279" s="235" t="s">
        <v>50</v>
      </c>
      <c r="E279" s="236" t="s">
        <v>62</v>
      </c>
      <c r="F279" s="237" t="s">
        <v>52</v>
      </c>
      <c r="H279" s="620"/>
      <c r="I279" s="620"/>
      <c r="J279" s="620"/>
      <c r="K279" s="620"/>
    </row>
    <row r="280" spans="1:11" ht="25.5">
      <c r="A280" s="227" t="s">
        <v>430</v>
      </c>
      <c r="B280" s="238" t="s">
        <v>101</v>
      </c>
      <c r="C280" s="179" t="s">
        <v>57</v>
      </c>
      <c r="D280" s="257">
        <v>0.55000000000000004</v>
      </c>
      <c r="E280" s="1248">
        <v>20.16</v>
      </c>
      <c r="F280" s="1156">
        <f>TRUNC((D280*E280),2)</f>
        <v>11.08</v>
      </c>
      <c r="H280" s="620"/>
      <c r="I280" s="620"/>
      <c r="J280" s="620"/>
      <c r="K280" s="620"/>
    </row>
    <row r="281" spans="1:11" ht="25.5">
      <c r="A281" s="227" t="s">
        <v>431</v>
      </c>
      <c r="B281" s="238" t="s">
        <v>102</v>
      </c>
      <c r="C281" s="179" t="s">
        <v>57</v>
      </c>
      <c r="D281" s="257">
        <v>0.55000000000000004</v>
      </c>
      <c r="E281" s="1248">
        <v>24.64</v>
      </c>
      <c r="F281" s="1156">
        <f>TRUNC((D281*E281),2)</f>
        <v>13.55</v>
      </c>
      <c r="H281" s="620"/>
      <c r="I281" s="620"/>
      <c r="J281" s="620"/>
      <c r="K281" s="620"/>
    </row>
    <row r="282" spans="1:11">
      <c r="A282" s="1157"/>
      <c r="B282" s="942"/>
      <c r="C282" s="179" t="s">
        <v>42</v>
      </c>
      <c r="D282" s="240" t="s">
        <v>42</v>
      </c>
      <c r="E282" s="241" t="s">
        <v>58</v>
      </c>
      <c r="F282" s="1158">
        <f>SUM(F280:F281)</f>
        <v>24.630000000000003</v>
      </c>
      <c r="H282" s="620"/>
      <c r="I282" s="620"/>
      <c r="J282" s="620"/>
      <c r="K282" s="620"/>
    </row>
    <row r="283" spans="1:11" ht="25.5">
      <c r="A283" s="1157"/>
      <c r="B283" s="1159" t="s">
        <v>95</v>
      </c>
      <c r="C283" s="193" t="s">
        <v>49</v>
      </c>
      <c r="D283" s="242" t="s">
        <v>50</v>
      </c>
      <c r="E283" s="243" t="s">
        <v>62</v>
      </c>
      <c r="F283" s="1158" t="s">
        <v>52</v>
      </c>
      <c r="H283" s="620"/>
      <c r="I283" s="620"/>
      <c r="J283" s="620"/>
      <c r="K283" s="620"/>
    </row>
    <row r="284" spans="1:11" ht="25.5">
      <c r="A284" s="227">
        <v>35277</v>
      </c>
      <c r="B284" s="97" t="s">
        <v>1948</v>
      </c>
      <c r="C284" s="179" t="s">
        <v>55</v>
      </c>
      <c r="D284" s="239">
        <v>1</v>
      </c>
      <c r="E284" s="1278">
        <v>421.69</v>
      </c>
      <c r="F284" s="1156">
        <f>TRUNC((D284*E284),2)</f>
        <v>421.69</v>
      </c>
      <c r="H284" s="620"/>
      <c r="I284" s="620"/>
      <c r="J284" s="620"/>
      <c r="K284" s="620"/>
    </row>
    <row r="285" spans="1:11" ht="15.75" thickBot="1">
      <c r="A285" s="99"/>
      <c r="B285" s="192"/>
      <c r="C285" s="1113"/>
      <c r="D285" s="247"/>
      <c r="E285" s="248" t="s">
        <v>58</v>
      </c>
      <c r="F285" s="214">
        <f>SUM(F284:F284)</f>
        <v>421.69</v>
      </c>
    </row>
    <row r="286" spans="1:11" ht="15.75" thickBot="1">
      <c r="A286" s="977"/>
      <c r="B286" s="1960" t="s">
        <v>53</v>
      </c>
      <c r="C286" s="1960"/>
      <c r="D286" s="1960"/>
      <c r="E286" s="1960"/>
      <c r="F286" s="978">
        <f>F282+F285</f>
        <v>446.32</v>
      </c>
    </row>
    <row r="287" spans="1:11" ht="17.25" customHeight="1" thickBot="1"/>
    <row r="288" spans="1:11" ht="25.5">
      <c r="A288" s="226" t="s">
        <v>2379</v>
      </c>
      <c r="B288" s="128" t="s">
        <v>2382</v>
      </c>
      <c r="C288" s="232" t="s">
        <v>55</v>
      </c>
      <c r="D288" s="72"/>
      <c r="E288" s="73"/>
      <c r="F288" s="122"/>
    </row>
    <row r="289" spans="1:6">
      <c r="A289" s="1987" t="s">
        <v>2381</v>
      </c>
      <c r="B289" s="1988"/>
      <c r="C289" s="1988"/>
      <c r="D289" s="1988"/>
      <c r="E289" s="1988"/>
      <c r="F289" s="1989"/>
    </row>
    <row r="290" spans="1:6" ht="25.5">
      <c r="A290" s="129"/>
      <c r="B290" s="233" t="s">
        <v>56</v>
      </c>
      <c r="C290" s="234" t="s">
        <v>49</v>
      </c>
      <c r="D290" s="235" t="s">
        <v>50</v>
      </c>
      <c r="E290" s="236" t="s">
        <v>62</v>
      </c>
      <c r="F290" s="237" t="s">
        <v>52</v>
      </c>
    </row>
    <row r="291" spans="1:6" ht="25.5">
      <c r="A291" s="227" t="s">
        <v>430</v>
      </c>
      <c r="B291" s="238" t="s">
        <v>101</v>
      </c>
      <c r="C291" s="179" t="s">
        <v>57</v>
      </c>
      <c r="D291" s="257">
        <v>1.5</v>
      </c>
      <c r="E291" s="1248">
        <v>20.16</v>
      </c>
      <c r="F291" s="1156">
        <f>TRUNC((D291*E291),2)</f>
        <v>30.24</v>
      </c>
    </row>
    <row r="292" spans="1:6" ht="25.5">
      <c r="A292" s="227" t="s">
        <v>431</v>
      </c>
      <c r="B292" s="238" t="s">
        <v>102</v>
      </c>
      <c r="C292" s="179" t="s">
        <v>57</v>
      </c>
      <c r="D292" s="257">
        <v>1</v>
      </c>
      <c r="E292" s="1248">
        <v>24.64</v>
      </c>
      <c r="F292" s="1156">
        <f>TRUNC((D292*E292),2)</f>
        <v>24.64</v>
      </c>
    </row>
    <row r="293" spans="1:6">
      <c r="A293" s="1157"/>
      <c r="B293" s="942"/>
      <c r="C293" s="179" t="s">
        <v>42</v>
      </c>
      <c r="D293" s="240" t="s">
        <v>42</v>
      </c>
      <c r="E293" s="241" t="s">
        <v>58</v>
      </c>
      <c r="F293" s="1158">
        <f>SUM(F291:F292)</f>
        <v>54.879999999999995</v>
      </c>
    </row>
    <row r="294" spans="1:6" ht="25.5">
      <c r="A294" s="1157"/>
      <c r="B294" s="1159" t="s">
        <v>95</v>
      </c>
      <c r="C294" s="193" t="s">
        <v>49</v>
      </c>
      <c r="D294" s="242" t="s">
        <v>50</v>
      </c>
      <c r="E294" s="243" t="s">
        <v>62</v>
      </c>
      <c r="F294" s="1158" t="s">
        <v>52</v>
      </c>
    </row>
    <row r="295" spans="1:6" ht="25.5">
      <c r="A295" s="227">
        <v>37104</v>
      </c>
      <c r="B295" s="1247" t="s">
        <v>2380</v>
      </c>
      <c r="C295" s="179" t="s">
        <v>55</v>
      </c>
      <c r="D295" s="239">
        <v>1</v>
      </c>
      <c r="E295" s="1278">
        <v>1448.73</v>
      </c>
      <c r="F295" s="1156">
        <f>TRUNC((D295*E295),2)</f>
        <v>1448.73</v>
      </c>
    </row>
    <row r="296" spans="1:6" ht="15.75" thickBot="1">
      <c r="A296" s="99"/>
      <c r="B296" s="192"/>
      <c r="C296" s="1113"/>
      <c r="D296" s="247"/>
      <c r="E296" s="248" t="s">
        <v>58</v>
      </c>
      <c r="F296" s="214">
        <f>SUM(F295:F295)</f>
        <v>1448.73</v>
      </c>
    </row>
    <row r="297" spans="1:6" ht="15.75" thickBot="1">
      <c r="A297" s="977"/>
      <c r="B297" s="1960" t="s">
        <v>53</v>
      </c>
      <c r="C297" s="1960"/>
      <c r="D297" s="1960"/>
      <c r="E297" s="1960"/>
      <c r="F297" s="978">
        <f>F293+F296</f>
        <v>1503.6100000000001</v>
      </c>
    </row>
  </sheetData>
  <mergeCells count="48">
    <mergeCell ref="A289:F289"/>
    <mergeCell ref="B297:E297"/>
    <mergeCell ref="A229:F229"/>
    <mergeCell ref="B238:E238"/>
    <mergeCell ref="A241:F241"/>
    <mergeCell ref="A278:F278"/>
    <mergeCell ref="B286:E286"/>
    <mergeCell ref="B249:E249"/>
    <mergeCell ref="A252:F252"/>
    <mergeCell ref="B262:E262"/>
    <mergeCell ref="A265:F265"/>
    <mergeCell ref="B275:E275"/>
    <mergeCell ref="B171:E171"/>
    <mergeCell ref="A174:F174"/>
    <mergeCell ref="B187:E187"/>
    <mergeCell ref="A216:F216"/>
    <mergeCell ref="B226:E226"/>
    <mergeCell ref="A190:F190"/>
    <mergeCell ref="B199:E199"/>
    <mergeCell ref="A202:F202"/>
    <mergeCell ref="B213:E213"/>
    <mergeCell ref="A138:F138"/>
    <mergeCell ref="B148:E148"/>
    <mergeCell ref="A151:F151"/>
    <mergeCell ref="B159:E159"/>
    <mergeCell ref="A162:F162"/>
    <mergeCell ref="B3:F3"/>
    <mergeCell ref="B4:F4"/>
    <mergeCell ref="A14:F14"/>
    <mergeCell ref="B5:F5"/>
    <mergeCell ref="A16:F16"/>
    <mergeCell ref="B27:E27"/>
    <mergeCell ref="A30:F30"/>
    <mergeCell ref="B41:E41"/>
    <mergeCell ref="A44:F44"/>
    <mergeCell ref="B68:E68"/>
    <mergeCell ref="A83:F83"/>
    <mergeCell ref="B94:E94"/>
    <mergeCell ref="B135:E135"/>
    <mergeCell ref="B55:E55"/>
    <mergeCell ref="A58:F58"/>
    <mergeCell ref="A71:F71"/>
    <mergeCell ref="B80:E80"/>
    <mergeCell ref="A97:F97"/>
    <mergeCell ref="B107:E107"/>
    <mergeCell ref="A110:F110"/>
    <mergeCell ref="B121:E121"/>
    <mergeCell ref="A124:F124"/>
  </mergeCells>
  <conditionalFormatting sqref="H45 I269:J270">
    <cfRule type="expression" dxfId="21" priority="53" stopIfTrue="1">
      <formula>AND($A45&lt;&gt;"COMPOSICAO",$A45&lt;&gt;"INSUMO",$A45&lt;&gt;"")</formula>
    </cfRule>
    <cfRule type="expression" dxfId="20" priority="54" stopIfTrue="1">
      <formula>AND(OR($A45="COMPOSICAO",$A45="INSUMO",$A45&lt;&gt;""),$A45&lt;&gt;"")</formula>
    </cfRule>
  </conditionalFormatting>
  <conditionalFormatting sqref="H54">
    <cfRule type="expression" dxfId="19" priority="47" stopIfTrue="1">
      <formula>AND($A54&lt;&gt;"COMPOSICAO",$A54&lt;&gt;"INSUMO",$A54&lt;&gt;"")</formula>
    </cfRule>
    <cfRule type="expression" dxfId="18" priority="48" stopIfTrue="1">
      <formula>AND(OR($A54="COMPOSICAO",$A54="INSUMO",$A54&lt;&gt;""),$A54&lt;&gt;"")</formula>
    </cfRule>
  </conditionalFormatting>
  <conditionalFormatting sqref="H220:H221">
    <cfRule type="expression" dxfId="17" priority="39" stopIfTrue="1">
      <formula>AND($A220&lt;&gt;"COMPOSICAO",$A220&lt;&gt;"INSUMO",$A220&lt;&gt;"")</formula>
    </cfRule>
    <cfRule type="expression" dxfId="16" priority="40" stopIfTrue="1">
      <formula>AND(OR($A220="COMPOSICAO",$A220="INSUMO",$A220&lt;&gt;""),$A220&lt;&gt;"")</formula>
    </cfRule>
  </conditionalFormatting>
  <conditionalFormatting sqref="I220:I221">
    <cfRule type="expression" dxfId="15" priority="37" stopIfTrue="1">
      <formula>AND($A220&lt;&gt;"COMPOSICAO",$A220&lt;&gt;"INSUMO",$A220&lt;&gt;"")</formula>
    </cfRule>
    <cfRule type="expression" dxfId="14" priority="38" stopIfTrue="1">
      <formula>AND(OR($A220="COMPOSICAO",$A220="INSUMO",$A220&lt;&gt;""),$A220&lt;&gt;"")</formula>
    </cfRule>
  </conditionalFormatting>
  <conditionalFormatting sqref="H128:H129">
    <cfRule type="expression" dxfId="13" priority="1" stopIfTrue="1">
      <formula>AND($A128&lt;&gt;"COMPOSICAO",$A128&lt;&gt;"INSUMO",$A128&lt;&gt;"")</formula>
    </cfRule>
    <cfRule type="expression" dxfId="12" priority="2" stopIfTrue="1">
      <formula>AND(OR($A128="COMPOSICAO",$A128="INSUMO",$A128&lt;&gt;""),$A128&lt;&gt;"")</formula>
    </cfRule>
  </conditionalFormatting>
  <conditionalFormatting sqref="J128:J129">
    <cfRule type="expression" dxfId="11" priority="5" stopIfTrue="1">
      <formula>AND($A128&lt;&gt;"COMPOSICAO",$A128&lt;&gt;"INSUMO",$A128&lt;&gt;"")</formula>
    </cfRule>
    <cfRule type="expression" dxfId="10" priority="6" stopIfTrue="1">
      <formula>AND(OR($A128="COMPOSICAO",$A128="INSUMO",$A128&lt;&gt;""),$A128&lt;&gt;"")</formula>
    </cfRule>
  </conditionalFormatting>
  <conditionalFormatting sqref="I128:I129">
    <cfRule type="expression" dxfId="9" priority="3" stopIfTrue="1">
      <formula>AND($A128&lt;&gt;"COMPOSICAO",$A128&lt;&gt;"INSUMO",$A128&lt;&gt;"")</formula>
    </cfRule>
    <cfRule type="expression" dxfId="8" priority="4" stopIfTrue="1">
      <formula>AND(OR($A128="COMPOSICAO",$A128="INSUMO",$A128&lt;&gt;""),$A128&lt;&gt;"")</formula>
    </cfRule>
  </conditionalFormatting>
  <printOptions horizontalCentered="1"/>
  <pageMargins left="0.51181102362204722" right="0.51181102362204722" top="0.78740157480314965" bottom="0.78740157480314965" header="0.31496062992125984" footer="0.31496062992125984"/>
  <pageSetup paperSize="9" scale="70" orientation="portrait" r:id="rId1"/>
  <ignoredErrors>
    <ignoredError sqref="A22:A25 A18:A19 A32:A33 A36 A46:A47 A50:A53 A60:A61 A38:A39 A140:A141 I108 H277 I277 J277 A126:A127 A99:A100 A73:A74 A153:A154 A85:A86 A112:A113 A164:A165 A218:A219 A231:A232 A243:A244 A204:A205 A192:A193 A176:A177 H285:H287 A280:A28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83"/>
  <sheetViews>
    <sheetView topLeftCell="A275" workbookViewId="0">
      <selection activeCell="A288" sqref="A288:E288"/>
    </sheetView>
  </sheetViews>
  <sheetFormatPr defaultRowHeight="15"/>
  <cols>
    <col min="1" max="1" width="13.7109375" customWidth="1"/>
    <col min="2" max="2" width="57.85546875" customWidth="1"/>
    <col min="3" max="3" width="10" customWidth="1"/>
    <col min="4" max="4" width="9.28515625" customWidth="1"/>
    <col min="5" max="5" width="11.140625" customWidth="1"/>
    <col min="6" max="6" width="23.42578125" customWidth="1"/>
    <col min="9" max="9" width="9.140625" customWidth="1"/>
    <col min="10" max="10" width="18.28515625" customWidth="1"/>
  </cols>
  <sheetData>
    <row r="1" spans="1:6" ht="16.5" thickBot="1">
      <c r="A1" s="121"/>
      <c r="B1" s="121"/>
      <c r="C1" s="121"/>
      <c r="D1" s="121"/>
      <c r="E1" s="121"/>
      <c r="F1" s="121"/>
    </row>
    <row r="2" spans="1:6">
      <c r="A2" s="124" t="s">
        <v>2365</v>
      </c>
      <c r="B2" s="59" t="str">
        <f>'PLANILHA SEM DESON'!B9:D9</f>
        <v>SEMA-PRO-2022/00145</v>
      </c>
      <c r="C2" s="59"/>
      <c r="D2" s="59"/>
      <c r="E2" s="125" t="s">
        <v>133</v>
      </c>
      <c r="F2" s="424">
        <f>'PLANILHA SEM DESON'!J12</f>
        <v>0</v>
      </c>
    </row>
    <row r="3" spans="1:6">
      <c r="A3" s="103" t="s">
        <v>1</v>
      </c>
      <c r="B3" s="16" t="str">
        <f>'PLANILHA SEM DESON'!B10:C10</f>
        <v>CONSTRUÇÃO DE DIRETORIA DE UNIDADE DESCONCENTRADA DA SEMA - DUDS</v>
      </c>
      <c r="C3" s="16"/>
      <c r="D3" s="16"/>
      <c r="E3" s="16"/>
      <c r="F3" s="56"/>
    </row>
    <row r="4" spans="1:6">
      <c r="A4" s="103" t="s">
        <v>2</v>
      </c>
      <c r="B4" s="16" t="str">
        <f>'PLANILHA SEM DESON'!B11:C11</f>
        <v>Rua Erichin, esquina com Rua Circular - Bairro Residencial Arco Íris</v>
      </c>
      <c r="C4" s="16"/>
      <c r="D4" s="16"/>
      <c r="E4" s="16"/>
      <c r="F4" s="56"/>
    </row>
    <row r="5" spans="1:6">
      <c r="A5" s="103" t="s">
        <v>4</v>
      </c>
      <c r="B5" s="16" t="str">
        <f>'PLANILHA SEM DESON'!B12:C12</f>
        <v>CONFRESA - MT</v>
      </c>
      <c r="C5" s="16"/>
      <c r="D5" s="16"/>
      <c r="E5" s="16"/>
      <c r="F5" s="56"/>
    </row>
    <row r="6" spans="1:6" ht="15.75" thickBot="1">
      <c r="A6" s="1134" t="s">
        <v>5</v>
      </c>
      <c r="B6" s="1132" t="str">
        <f>'PLANILHA SEM DESON'!B13</f>
        <v xml:space="preserve">CONSTRUÇÃO </v>
      </c>
      <c r="C6" s="1132"/>
      <c r="D6" s="1132"/>
      <c r="E6" s="1132"/>
      <c r="F6" s="1133"/>
    </row>
    <row r="7" spans="1:6" ht="16.5" thickBot="1">
      <c r="A7" s="2033" t="s">
        <v>467</v>
      </c>
      <c r="B7" s="2034"/>
      <c r="C7" s="2034"/>
      <c r="D7" s="2034"/>
      <c r="E7" s="2034"/>
      <c r="F7" s="2035"/>
    </row>
    <row r="8" spans="1:6" ht="15.75" thickBot="1">
      <c r="A8" s="258" t="s">
        <v>468</v>
      </c>
      <c r="B8" s="259" t="s">
        <v>469</v>
      </c>
      <c r="C8" s="82" t="s">
        <v>55</v>
      </c>
      <c r="D8" s="107"/>
      <c r="E8" s="107"/>
      <c r="F8" s="108"/>
    </row>
    <row r="9" spans="1:6">
      <c r="A9" s="2057" t="s">
        <v>470</v>
      </c>
      <c r="B9" s="2058"/>
      <c r="C9" s="2058"/>
      <c r="D9" s="2058"/>
      <c r="E9" s="2058"/>
      <c r="F9" s="2059"/>
    </row>
    <row r="10" spans="1:6" ht="30">
      <c r="A10" s="1476"/>
      <c r="B10" s="1477" t="s">
        <v>48</v>
      </c>
      <c r="C10" s="1478" t="s">
        <v>49</v>
      </c>
      <c r="D10" s="1479" t="s">
        <v>50</v>
      </c>
      <c r="E10" s="1480" t="s">
        <v>51</v>
      </c>
      <c r="F10" s="30" t="s">
        <v>52</v>
      </c>
    </row>
    <row r="11" spans="1:6">
      <c r="A11" s="1292">
        <v>88264</v>
      </c>
      <c r="B11" s="1481" t="s">
        <v>94</v>
      </c>
      <c r="C11" s="1293" t="s">
        <v>57</v>
      </c>
      <c r="D11" s="1428">
        <v>0.15</v>
      </c>
      <c r="E11" s="1278">
        <v>25.54</v>
      </c>
      <c r="F11" s="261">
        <f>TRUNC(D11*E11,2)</f>
        <v>3.83</v>
      </c>
    </row>
    <row r="12" spans="1:6" ht="25.5">
      <c r="A12" s="1429">
        <v>88247</v>
      </c>
      <c r="B12" s="1481" t="s">
        <v>93</v>
      </c>
      <c r="C12" s="1293" t="s">
        <v>57</v>
      </c>
      <c r="D12" s="1428">
        <v>0.15</v>
      </c>
      <c r="E12" s="1001">
        <v>21</v>
      </c>
      <c r="F12" s="261">
        <f>TRUNC(D12*E12,2)</f>
        <v>3.15</v>
      </c>
    </row>
    <row r="13" spans="1:6">
      <c r="A13" s="1482"/>
      <c r="B13" s="1483"/>
      <c r="C13" s="1484"/>
      <c r="D13" s="1485"/>
      <c r="E13" s="1040" t="s">
        <v>58</v>
      </c>
      <c r="F13" s="33">
        <f>SUM(F11:F12)</f>
        <v>6.98</v>
      </c>
    </row>
    <row r="14" spans="1:6" ht="30">
      <c r="A14" s="1296"/>
      <c r="B14" s="981" t="s">
        <v>95</v>
      </c>
      <c r="C14" s="1419" t="s">
        <v>49</v>
      </c>
      <c r="D14" s="1420" t="s">
        <v>50</v>
      </c>
      <c r="E14" s="1267" t="s">
        <v>62</v>
      </c>
      <c r="F14" s="38" t="s">
        <v>52</v>
      </c>
    </row>
    <row r="15" spans="1:6" ht="25.5">
      <c r="A15" s="1429">
        <v>39601</v>
      </c>
      <c r="B15" s="1486" t="s">
        <v>2354</v>
      </c>
      <c r="C15" s="1293" t="s">
        <v>55</v>
      </c>
      <c r="D15" s="1294">
        <v>1</v>
      </c>
      <c r="E15" s="1001">
        <v>28.25</v>
      </c>
      <c r="F15" s="261">
        <f>TRUNC(D15*E15,2)</f>
        <v>28.25</v>
      </c>
    </row>
    <row r="16" spans="1:6" ht="15.75" thickBot="1">
      <c r="A16" s="1135"/>
      <c r="B16" s="1136"/>
      <c r="C16" s="1137"/>
      <c r="D16" s="1138"/>
      <c r="E16" s="1040" t="s">
        <v>58</v>
      </c>
      <c r="F16" s="984">
        <f>SUM(F15:F15)</f>
        <v>28.25</v>
      </c>
    </row>
    <row r="17" spans="1:6" ht="15.75" thickBot="1">
      <c r="A17" s="87"/>
      <c r="B17" s="2044" t="s">
        <v>53</v>
      </c>
      <c r="C17" s="2045"/>
      <c r="D17" s="2045"/>
      <c r="E17" s="2046"/>
      <c r="F17" s="90">
        <f>F13+F16</f>
        <v>35.230000000000004</v>
      </c>
    </row>
    <row r="18" spans="1:6" ht="15.75" thickBot="1"/>
    <row r="19" spans="1:6" ht="26.25" thickBot="1">
      <c r="A19" s="258" t="s">
        <v>471</v>
      </c>
      <c r="B19" s="259" t="s">
        <v>2355</v>
      </c>
      <c r="C19" s="82" t="s">
        <v>55</v>
      </c>
      <c r="D19" s="107"/>
      <c r="E19" s="107"/>
      <c r="F19" s="108"/>
    </row>
    <row r="20" spans="1:6">
      <c r="A20" s="2057" t="s">
        <v>1502</v>
      </c>
      <c r="B20" s="2058"/>
      <c r="C20" s="2058"/>
      <c r="D20" s="2058"/>
      <c r="E20" s="2058"/>
      <c r="F20" s="2059"/>
    </row>
    <row r="21" spans="1:6" ht="30">
      <c r="A21" s="1476"/>
      <c r="B21" s="1477" t="s">
        <v>48</v>
      </c>
      <c r="C21" s="1478" t="s">
        <v>49</v>
      </c>
      <c r="D21" s="1479" t="s">
        <v>50</v>
      </c>
      <c r="E21" s="1480" t="s">
        <v>51</v>
      </c>
      <c r="F21" s="30" t="s">
        <v>52</v>
      </c>
    </row>
    <row r="22" spans="1:6">
      <c r="A22" s="1292">
        <v>88264</v>
      </c>
      <c r="B22" s="1481" t="s">
        <v>94</v>
      </c>
      <c r="C22" s="1293" t="s">
        <v>57</v>
      </c>
      <c r="D22" s="1428">
        <v>0.2</v>
      </c>
      <c r="E22" s="1278">
        <v>25.54</v>
      </c>
      <c r="F22" s="261">
        <f>TRUNC(D22*E22,2)</f>
        <v>5.0999999999999996</v>
      </c>
    </row>
    <row r="23" spans="1:6" ht="25.5">
      <c r="A23" s="1429">
        <v>88247</v>
      </c>
      <c r="B23" s="1481" t="s">
        <v>93</v>
      </c>
      <c r="C23" s="1293" t="s">
        <v>57</v>
      </c>
      <c r="D23" s="1428">
        <v>0.2</v>
      </c>
      <c r="E23" s="1001">
        <v>21</v>
      </c>
      <c r="F23" s="261">
        <f>TRUNC(D23*E23,2)</f>
        <v>4.2</v>
      </c>
    </row>
    <row r="24" spans="1:6">
      <c r="A24" s="1482"/>
      <c r="B24" s="1483"/>
      <c r="C24" s="1484"/>
      <c r="D24" s="1485"/>
      <c r="E24" s="1040" t="s">
        <v>58</v>
      </c>
      <c r="F24" s="262">
        <f>SUM(F22:F23)</f>
        <v>9.3000000000000007</v>
      </c>
    </row>
    <row r="25" spans="1:6" ht="30">
      <c r="A25" s="1296"/>
      <c r="B25" s="981" t="s">
        <v>95</v>
      </c>
      <c r="C25" s="1419" t="s">
        <v>49</v>
      </c>
      <c r="D25" s="1420" t="s">
        <v>50</v>
      </c>
      <c r="E25" s="1267" t="s">
        <v>62</v>
      </c>
      <c r="F25" s="38" t="s">
        <v>52</v>
      </c>
    </row>
    <row r="26" spans="1:6">
      <c r="A26" s="1429" t="s">
        <v>65</v>
      </c>
      <c r="B26" s="1487" t="s">
        <v>2356</v>
      </c>
      <c r="C26" s="1293" t="s">
        <v>55</v>
      </c>
      <c r="D26" s="1294">
        <v>1</v>
      </c>
      <c r="E26" s="1001">
        <f>C34</f>
        <v>39.909999999999997</v>
      </c>
      <c r="F26" s="261">
        <f>TRUNC(D26*E26,2)</f>
        <v>39.909999999999997</v>
      </c>
    </row>
    <row r="27" spans="1:6" ht="15.75" thickBot="1">
      <c r="A27" s="1135"/>
      <c r="B27" s="1136"/>
      <c r="C27" s="1137"/>
      <c r="D27" s="1138"/>
      <c r="E27" s="1040" t="s">
        <v>58</v>
      </c>
      <c r="F27" s="1154">
        <f>SUM(F26:F26)</f>
        <v>39.909999999999997</v>
      </c>
    </row>
    <row r="28" spans="1:6" ht="15.75" thickBot="1">
      <c r="A28" s="87"/>
      <c r="B28" s="2044" t="s">
        <v>53</v>
      </c>
      <c r="C28" s="2045"/>
      <c r="D28" s="2045"/>
      <c r="E28" s="2046"/>
      <c r="F28" s="90">
        <f>F24+F27</f>
        <v>49.209999999999994</v>
      </c>
    </row>
    <row r="29" spans="1:6">
      <c r="A29" s="88"/>
      <c r="B29" s="2047" t="s">
        <v>96</v>
      </c>
      <c r="C29" s="2048"/>
      <c r="D29" s="2048"/>
      <c r="E29" s="2049"/>
      <c r="F29" s="89"/>
    </row>
    <row r="30" spans="1:6" ht="25.5">
      <c r="A30" s="1266" t="s">
        <v>59</v>
      </c>
      <c r="B30" s="1267" t="s">
        <v>97</v>
      </c>
      <c r="C30" s="1268" t="s">
        <v>98</v>
      </c>
      <c r="D30" s="2039" t="s">
        <v>60</v>
      </c>
      <c r="E30" s="2040"/>
      <c r="F30" s="76" t="s">
        <v>99</v>
      </c>
    </row>
    <row r="31" spans="1:6">
      <c r="A31" s="1246">
        <v>44869</v>
      </c>
      <c r="B31" s="1247" t="s">
        <v>2082</v>
      </c>
      <c r="C31" s="1248">
        <v>21.52</v>
      </c>
      <c r="D31" s="1981" t="s">
        <v>2080</v>
      </c>
      <c r="E31" s="1982"/>
      <c r="F31" s="961" t="s">
        <v>2081</v>
      </c>
    </row>
    <row r="32" spans="1:6">
      <c r="A32" s="1246">
        <v>44886</v>
      </c>
      <c r="B32" s="1247" t="s">
        <v>2212</v>
      </c>
      <c r="C32" s="1248">
        <v>39.909999999999997</v>
      </c>
      <c r="D32" s="1981" t="s">
        <v>2213</v>
      </c>
      <c r="E32" s="1982"/>
      <c r="F32" s="961" t="s">
        <v>2214</v>
      </c>
    </row>
    <row r="33" spans="1:6">
      <c r="A33" s="1246">
        <v>44887</v>
      </c>
      <c r="B33" s="1247" t="s">
        <v>2215</v>
      </c>
      <c r="C33" s="1248">
        <v>67.38</v>
      </c>
      <c r="D33" s="1981" t="s">
        <v>2216</v>
      </c>
      <c r="E33" s="1982"/>
      <c r="F33" s="961" t="s">
        <v>2217</v>
      </c>
    </row>
    <row r="34" spans="1:6" ht="15.75" thickBot="1">
      <c r="A34" s="63"/>
      <c r="B34" s="1488" t="s">
        <v>61</v>
      </c>
      <c r="C34" s="1354">
        <f>MEDIAN(C31:C33)</f>
        <v>39.909999999999997</v>
      </c>
      <c r="D34" s="2036"/>
      <c r="E34" s="2037"/>
      <c r="F34" s="65"/>
    </row>
    <row r="35" spans="1:6" ht="15.75" thickBot="1"/>
    <row r="36" spans="1:6" ht="15.75" thickBot="1">
      <c r="A36" s="258" t="s">
        <v>472</v>
      </c>
      <c r="B36" s="259" t="s">
        <v>1482</v>
      </c>
      <c r="C36" s="82" t="s">
        <v>55</v>
      </c>
      <c r="D36" s="107"/>
      <c r="E36" s="107"/>
      <c r="F36" s="108"/>
    </row>
    <row r="37" spans="1:6">
      <c r="A37" s="2057" t="s">
        <v>473</v>
      </c>
      <c r="B37" s="2058"/>
      <c r="C37" s="2058"/>
      <c r="D37" s="2058"/>
      <c r="E37" s="2058"/>
      <c r="F37" s="2059"/>
    </row>
    <row r="38" spans="1:6" ht="30">
      <c r="A38" s="1476"/>
      <c r="B38" s="1477" t="s">
        <v>48</v>
      </c>
      <c r="C38" s="1478" t="s">
        <v>49</v>
      </c>
      <c r="D38" s="1479" t="s">
        <v>50</v>
      </c>
      <c r="E38" s="1480" t="s">
        <v>51</v>
      </c>
      <c r="F38" s="30" t="s">
        <v>52</v>
      </c>
    </row>
    <row r="39" spans="1:6">
      <c r="A39" s="1292">
        <v>88264</v>
      </c>
      <c r="B39" s="1481" t="s">
        <v>94</v>
      </c>
      <c r="C39" s="1293" t="s">
        <v>57</v>
      </c>
      <c r="D39" s="1489">
        <v>0.2</v>
      </c>
      <c r="E39" s="1278">
        <v>25.54</v>
      </c>
      <c r="F39" s="32">
        <f>TRUNC(D39*E39,2)</f>
        <v>5.0999999999999996</v>
      </c>
    </row>
    <row r="40" spans="1:6">
      <c r="A40" s="1482"/>
      <c r="B40" s="1483"/>
      <c r="C40" s="1484"/>
      <c r="D40" s="1485"/>
      <c r="E40" s="1040" t="s">
        <v>58</v>
      </c>
      <c r="F40" s="33">
        <f>SUM(F39:F39)</f>
        <v>5.0999999999999996</v>
      </c>
    </row>
    <row r="41" spans="1:6" ht="30">
      <c r="A41" s="1296"/>
      <c r="B41" s="981" t="s">
        <v>95</v>
      </c>
      <c r="C41" s="1419" t="s">
        <v>49</v>
      </c>
      <c r="D41" s="1420" t="s">
        <v>50</v>
      </c>
      <c r="E41" s="1267" t="s">
        <v>62</v>
      </c>
      <c r="F41" s="38" t="s">
        <v>52</v>
      </c>
    </row>
    <row r="42" spans="1:6">
      <c r="A42" s="1429" t="s">
        <v>65</v>
      </c>
      <c r="B42" s="1486" t="s">
        <v>474</v>
      </c>
      <c r="C42" s="1293" t="s">
        <v>55</v>
      </c>
      <c r="D42" s="1490">
        <v>1</v>
      </c>
      <c r="E42" s="1139">
        <f>C50</f>
        <v>158.51</v>
      </c>
      <c r="F42" s="32">
        <f>TRUNC(D42*E42,2)</f>
        <v>158.51</v>
      </c>
    </row>
    <row r="43" spans="1:6" ht="15.75" thickBot="1">
      <c r="A43" s="1135"/>
      <c r="B43" s="1136"/>
      <c r="C43" s="1137"/>
      <c r="D43" s="1138"/>
      <c r="E43" s="1040" t="s">
        <v>58</v>
      </c>
      <c r="F43" s="984">
        <f>SUM(F42:F42)</f>
        <v>158.51</v>
      </c>
    </row>
    <row r="44" spans="1:6" ht="15.75" thickBot="1">
      <c r="A44" s="87"/>
      <c r="B44" s="2044" t="s">
        <v>53</v>
      </c>
      <c r="C44" s="2045"/>
      <c r="D44" s="2045"/>
      <c r="E44" s="2046"/>
      <c r="F44" s="90">
        <f>F40+F43</f>
        <v>163.60999999999999</v>
      </c>
    </row>
    <row r="45" spans="1:6">
      <c r="A45" s="88"/>
      <c r="B45" s="2047" t="s">
        <v>96</v>
      </c>
      <c r="C45" s="2048"/>
      <c r="D45" s="2048"/>
      <c r="E45" s="2049"/>
      <c r="F45" s="89"/>
    </row>
    <row r="46" spans="1:6" ht="25.5">
      <c r="A46" s="1266" t="s">
        <v>59</v>
      </c>
      <c r="B46" s="1267" t="s">
        <v>97</v>
      </c>
      <c r="C46" s="1268" t="s">
        <v>98</v>
      </c>
      <c r="D46" s="2039" t="s">
        <v>60</v>
      </c>
      <c r="E46" s="2040"/>
      <c r="F46" s="76" t="s">
        <v>99</v>
      </c>
    </row>
    <row r="47" spans="1:6">
      <c r="A47" s="1246">
        <v>44861</v>
      </c>
      <c r="B47" s="1247" t="s">
        <v>2218</v>
      </c>
      <c r="C47" s="1248">
        <f>135.85+22.66</f>
        <v>158.51</v>
      </c>
      <c r="D47" s="1981" t="s">
        <v>2111</v>
      </c>
      <c r="E47" s="1982"/>
      <c r="F47" s="1282" t="s">
        <v>2219</v>
      </c>
    </row>
    <row r="48" spans="1:6">
      <c r="A48" s="1246">
        <v>44869</v>
      </c>
      <c r="B48" s="1247" t="s">
        <v>2082</v>
      </c>
      <c r="C48" s="1248">
        <v>170.03</v>
      </c>
      <c r="D48" s="1981" t="s">
        <v>2080</v>
      </c>
      <c r="E48" s="1982"/>
      <c r="F48" s="961" t="s">
        <v>2081</v>
      </c>
    </row>
    <row r="49" spans="1:6">
      <c r="A49" s="1246">
        <v>44869</v>
      </c>
      <c r="B49" s="1247" t="s">
        <v>2220</v>
      </c>
      <c r="C49" s="1248">
        <f>49.9+20.77</f>
        <v>70.67</v>
      </c>
      <c r="D49" s="1981" t="s">
        <v>2090</v>
      </c>
      <c r="E49" s="1982"/>
      <c r="F49" s="1283" t="s">
        <v>2221</v>
      </c>
    </row>
    <row r="50" spans="1:6" ht="15.75" thickBot="1">
      <c r="A50" s="63"/>
      <c r="B50" s="1488" t="s">
        <v>61</v>
      </c>
      <c r="C50" s="1491">
        <f>MEDIAN(C47:C49)</f>
        <v>158.51</v>
      </c>
      <c r="D50" s="2036"/>
      <c r="E50" s="2037"/>
      <c r="F50" s="65"/>
    </row>
    <row r="51" spans="1:6" ht="15.75" thickBot="1"/>
    <row r="52" spans="1:6" ht="15.75" thickBot="1">
      <c r="A52" s="258" t="s">
        <v>475</v>
      </c>
      <c r="B52" s="259" t="s">
        <v>1481</v>
      </c>
      <c r="C52" s="82" t="s">
        <v>55</v>
      </c>
      <c r="D52" s="107"/>
      <c r="E52" s="107"/>
      <c r="F52" s="108"/>
    </row>
    <row r="53" spans="1:6">
      <c r="A53" s="2057" t="s">
        <v>473</v>
      </c>
      <c r="B53" s="2058"/>
      <c r="C53" s="2058"/>
      <c r="D53" s="2058"/>
      <c r="E53" s="2058"/>
      <c r="F53" s="2059"/>
    </row>
    <row r="54" spans="1:6" ht="30">
      <c r="A54" s="1476"/>
      <c r="B54" s="1477" t="s">
        <v>48</v>
      </c>
      <c r="C54" s="1478" t="s">
        <v>49</v>
      </c>
      <c r="D54" s="1479" t="s">
        <v>50</v>
      </c>
      <c r="E54" s="1480" t="s">
        <v>51</v>
      </c>
      <c r="F54" s="30" t="s">
        <v>52</v>
      </c>
    </row>
    <row r="55" spans="1:6">
      <c r="A55" s="1292">
        <v>88264</v>
      </c>
      <c r="B55" s="1481" t="s">
        <v>94</v>
      </c>
      <c r="C55" s="1293" t="s">
        <v>57</v>
      </c>
      <c r="D55" s="1428">
        <v>0.2</v>
      </c>
      <c r="E55" s="1278">
        <v>25.54</v>
      </c>
      <c r="F55" s="261">
        <f>TRUNC(D55*E55,2)</f>
        <v>5.0999999999999996</v>
      </c>
    </row>
    <row r="56" spans="1:6">
      <c r="A56" s="1482"/>
      <c r="B56" s="1483"/>
      <c r="C56" s="1484"/>
      <c r="D56" s="1485"/>
      <c r="E56" s="1040" t="s">
        <v>58</v>
      </c>
      <c r="F56" s="262">
        <f>SUM(F55:F55)</f>
        <v>5.0999999999999996</v>
      </c>
    </row>
    <row r="57" spans="1:6" ht="30">
      <c r="A57" s="1296"/>
      <c r="B57" s="981" t="s">
        <v>95</v>
      </c>
      <c r="C57" s="1419" t="s">
        <v>49</v>
      </c>
      <c r="D57" s="1420" t="s">
        <v>50</v>
      </c>
      <c r="E57" s="1267" t="s">
        <v>62</v>
      </c>
      <c r="F57" s="38" t="s">
        <v>52</v>
      </c>
    </row>
    <row r="58" spans="1:6">
      <c r="A58" s="1429" t="s">
        <v>65</v>
      </c>
      <c r="B58" s="1247" t="s">
        <v>1481</v>
      </c>
      <c r="C58" s="1293" t="s">
        <v>55</v>
      </c>
      <c r="D58" s="1490">
        <v>1</v>
      </c>
      <c r="E58" s="1001">
        <f>C66</f>
        <v>52.83</v>
      </c>
      <c r="F58" s="261">
        <f>TRUNC(D58*E58,2)</f>
        <v>52.83</v>
      </c>
    </row>
    <row r="59" spans="1:6" ht="15.75" thickBot="1">
      <c r="A59" s="1135"/>
      <c r="B59" s="1136"/>
      <c r="C59" s="1137"/>
      <c r="D59" s="1138"/>
      <c r="E59" s="1040" t="s">
        <v>58</v>
      </c>
      <c r="F59" s="1154">
        <f>SUM(F58:F58)</f>
        <v>52.83</v>
      </c>
    </row>
    <row r="60" spans="1:6" ht="15.75" thickBot="1">
      <c r="A60" s="87"/>
      <c r="B60" s="2044" t="s">
        <v>53</v>
      </c>
      <c r="C60" s="2045"/>
      <c r="D60" s="2045"/>
      <c r="E60" s="2046"/>
      <c r="F60" s="264">
        <f>F56+F59</f>
        <v>57.93</v>
      </c>
    </row>
    <row r="61" spans="1:6">
      <c r="A61" s="88"/>
      <c r="B61" s="2047" t="s">
        <v>96</v>
      </c>
      <c r="C61" s="2048"/>
      <c r="D61" s="2048"/>
      <c r="E61" s="2049"/>
      <c r="F61" s="89"/>
    </row>
    <row r="62" spans="1:6" ht="25.5">
      <c r="A62" s="1266" t="s">
        <v>59</v>
      </c>
      <c r="B62" s="1267" t="s">
        <v>97</v>
      </c>
      <c r="C62" s="1268" t="s">
        <v>98</v>
      </c>
      <c r="D62" s="2039" t="s">
        <v>60</v>
      </c>
      <c r="E62" s="2040"/>
      <c r="F62" s="76" t="s">
        <v>99</v>
      </c>
    </row>
    <row r="63" spans="1:6">
      <c r="A63" s="1246">
        <v>44859</v>
      </c>
      <c r="B63" s="1247" t="s">
        <v>2222</v>
      </c>
      <c r="C63" s="1248">
        <f>28.41+24.42</f>
        <v>52.83</v>
      </c>
      <c r="D63" s="1981" t="s">
        <v>2223</v>
      </c>
      <c r="E63" s="1982"/>
      <c r="F63" s="62" t="s">
        <v>2083</v>
      </c>
    </row>
    <row r="64" spans="1:6">
      <c r="A64" s="1246">
        <v>44881</v>
      </c>
      <c r="B64" s="1247" t="s">
        <v>2224</v>
      </c>
      <c r="C64" s="1248">
        <v>46.38</v>
      </c>
      <c r="D64" s="1981" t="s">
        <v>2223</v>
      </c>
      <c r="E64" s="1982"/>
      <c r="F64" s="1284" t="s">
        <v>2225</v>
      </c>
    </row>
    <row r="65" spans="1:6">
      <c r="A65" s="1246">
        <v>44886</v>
      </c>
      <c r="B65" s="1247" t="s">
        <v>2226</v>
      </c>
      <c r="C65" s="1248">
        <v>68.709999999999994</v>
      </c>
      <c r="D65" s="1981" t="s">
        <v>2227</v>
      </c>
      <c r="E65" s="1982"/>
      <c r="F65" s="1284" t="s">
        <v>2228</v>
      </c>
    </row>
    <row r="66" spans="1:6" ht="15.75" thickBot="1">
      <c r="A66" s="63"/>
      <c r="B66" s="1488" t="s">
        <v>61</v>
      </c>
      <c r="C66" s="1354">
        <f>MEDIAN(C63:C65)</f>
        <v>52.83</v>
      </c>
      <c r="D66" s="2036"/>
      <c r="E66" s="2037"/>
      <c r="F66" s="65"/>
    </row>
    <row r="67" spans="1:6" ht="15.75" thickBot="1"/>
    <row r="68" spans="1:6" ht="15.75" thickBot="1">
      <c r="A68" s="258" t="s">
        <v>477</v>
      </c>
      <c r="B68" s="259" t="s">
        <v>2122</v>
      </c>
      <c r="C68" s="82" t="s">
        <v>55</v>
      </c>
      <c r="D68" s="107"/>
      <c r="E68" s="107"/>
      <c r="F68" s="108"/>
    </row>
    <row r="69" spans="1:6">
      <c r="A69" s="2057" t="s">
        <v>476</v>
      </c>
      <c r="B69" s="2058"/>
      <c r="C69" s="2058"/>
      <c r="D69" s="2058"/>
      <c r="E69" s="2058"/>
      <c r="F69" s="2059"/>
    </row>
    <row r="70" spans="1:6" ht="30">
      <c r="A70" s="1476"/>
      <c r="B70" s="1477" t="s">
        <v>48</v>
      </c>
      <c r="C70" s="1478" t="s">
        <v>49</v>
      </c>
      <c r="D70" s="1479" t="s">
        <v>50</v>
      </c>
      <c r="E70" s="1480" t="s">
        <v>51</v>
      </c>
      <c r="F70" s="30" t="s">
        <v>52</v>
      </c>
    </row>
    <row r="71" spans="1:6">
      <c r="A71" s="1292">
        <v>88264</v>
      </c>
      <c r="B71" s="1481" t="s">
        <v>94</v>
      </c>
      <c r="C71" s="1293" t="s">
        <v>57</v>
      </c>
      <c r="D71" s="1428">
        <v>1</v>
      </c>
      <c r="E71" s="1278">
        <v>25.54</v>
      </c>
      <c r="F71" s="261">
        <f>TRUNC(D71*E71,2)</f>
        <v>25.54</v>
      </c>
    </row>
    <row r="72" spans="1:6" ht="25.5">
      <c r="A72" s="1429">
        <v>88247</v>
      </c>
      <c r="B72" s="1481" t="s">
        <v>93</v>
      </c>
      <c r="C72" s="1293" t="s">
        <v>57</v>
      </c>
      <c r="D72" s="1428">
        <v>1</v>
      </c>
      <c r="E72" s="1001">
        <v>21</v>
      </c>
      <c r="F72" s="261">
        <f>TRUNC(D72*E72,2)</f>
        <v>21</v>
      </c>
    </row>
    <row r="73" spans="1:6">
      <c r="A73" s="1482"/>
      <c r="B73" s="1483"/>
      <c r="C73" s="1484"/>
      <c r="D73" s="1485"/>
      <c r="E73" s="1040" t="s">
        <v>58</v>
      </c>
      <c r="F73" s="33">
        <f>SUM(F71:F72)</f>
        <v>46.54</v>
      </c>
    </row>
    <row r="74" spans="1:6" ht="30">
      <c r="A74" s="1492"/>
      <c r="B74" s="981" t="s">
        <v>95</v>
      </c>
      <c r="C74" s="986" t="s">
        <v>49</v>
      </c>
      <c r="D74" s="1420" t="s">
        <v>50</v>
      </c>
      <c r="E74" s="1267" t="s">
        <v>62</v>
      </c>
      <c r="F74" s="38" t="s">
        <v>52</v>
      </c>
    </row>
    <row r="75" spans="1:6">
      <c r="A75" s="1429" t="s">
        <v>65</v>
      </c>
      <c r="B75" s="1493" t="s">
        <v>1091</v>
      </c>
      <c r="C75" s="1293" t="s">
        <v>55</v>
      </c>
      <c r="D75" s="1294">
        <v>1</v>
      </c>
      <c r="E75" s="1001">
        <f>C83</f>
        <v>2104.31</v>
      </c>
      <c r="F75" s="261">
        <f>TRUNC(D75*E75,2)</f>
        <v>2104.31</v>
      </c>
    </row>
    <row r="76" spans="1:6" ht="15.75" thickBot="1">
      <c r="A76" s="1135"/>
      <c r="B76" s="1136"/>
      <c r="C76" s="1137"/>
      <c r="D76" s="1138"/>
      <c r="E76" s="1040" t="s">
        <v>58</v>
      </c>
      <c r="F76" s="1154">
        <f>SUM(F75:F75)</f>
        <v>2104.31</v>
      </c>
    </row>
    <row r="77" spans="1:6" ht="15.75" thickBot="1">
      <c r="A77" s="87"/>
      <c r="B77" s="2044" t="s">
        <v>53</v>
      </c>
      <c r="C77" s="2045"/>
      <c r="D77" s="2045"/>
      <c r="E77" s="2046"/>
      <c r="F77" s="264">
        <f>F73+F76</f>
        <v>2150.85</v>
      </c>
    </row>
    <row r="78" spans="1:6">
      <c r="A78" s="88"/>
      <c r="B78" s="2047" t="s">
        <v>96</v>
      </c>
      <c r="C78" s="2048"/>
      <c r="D78" s="2048"/>
      <c r="E78" s="2049"/>
      <c r="F78" s="89"/>
    </row>
    <row r="79" spans="1:6" ht="25.5">
      <c r="A79" s="1266" t="s">
        <v>59</v>
      </c>
      <c r="B79" s="1267" t="s">
        <v>97</v>
      </c>
      <c r="C79" s="1268" t="s">
        <v>98</v>
      </c>
      <c r="D79" s="2039" t="s">
        <v>60</v>
      </c>
      <c r="E79" s="2040"/>
      <c r="F79" s="76" t="s">
        <v>99</v>
      </c>
    </row>
    <row r="80" spans="1:6">
      <c r="A80" s="1246">
        <v>44859</v>
      </c>
      <c r="B80" s="1247" t="s">
        <v>2222</v>
      </c>
      <c r="C80" s="1248">
        <f>2048.11+56.2</f>
        <v>2104.31</v>
      </c>
      <c r="D80" s="1981" t="s">
        <v>2223</v>
      </c>
      <c r="E80" s="1982"/>
      <c r="F80" s="62" t="s">
        <v>2083</v>
      </c>
    </row>
    <row r="81" spans="1:6" ht="24">
      <c r="A81" s="1246">
        <v>44868</v>
      </c>
      <c r="B81" s="1247" t="s">
        <v>2229</v>
      </c>
      <c r="C81" s="1248">
        <v>1596.3</v>
      </c>
      <c r="D81" s="1981" t="s">
        <v>2230</v>
      </c>
      <c r="E81" s="1982"/>
      <c r="F81" s="1282" t="s">
        <v>2231</v>
      </c>
    </row>
    <row r="82" spans="1:6">
      <c r="A82" s="1246">
        <v>44869</v>
      </c>
      <c r="B82" s="1247" t="s">
        <v>2082</v>
      </c>
      <c r="C82" s="1248">
        <v>2441.98</v>
      </c>
      <c r="D82" s="1981" t="s">
        <v>2080</v>
      </c>
      <c r="E82" s="1982"/>
      <c r="F82" s="961" t="s">
        <v>2081</v>
      </c>
    </row>
    <row r="83" spans="1:6" ht="15.75" thickBot="1">
      <c r="A83" s="63"/>
      <c r="B83" s="1488" t="s">
        <v>61</v>
      </c>
      <c r="C83" s="1491">
        <f>MEDIAN(C80:C82)</f>
        <v>2104.31</v>
      </c>
      <c r="D83" s="2036"/>
      <c r="E83" s="2037"/>
      <c r="F83" s="65"/>
    </row>
    <row r="84" spans="1:6" ht="15.75" thickBot="1"/>
    <row r="85" spans="1:6" ht="15.75" thickBot="1">
      <c r="A85" s="258" t="s">
        <v>480</v>
      </c>
      <c r="B85" s="259" t="s">
        <v>478</v>
      </c>
      <c r="C85" s="82" t="s">
        <v>55</v>
      </c>
      <c r="D85" s="107"/>
      <c r="E85" s="107"/>
      <c r="F85" s="108"/>
    </row>
    <row r="86" spans="1:6">
      <c r="A86" s="2041" t="s">
        <v>479</v>
      </c>
      <c r="B86" s="2042"/>
      <c r="C86" s="2042"/>
      <c r="D86" s="2042"/>
      <c r="E86" s="2042"/>
      <c r="F86" s="2043"/>
    </row>
    <row r="87" spans="1:6" ht="30">
      <c r="A87" s="1476"/>
      <c r="B87" s="1477" t="s">
        <v>48</v>
      </c>
      <c r="C87" s="1478" t="s">
        <v>49</v>
      </c>
      <c r="D87" s="1479" t="s">
        <v>50</v>
      </c>
      <c r="E87" s="1480" t="s">
        <v>51</v>
      </c>
      <c r="F87" s="30" t="s">
        <v>52</v>
      </c>
    </row>
    <row r="88" spans="1:6">
      <c r="A88" s="1292">
        <v>88264</v>
      </c>
      <c r="B88" s="1481" t="s">
        <v>94</v>
      </c>
      <c r="C88" s="1293" t="s">
        <v>57</v>
      </c>
      <c r="D88" s="1489">
        <v>0.08</v>
      </c>
      <c r="E88" s="1278">
        <v>25.54</v>
      </c>
      <c r="F88" s="32">
        <f>TRUNC(D88*E88,2)</f>
        <v>2.04</v>
      </c>
    </row>
    <row r="89" spans="1:6" ht="25.5">
      <c r="A89" s="1429">
        <v>88247</v>
      </c>
      <c r="B89" s="1481" t="s">
        <v>93</v>
      </c>
      <c r="C89" s="1293" t="s">
        <v>57</v>
      </c>
      <c r="D89" s="1489">
        <v>1</v>
      </c>
      <c r="E89" s="1001">
        <v>21</v>
      </c>
      <c r="F89" s="32">
        <f>TRUNC(D89*E89,2)</f>
        <v>21</v>
      </c>
    </row>
    <row r="90" spans="1:6">
      <c r="A90" s="1482"/>
      <c r="B90" s="1483"/>
      <c r="C90" s="1484"/>
      <c r="D90" s="1485"/>
      <c r="E90" s="1040" t="s">
        <v>58</v>
      </c>
      <c r="F90" s="33">
        <f>SUM(F88:F89)</f>
        <v>23.04</v>
      </c>
    </row>
    <row r="91" spans="1:6" ht="30">
      <c r="A91" s="1492"/>
      <c r="B91" s="981" t="s">
        <v>95</v>
      </c>
      <c r="C91" s="1419" t="s">
        <v>49</v>
      </c>
      <c r="D91" s="1420" t="s">
        <v>50</v>
      </c>
      <c r="E91" s="1267" t="s">
        <v>62</v>
      </c>
      <c r="F91" s="38" t="s">
        <v>52</v>
      </c>
    </row>
    <row r="92" spans="1:6">
      <c r="A92" s="1429" t="s">
        <v>65</v>
      </c>
      <c r="B92" s="1247" t="s">
        <v>478</v>
      </c>
      <c r="C92" s="1293" t="s">
        <v>55</v>
      </c>
      <c r="D92" s="1490">
        <v>1</v>
      </c>
      <c r="E92" s="1139">
        <f>C100</f>
        <v>28.34</v>
      </c>
      <c r="F92" s="32">
        <f>TRUNC(D92*E92,2)</f>
        <v>28.34</v>
      </c>
    </row>
    <row r="93" spans="1:6" ht="15.75" thickBot="1">
      <c r="A93" s="1135"/>
      <c r="B93" s="1136"/>
      <c r="C93" s="1137"/>
      <c r="D93" s="1138"/>
      <c r="E93" s="1040" t="s">
        <v>58</v>
      </c>
      <c r="F93" s="984">
        <f>SUM(F92:F92)</f>
        <v>28.34</v>
      </c>
    </row>
    <row r="94" spans="1:6" ht="15.75" thickBot="1">
      <c r="A94" s="87"/>
      <c r="B94" s="2044" t="s">
        <v>53</v>
      </c>
      <c r="C94" s="2045"/>
      <c r="D94" s="2045"/>
      <c r="E94" s="2046"/>
      <c r="F94" s="90">
        <f>F90+F93</f>
        <v>51.379999999999995</v>
      </c>
    </row>
    <row r="95" spans="1:6">
      <c r="A95" s="88"/>
      <c r="B95" s="2047" t="s">
        <v>96</v>
      </c>
      <c r="C95" s="2048"/>
      <c r="D95" s="2048"/>
      <c r="E95" s="2049"/>
      <c r="F95" s="89"/>
    </row>
    <row r="96" spans="1:6" ht="25.5">
      <c r="A96" s="1266" t="s">
        <v>59</v>
      </c>
      <c r="B96" s="1267" t="s">
        <v>97</v>
      </c>
      <c r="C96" s="1268" t="s">
        <v>98</v>
      </c>
      <c r="D96" s="2039" t="s">
        <v>60</v>
      </c>
      <c r="E96" s="2040"/>
      <c r="F96" s="76" t="s">
        <v>99</v>
      </c>
    </row>
    <row r="97" spans="1:6">
      <c r="A97" s="1246">
        <v>44869</v>
      </c>
      <c r="B97" s="1247" t="s">
        <v>2082</v>
      </c>
      <c r="C97" s="1248">
        <v>18.86</v>
      </c>
      <c r="D97" s="1981" t="s">
        <v>2080</v>
      </c>
      <c r="E97" s="1982"/>
      <c r="F97" s="1284" t="s">
        <v>2081</v>
      </c>
    </row>
    <row r="98" spans="1:6">
      <c r="A98" s="1246">
        <v>44872</v>
      </c>
      <c r="B98" s="1247" t="s">
        <v>2232</v>
      </c>
      <c r="C98" s="1248">
        <v>60.84</v>
      </c>
      <c r="D98" s="1981" t="s">
        <v>2080</v>
      </c>
      <c r="E98" s="1982"/>
      <c r="F98" s="1284" t="s">
        <v>2233</v>
      </c>
    </row>
    <row r="99" spans="1:6">
      <c r="A99" s="1246">
        <v>44888</v>
      </c>
      <c r="B99" s="1247" t="s">
        <v>2234</v>
      </c>
      <c r="C99" s="1248">
        <v>28.34</v>
      </c>
      <c r="D99" s="1981" t="s">
        <v>2235</v>
      </c>
      <c r="E99" s="1982"/>
      <c r="F99" s="1284" t="s">
        <v>2236</v>
      </c>
    </row>
    <row r="100" spans="1:6" ht="15.75" thickBot="1">
      <c r="A100" s="63"/>
      <c r="B100" s="1488" t="s">
        <v>61</v>
      </c>
      <c r="C100" s="1354">
        <f>MEDIAN(C97:C99)</f>
        <v>28.34</v>
      </c>
      <c r="D100" s="2036"/>
      <c r="E100" s="2037"/>
      <c r="F100" s="65"/>
    </row>
    <row r="101" spans="1:6" ht="15.75" thickBot="1"/>
    <row r="102" spans="1:6" ht="15.75" thickBot="1">
      <c r="A102" s="258" t="s">
        <v>482</v>
      </c>
      <c r="B102" s="259" t="s">
        <v>481</v>
      </c>
      <c r="C102" s="82" t="s">
        <v>55</v>
      </c>
      <c r="D102" s="107"/>
      <c r="E102" s="107"/>
      <c r="F102" s="108"/>
    </row>
    <row r="103" spans="1:6">
      <c r="A103" s="2041" t="s">
        <v>479</v>
      </c>
      <c r="B103" s="2042"/>
      <c r="C103" s="2042"/>
      <c r="D103" s="2042"/>
      <c r="E103" s="2042"/>
      <c r="F103" s="2043"/>
    </row>
    <row r="104" spans="1:6" ht="30">
      <c r="A104" s="1476"/>
      <c r="B104" s="1477" t="s">
        <v>48</v>
      </c>
      <c r="C104" s="1478" t="s">
        <v>49</v>
      </c>
      <c r="D104" s="1479" t="s">
        <v>50</v>
      </c>
      <c r="E104" s="1480" t="s">
        <v>51</v>
      </c>
      <c r="F104" s="30" t="s">
        <v>52</v>
      </c>
    </row>
    <row r="105" spans="1:6">
      <c r="A105" s="1292">
        <v>88264</v>
      </c>
      <c r="B105" s="1481" t="s">
        <v>94</v>
      </c>
      <c r="C105" s="1293" t="s">
        <v>57</v>
      </c>
      <c r="D105" s="1489">
        <v>0.08</v>
      </c>
      <c r="E105" s="1278">
        <v>25.54</v>
      </c>
      <c r="F105" s="32">
        <f>TRUNC(D105*E105,2)</f>
        <v>2.04</v>
      </c>
    </row>
    <row r="106" spans="1:6" ht="25.5">
      <c r="A106" s="1429">
        <v>88247</v>
      </c>
      <c r="B106" s="1481" t="s">
        <v>93</v>
      </c>
      <c r="C106" s="1293" t="s">
        <v>57</v>
      </c>
      <c r="D106" s="1489">
        <v>1</v>
      </c>
      <c r="E106" s="1278">
        <v>21</v>
      </c>
      <c r="F106" s="32">
        <f>TRUNC(D106*E106,2)</f>
        <v>21</v>
      </c>
    </row>
    <row r="107" spans="1:6">
      <c r="A107" s="1494"/>
      <c r="B107" s="1495"/>
      <c r="C107" s="1496"/>
      <c r="D107" s="1497"/>
      <c r="E107" s="1498" t="s">
        <v>58</v>
      </c>
      <c r="F107" s="1499">
        <f>SUM(F105:F106)</f>
        <v>23.04</v>
      </c>
    </row>
    <row r="108" spans="1:6" ht="30">
      <c r="A108" s="1492"/>
      <c r="B108" s="981" t="s">
        <v>95</v>
      </c>
      <c r="C108" s="1419" t="s">
        <v>49</v>
      </c>
      <c r="D108" s="1420" t="s">
        <v>50</v>
      </c>
      <c r="E108" s="1267" t="s">
        <v>62</v>
      </c>
      <c r="F108" s="38" t="s">
        <v>52</v>
      </c>
    </row>
    <row r="109" spans="1:6">
      <c r="A109" s="1429" t="s">
        <v>65</v>
      </c>
      <c r="B109" s="1486" t="s">
        <v>481</v>
      </c>
      <c r="C109" s="1293" t="s">
        <v>55</v>
      </c>
      <c r="D109" s="1490">
        <v>1</v>
      </c>
      <c r="E109" s="1139">
        <f>C117</f>
        <v>31.88</v>
      </c>
      <c r="F109" s="32">
        <f>TRUNC(D109*E109,2)</f>
        <v>31.88</v>
      </c>
    </row>
    <row r="110" spans="1:6" ht="15.75" thickBot="1">
      <c r="A110" s="1135"/>
      <c r="B110" s="1136"/>
      <c r="C110" s="1137"/>
      <c r="D110" s="1138"/>
      <c r="E110" s="1040" t="s">
        <v>58</v>
      </c>
      <c r="F110" s="984">
        <f>SUM(F109:F109)</f>
        <v>31.88</v>
      </c>
    </row>
    <row r="111" spans="1:6" ht="15.75" thickBot="1">
      <c r="A111" s="87"/>
      <c r="B111" s="2044" t="s">
        <v>53</v>
      </c>
      <c r="C111" s="2045"/>
      <c r="D111" s="2045"/>
      <c r="E111" s="2046"/>
      <c r="F111" s="90">
        <f>F107+F110</f>
        <v>54.92</v>
      </c>
    </row>
    <row r="112" spans="1:6">
      <c r="A112" s="88"/>
      <c r="B112" s="2047" t="s">
        <v>96</v>
      </c>
      <c r="C112" s="2048"/>
      <c r="D112" s="2048"/>
      <c r="E112" s="2049"/>
      <c r="F112" s="89"/>
    </row>
    <row r="113" spans="1:6" ht="25.5">
      <c r="A113" s="1266" t="s">
        <v>59</v>
      </c>
      <c r="B113" s="1267" t="s">
        <v>97</v>
      </c>
      <c r="C113" s="1268" t="s">
        <v>98</v>
      </c>
      <c r="D113" s="2039" t="s">
        <v>60</v>
      </c>
      <c r="E113" s="2040"/>
      <c r="F113" s="76" t="s">
        <v>99</v>
      </c>
    </row>
    <row r="114" spans="1:6">
      <c r="A114" s="1246">
        <v>44876</v>
      </c>
      <c r="B114" s="1247" t="s">
        <v>2224</v>
      </c>
      <c r="C114" s="1248">
        <v>31.88</v>
      </c>
      <c r="D114" s="1981" t="s">
        <v>2223</v>
      </c>
      <c r="E114" s="1982"/>
      <c r="F114" s="961" t="s">
        <v>2225</v>
      </c>
    </row>
    <row r="115" spans="1:6">
      <c r="A115" s="1246">
        <v>44882</v>
      </c>
      <c r="B115" s="1247" t="s">
        <v>2232</v>
      </c>
      <c r="C115" s="1248">
        <v>30.77</v>
      </c>
      <c r="D115" s="1981" t="s">
        <v>2237</v>
      </c>
      <c r="E115" s="1982"/>
      <c r="F115" s="62" t="s">
        <v>2238</v>
      </c>
    </row>
    <row r="116" spans="1:6">
      <c r="A116" s="1246">
        <v>44882</v>
      </c>
      <c r="B116" s="1247" t="s">
        <v>2239</v>
      </c>
      <c r="C116" s="1248">
        <v>41.23</v>
      </c>
      <c r="D116" s="1981" t="s">
        <v>2240</v>
      </c>
      <c r="E116" s="1982"/>
      <c r="F116" s="62" t="s">
        <v>2241</v>
      </c>
    </row>
    <row r="117" spans="1:6" ht="15.75" thickBot="1">
      <c r="A117" s="63"/>
      <c r="B117" s="1488" t="s">
        <v>61</v>
      </c>
      <c r="C117" s="1491">
        <f>MEDIAN(C114:C116)</f>
        <v>31.88</v>
      </c>
      <c r="D117" s="2036"/>
      <c r="E117" s="2037"/>
      <c r="F117" s="65"/>
    </row>
    <row r="118" spans="1:6" ht="15.75" thickBot="1"/>
    <row r="119" spans="1:6" ht="15.75" thickBot="1">
      <c r="A119" s="258" t="s">
        <v>484</v>
      </c>
      <c r="B119" s="259" t="s">
        <v>1483</v>
      </c>
      <c r="C119" s="82" t="s">
        <v>55</v>
      </c>
      <c r="D119" s="107"/>
      <c r="E119" s="107"/>
      <c r="F119" s="108"/>
    </row>
    <row r="120" spans="1:6">
      <c r="A120" s="2041" t="s">
        <v>483</v>
      </c>
      <c r="B120" s="2042"/>
      <c r="C120" s="2042"/>
      <c r="D120" s="2042"/>
      <c r="E120" s="2042"/>
      <c r="F120" s="2043"/>
    </row>
    <row r="121" spans="1:6" ht="30">
      <c r="A121" s="1476"/>
      <c r="B121" s="1477" t="s">
        <v>48</v>
      </c>
      <c r="C121" s="1478" t="s">
        <v>49</v>
      </c>
      <c r="D121" s="1479" t="s">
        <v>50</v>
      </c>
      <c r="E121" s="1480" t="s">
        <v>51</v>
      </c>
      <c r="F121" s="30" t="s">
        <v>52</v>
      </c>
    </row>
    <row r="122" spans="1:6">
      <c r="A122" s="1292">
        <v>88264</v>
      </c>
      <c r="B122" s="1481" t="s">
        <v>94</v>
      </c>
      <c r="C122" s="1293" t="s">
        <v>57</v>
      </c>
      <c r="D122" s="1489">
        <v>0.5</v>
      </c>
      <c r="E122" s="1278">
        <v>25.54</v>
      </c>
      <c r="F122" s="32">
        <f>TRUNC(D122*E122,2)</f>
        <v>12.77</v>
      </c>
    </row>
    <row r="123" spans="1:6" ht="25.5">
      <c r="A123" s="1429">
        <v>88247</v>
      </c>
      <c r="B123" s="1481" t="s">
        <v>93</v>
      </c>
      <c r="C123" s="1293" t="s">
        <v>57</v>
      </c>
      <c r="D123" s="1489">
        <v>0.5</v>
      </c>
      <c r="E123" s="1001">
        <v>21</v>
      </c>
      <c r="F123" s="32">
        <f>TRUNC(D123*E123,2)</f>
        <v>10.5</v>
      </c>
    </row>
    <row r="124" spans="1:6">
      <c r="A124" s="1482"/>
      <c r="B124" s="1483"/>
      <c r="C124" s="1484"/>
      <c r="D124" s="1485"/>
      <c r="E124" s="1040" t="s">
        <v>58</v>
      </c>
      <c r="F124" s="33">
        <f>SUM(F122:F123)</f>
        <v>23.27</v>
      </c>
    </row>
    <row r="125" spans="1:6" ht="30">
      <c r="A125" s="1492"/>
      <c r="B125" s="981" t="s">
        <v>95</v>
      </c>
      <c r="C125" s="1419" t="s">
        <v>49</v>
      </c>
      <c r="D125" s="1420" t="s">
        <v>50</v>
      </c>
      <c r="E125" s="1267" t="s">
        <v>62</v>
      </c>
      <c r="F125" s="38" t="s">
        <v>52</v>
      </c>
    </row>
    <row r="126" spans="1:6">
      <c r="A126" s="1429" t="s">
        <v>65</v>
      </c>
      <c r="B126" s="1247" t="s">
        <v>1483</v>
      </c>
      <c r="C126" s="1293" t="s">
        <v>55</v>
      </c>
      <c r="D126" s="1490">
        <v>1</v>
      </c>
      <c r="E126" s="1139">
        <f>C134</f>
        <v>1056.56</v>
      </c>
      <c r="F126" s="32">
        <f>TRUNC(D126*E126,2)</f>
        <v>1056.56</v>
      </c>
    </row>
    <row r="127" spans="1:6" ht="15.75" thickBot="1">
      <c r="A127" s="1135"/>
      <c r="B127" s="1136"/>
      <c r="C127" s="1137"/>
      <c r="D127" s="1138"/>
      <c r="E127" s="1040" t="s">
        <v>58</v>
      </c>
      <c r="F127" s="984">
        <f>SUM(F126:F126)</f>
        <v>1056.56</v>
      </c>
    </row>
    <row r="128" spans="1:6" ht="15.75" thickBot="1">
      <c r="A128" s="87"/>
      <c r="B128" s="2044" t="s">
        <v>53</v>
      </c>
      <c r="C128" s="2045"/>
      <c r="D128" s="2045"/>
      <c r="E128" s="2046"/>
      <c r="F128" s="90">
        <f>F124+F127</f>
        <v>1079.83</v>
      </c>
    </row>
    <row r="129" spans="1:6">
      <c r="A129" s="88"/>
      <c r="B129" s="2047" t="s">
        <v>96</v>
      </c>
      <c r="C129" s="2048"/>
      <c r="D129" s="2048"/>
      <c r="E129" s="2049"/>
      <c r="F129" s="89"/>
    </row>
    <row r="130" spans="1:6" ht="25.5">
      <c r="A130" s="1266" t="s">
        <v>59</v>
      </c>
      <c r="B130" s="1267" t="s">
        <v>97</v>
      </c>
      <c r="C130" s="1268" t="s">
        <v>98</v>
      </c>
      <c r="D130" s="2039" t="s">
        <v>60</v>
      </c>
      <c r="E130" s="2040"/>
      <c r="F130" s="76" t="s">
        <v>99</v>
      </c>
    </row>
    <row r="131" spans="1:6">
      <c r="A131" s="1246">
        <v>44869</v>
      </c>
      <c r="B131" s="1247" t="s">
        <v>2082</v>
      </c>
      <c r="C131" s="1248">
        <v>1004.54</v>
      </c>
      <c r="D131" s="1981" t="s">
        <v>2080</v>
      </c>
      <c r="E131" s="1982"/>
      <c r="F131" s="1285" t="s">
        <v>2081</v>
      </c>
    </row>
    <row r="132" spans="1:6">
      <c r="A132" s="1246">
        <v>44872</v>
      </c>
      <c r="B132" s="1247" t="s">
        <v>2242</v>
      </c>
      <c r="C132" s="1248">
        <v>1142.9000000000001</v>
      </c>
      <c r="D132" s="1981" t="s">
        <v>2243</v>
      </c>
      <c r="E132" s="1982"/>
      <c r="F132" s="1285" t="s">
        <v>2244</v>
      </c>
    </row>
    <row r="133" spans="1:6">
      <c r="A133" s="1246">
        <v>44859</v>
      </c>
      <c r="B133" s="1247" t="s">
        <v>2073</v>
      </c>
      <c r="C133" s="1248">
        <v>1056.56</v>
      </c>
      <c r="D133" s="1981" t="s">
        <v>2223</v>
      </c>
      <c r="E133" s="1982"/>
      <c r="F133" s="1285" t="s">
        <v>2083</v>
      </c>
    </row>
    <row r="134" spans="1:6" ht="15.75" thickBot="1">
      <c r="A134" s="63"/>
      <c r="B134" s="1488" t="s">
        <v>61</v>
      </c>
      <c r="C134" s="1491">
        <f>MEDIAN(C131:C133)</f>
        <v>1056.56</v>
      </c>
      <c r="D134" s="2036"/>
      <c r="E134" s="2037"/>
      <c r="F134" s="65"/>
    </row>
    <row r="135" spans="1:6" ht="15.75" thickBot="1"/>
    <row r="136" spans="1:6" ht="26.25" thickBot="1">
      <c r="A136" s="258" t="s">
        <v>487</v>
      </c>
      <c r="B136" s="259" t="s">
        <v>2123</v>
      </c>
      <c r="C136" s="82" t="s">
        <v>55</v>
      </c>
      <c r="D136" s="107"/>
      <c r="E136" s="107"/>
      <c r="F136" s="108"/>
    </row>
    <row r="137" spans="1:6">
      <c r="A137" s="2041" t="s">
        <v>2124</v>
      </c>
      <c r="B137" s="2042"/>
      <c r="C137" s="2042"/>
      <c r="D137" s="2042"/>
      <c r="E137" s="2042"/>
      <c r="F137" s="2043"/>
    </row>
    <row r="138" spans="1:6" ht="30">
      <c r="A138" s="1476"/>
      <c r="B138" s="1477" t="s">
        <v>48</v>
      </c>
      <c r="C138" s="1478" t="s">
        <v>49</v>
      </c>
      <c r="D138" s="1479" t="s">
        <v>50</v>
      </c>
      <c r="E138" s="1480" t="s">
        <v>51</v>
      </c>
      <c r="F138" s="30" t="s">
        <v>52</v>
      </c>
    </row>
    <row r="139" spans="1:6">
      <c r="A139" s="1292">
        <v>88264</v>
      </c>
      <c r="B139" s="1481" t="s">
        <v>94</v>
      </c>
      <c r="C139" s="1293" t="s">
        <v>57</v>
      </c>
      <c r="D139" s="1489">
        <v>0.2</v>
      </c>
      <c r="E139" s="1278">
        <v>25.54</v>
      </c>
      <c r="F139" s="32">
        <f>TRUNC(D139*E139,2)</f>
        <v>5.0999999999999996</v>
      </c>
    </row>
    <row r="140" spans="1:6" ht="25.5">
      <c r="A140" s="1429">
        <v>88247</v>
      </c>
      <c r="B140" s="1481" t="s">
        <v>93</v>
      </c>
      <c r="C140" s="1293" t="s">
        <v>57</v>
      </c>
      <c r="D140" s="1489">
        <v>0.2</v>
      </c>
      <c r="E140" s="1001">
        <v>21</v>
      </c>
      <c r="F140" s="32">
        <f>TRUNC(D140*E140,2)</f>
        <v>4.2</v>
      </c>
    </row>
    <row r="141" spans="1:6">
      <c r="A141" s="1482"/>
      <c r="B141" s="1483"/>
      <c r="C141" s="1484"/>
      <c r="D141" s="1485"/>
      <c r="E141" s="1040" t="s">
        <v>58</v>
      </c>
      <c r="F141" s="33">
        <f>SUM(F139:F140)</f>
        <v>9.3000000000000007</v>
      </c>
    </row>
    <row r="142" spans="1:6" ht="30">
      <c r="A142" s="1492"/>
      <c r="B142" s="981" t="s">
        <v>95</v>
      </c>
      <c r="C142" s="1419" t="s">
        <v>49</v>
      </c>
      <c r="D142" s="1420" t="s">
        <v>50</v>
      </c>
      <c r="E142" s="1267" t="s">
        <v>62</v>
      </c>
      <c r="F142" s="38" t="s">
        <v>52</v>
      </c>
    </row>
    <row r="143" spans="1:6">
      <c r="A143" s="1429" t="s">
        <v>65</v>
      </c>
      <c r="B143" s="1247" t="s">
        <v>2125</v>
      </c>
      <c r="C143" s="1293" t="s">
        <v>55</v>
      </c>
      <c r="D143" s="1294">
        <v>1</v>
      </c>
      <c r="E143" s="1001">
        <f>C154</f>
        <v>106.83000000000001</v>
      </c>
      <c r="F143" s="261">
        <f>TRUNC(D143*E143,2)</f>
        <v>106.83</v>
      </c>
    </row>
    <row r="144" spans="1:6">
      <c r="A144" s="933">
        <v>4374</v>
      </c>
      <c r="B144" s="1011" t="s">
        <v>2126</v>
      </c>
      <c r="C144" s="1293" t="s">
        <v>55</v>
      </c>
      <c r="D144" s="1155">
        <v>2</v>
      </c>
      <c r="E144" s="1001">
        <v>0.37</v>
      </c>
      <c r="F144" s="261">
        <f t="shared" ref="F144:F146" si="0">TRUNC(D144*E144,2)</f>
        <v>0.74</v>
      </c>
    </row>
    <row r="145" spans="1:6">
      <c r="A145" s="1429" t="s">
        <v>65</v>
      </c>
      <c r="B145" s="1011" t="s">
        <v>2127</v>
      </c>
      <c r="C145" s="1293" t="s">
        <v>542</v>
      </c>
      <c r="D145" s="1294">
        <v>1</v>
      </c>
      <c r="E145" s="1001">
        <f>C166</f>
        <v>56.3</v>
      </c>
      <c r="F145" s="261">
        <f t="shared" si="0"/>
        <v>56.3</v>
      </c>
    </row>
    <row r="146" spans="1:6">
      <c r="A146" s="1429" t="s">
        <v>65</v>
      </c>
      <c r="B146" s="1011" t="s">
        <v>2357</v>
      </c>
      <c r="C146" s="1293" t="s">
        <v>54</v>
      </c>
      <c r="D146" s="1294">
        <v>1</v>
      </c>
      <c r="E146" s="1001">
        <f>C160</f>
        <v>5.2</v>
      </c>
      <c r="F146" s="261">
        <f t="shared" si="0"/>
        <v>5.2</v>
      </c>
    </row>
    <row r="147" spans="1:6" ht="15.75" thickBot="1">
      <c r="A147" s="1135"/>
      <c r="B147" s="1136"/>
      <c r="C147" s="1137"/>
      <c r="D147" s="1138"/>
      <c r="E147" s="1040" t="s">
        <v>58</v>
      </c>
      <c r="F147" s="984">
        <f>SUM(F143:F146)</f>
        <v>169.07</v>
      </c>
    </row>
    <row r="148" spans="1:6" ht="15.75" thickBot="1">
      <c r="A148" s="87"/>
      <c r="B148" s="2044" t="s">
        <v>53</v>
      </c>
      <c r="C148" s="2045"/>
      <c r="D148" s="2045"/>
      <c r="E148" s="2046"/>
      <c r="F148" s="90">
        <f>F141+F147</f>
        <v>178.37</v>
      </c>
    </row>
    <row r="149" spans="1:6">
      <c r="A149" s="88"/>
      <c r="B149" s="2047" t="s">
        <v>2128</v>
      </c>
      <c r="C149" s="2048"/>
      <c r="D149" s="2048"/>
      <c r="E149" s="2049"/>
      <c r="F149" s="89"/>
    </row>
    <row r="150" spans="1:6" ht="25.5">
      <c r="A150" s="1266" t="s">
        <v>59</v>
      </c>
      <c r="B150" s="1267" t="s">
        <v>97</v>
      </c>
      <c r="C150" s="1268" t="s">
        <v>98</v>
      </c>
      <c r="D150" s="2039" t="s">
        <v>60</v>
      </c>
      <c r="E150" s="2040"/>
      <c r="F150" s="76" t="s">
        <v>99</v>
      </c>
    </row>
    <row r="151" spans="1:6">
      <c r="A151" s="1246">
        <v>44861</v>
      </c>
      <c r="B151" s="1247" t="s">
        <v>2218</v>
      </c>
      <c r="C151" s="1248">
        <f>89.23+17.6</f>
        <v>106.83000000000001</v>
      </c>
      <c r="D151" s="1981" t="s">
        <v>2111</v>
      </c>
      <c r="E151" s="1982"/>
      <c r="F151" s="1282" t="s">
        <v>2219</v>
      </c>
    </row>
    <row r="152" spans="1:6">
      <c r="A152" s="1246">
        <v>44859</v>
      </c>
      <c r="B152" s="1247" t="s">
        <v>2129</v>
      </c>
      <c r="C152" s="1248">
        <f>82.56+28.23</f>
        <v>110.79</v>
      </c>
      <c r="D152" s="1981" t="s">
        <v>2130</v>
      </c>
      <c r="E152" s="1982"/>
      <c r="F152" s="62" t="s">
        <v>2083</v>
      </c>
    </row>
    <row r="153" spans="1:6">
      <c r="A153" s="1246">
        <v>44869</v>
      </c>
      <c r="B153" s="1247" t="s">
        <v>2082</v>
      </c>
      <c r="C153" s="1248">
        <v>92.52</v>
      </c>
      <c r="D153" s="1981" t="s">
        <v>2080</v>
      </c>
      <c r="E153" s="1982"/>
      <c r="F153" s="961" t="s">
        <v>2081</v>
      </c>
    </row>
    <row r="154" spans="1:6" ht="15.75" thickBot="1">
      <c r="A154" s="63"/>
      <c r="B154" s="1488" t="s">
        <v>61</v>
      </c>
      <c r="C154" s="1491">
        <f>MEDIAN(C151:C153)</f>
        <v>106.83000000000001</v>
      </c>
      <c r="D154" s="2036"/>
      <c r="E154" s="2037"/>
      <c r="F154" s="65"/>
    </row>
    <row r="155" spans="1:6">
      <c r="A155" s="88"/>
      <c r="B155" s="2047" t="s">
        <v>2358</v>
      </c>
      <c r="C155" s="2048"/>
      <c r="D155" s="2048"/>
      <c r="E155" s="2049"/>
      <c r="F155" s="89"/>
    </row>
    <row r="156" spans="1:6" ht="25.5">
      <c r="A156" s="1266" t="s">
        <v>59</v>
      </c>
      <c r="B156" s="1267" t="s">
        <v>97</v>
      </c>
      <c r="C156" s="1268" t="s">
        <v>98</v>
      </c>
      <c r="D156" s="2039" t="s">
        <v>60</v>
      </c>
      <c r="E156" s="2040"/>
      <c r="F156" s="76" t="s">
        <v>99</v>
      </c>
    </row>
    <row r="157" spans="1:6">
      <c r="A157" s="1246">
        <v>44861</v>
      </c>
      <c r="B157" s="1247" t="s">
        <v>2218</v>
      </c>
      <c r="C157" s="1248">
        <v>23.53</v>
      </c>
      <c r="D157" s="1981" t="s">
        <v>2111</v>
      </c>
      <c r="E157" s="1982"/>
      <c r="F157" s="1282" t="s">
        <v>2219</v>
      </c>
    </row>
    <row r="158" spans="1:6">
      <c r="A158" s="1246">
        <v>44869</v>
      </c>
      <c r="B158" s="1247" t="s">
        <v>2082</v>
      </c>
      <c r="C158" s="1248">
        <v>4.92</v>
      </c>
      <c r="D158" s="1981" t="s">
        <v>2080</v>
      </c>
      <c r="E158" s="1982"/>
      <c r="F158" s="961" t="s">
        <v>2081</v>
      </c>
    </row>
    <row r="159" spans="1:6">
      <c r="A159" s="1246">
        <v>44872</v>
      </c>
      <c r="B159" s="1247" t="s">
        <v>2245</v>
      </c>
      <c r="C159" s="1248">
        <v>5.2</v>
      </c>
      <c r="D159" s="1981" t="s">
        <v>2246</v>
      </c>
      <c r="E159" s="1982"/>
      <c r="F159" s="1286" t="s">
        <v>2247</v>
      </c>
    </row>
    <row r="160" spans="1:6" ht="15.75" thickBot="1">
      <c r="A160" s="63"/>
      <c r="B160" s="1488" t="s">
        <v>61</v>
      </c>
      <c r="C160" s="1491">
        <f>MEDIAN(C157:C159)</f>
        <v>5.2</v>
      </c>
      <c r="D160" s="2036"/>
      <c r="E160" s="2037"/>
      <c r="F160" s="65"/>
    </row>
    <row r="161" spans="1:6">
      <c r="A161" s="267"/>
      <c r="B161" s="2047" t="s">
        <v>2359</v>
      </c>
      <c r="C161" s="2048"/>
      <c r="D161" s="2048"/>
      <c r="E161" s="2049"/>
      <c r="F161" s="268"/>
    </row>
    <row r="162" spans="1:6" ht="25.5">
      <c r="A162" s="1266" t="s">
        <v>59</v>
      </c>
      <c r="B162" s="1267" t="s">
        <v>97</v>
      </c>
      <c r="C162" s="1268" t="s">
        <v>98</v>
      </c>
      <c r="D162" s="2039" t="s">
        <v>60</v>
      </c>
      <c r="E162" s="2040"/>
      <c r="F162" s="76" t="s">
        <v>99</v>
      </c>
    </row>
    <row r="163" spans="1:6" ht="24">
      <c r="A163" s="1246">
        <v>44861</v>
      </c>
      <c r="B163" s="1247" t="s">
        <v>2248</v>
      </c>
      <c r="C163" s="1248">
        <f>25.77+20.28</f>
        <v>46.05</v>
      </c>
      <c r="D163" s="1981" t="s">
        <v>2249</v>
      </c>
      <c r="E163" s="1982"/>
      <c r="F163" s="1282" t="s">
        <v>2250</v>
      </c>
    </row>
    <row r="164" spans="1:6">
      <c r="A164" s="1246">
        <v>44861</v>
      </c>
      <c r="B164" s="1247" t="s">
        <v>2251</v>
      </c>
      <c r="C164" s="1248">
        <f>69.9+25.99</f>
        <v>95.89</v>
      </c>
      <c r="D164" s="1981" t="s">
        <v>2252</v>
      </c>
      <c r="E164" s="1982"/>
      <c r="F164" s="1282" t="s">
        <v>2253</v>
      </c>
    </row>
    <row r="165" spans="1:6" ht="24">
      <c r="A165" s="1246">
        <v>44861</v>
      </c>
      <c r="B165" s="1247" t="s">
        <v>2254</v>
      </c>
      <c r="C165" s="1248">
        <f>33.24+23.06</f>
        <v>56.3</v>
      </c>
      <c r="D165" s="1981" t="s">
        <v>2255</v>
      </c>
      <c r="E165" s="1982"/>
      <c r="F165" s="1282" t="s">
        <v>2256</v>
      </c>
    </row>
    <row r="166" spans="1:6" ht="15.75" thickBot="1">
      <c r="A166" s="63"/>
      <c r="B166" s="1488" t="s">
        <v>61</v>
      </c>
      <c r="C166" s="1491">
        <f>MEDIAN(C163:C165)</f>
        <v>56.3</v>
      </c>
      <c r="D166" s="2036"/>
      <c r="E166" s="2037"/>
      <c r="F166" s="65"/>
    </row>
    <row r="167" spans="1:6" ht="15.75" thickBot="1">
      <c r="A167" s="55"/>
      <c r="B167" s="16"/>
      <c r="C167" s="16"/>
      <c r="D167" s="16"/>
      <c r="E167" s="16"/>
      <c r="F167" s="16"/>
    </row>
    <row r="168" spans="1:6" ht="15.75" thickBot="1">
      <c r="A168" s="258" t="s">
        <v>490</v>
      </c>
      <c r="B168" s="224" t="s">
        <v>2360</v>
      </c>
      <c r="C168" s="82" t="s">
        <v>55</v>
      </c>
      <c r="D168" s="107"/>
      <c r="E168" s="107"/>
      <c r="F168" s="108"/>
    </row>
    <row r="169" spans="1:6">
      <c r="A169" s="2041" t="s">
        <v>1507</v>
      </c>
      <c r="B169" s="2042"/>
      <c r="C169" s="2042"/>
      <c r="D169" s="2042"/>
      <c r="E169" s="2042"/>
      <c r="F169" s="2043"/>
    </row>
    <row r="170" spans="1:6" ht="30">
      <c r="A170" s="1476"/>
      <c r="B170" s="1477" t="s">
        <v>48</v>
      </c>
      <c r="C170" s="1478" t="s">
        <v>49</v>
      </c>
      <c r="D170" s="1479" t="s">
        <v>50</v>
      </c>
      <c r="E170" s="1480" t="s">
        <v>51</v>
      </c>
      <c r="F170" s="30" t="s">
        <v>52</v>
      </c>
    </row>
    <row r="171" spans="1:6">
      <c r="A171" s="1292">
        <v>88264</v>
      </c>
      <c r="B171" s="1481" t="s">
        <v>94</v>
      </c>
      <c r="C171" s="1293" t="s">
        <v>57</v>
      </c>
      <c r="D171" s="1489">
        <v>0.2</v>
      </c>
      <c r="E171" s="1278">
        <v>25.54</v>
      </c>
      <c r="F171" s="32">
        <f>TRUNC(D171*E171,2)</f>
        <v>5.0999999999999996</v>
      </c>
    </row>
    <row r="172" spans="1:6" ht="25.5">
      <c r="A172" s="1429">
        <v>88247</v>
      </c>
      <c r="B172" s="1481" t="s">
        <v>93</v>
      </c>
      <c r="C172" s="1293" t="s">
        <v>57</v>
      </c>
      <c r="D172" s="1489">
        <v>0.2</v>
      </c>
      <c r="E172" s="1001">
        <v>21</v>
      </c>
      <c r="F172" s="32">
        <f>TRUNC(D172*E172,2)</f>
        <v>4.2</v>
      </c>
    </row>
    <row r="173" spans="1:6">
      <c r="A173" s="1482"/>
      <c r="B173" s="1483"/>
      <c r="C173" s="1484"/>
      <c r="D173" s="1485"/>
      <c r="E173" s="1040" t="s">
        <v>58</v>
      </c>
      <c r="F173" s="33">
        <f>SUM(F171:F172)</f>
        <v>9.3000000000000007</v>
      </c>
    </row>
    <row r="174" spans="1:6" ht="30">
      <c r="A174" s="1492"/>
      <c r="B174" s="981" t="s">
        <v>95</v>
      </c>
      <c r="C174" s="1419" t="s">
        <v>49</v>
      </c>
      <c r="D174" s="1420" t="s">
        <v>50</v>
      </c>
      <c r="E174" s="1267" t="s">
        <v>62</v>
      </c>
      <c r="F174" s="38" t="s">
        <v>52</v>
      </c>
    </row>
    <row r="175" spans="1:6">
      <c r="A175" s="1429" t="s">
        <v>65</v>
      </c>
      <c r="B175" s="1247" t="s">
        <v>2361</v>
      </c>
      <c r="C175" s="1293" t="s">
        <v>55</v>
      </c>
      <c r="D175" s="1490">
        <v>1</v>
      </c>
      <c r="E175" s="1139">
        <f>C183</f>
        <v>228.63</v>
      </c>
      <c r="F175" s="32">
        <f>TRUNC(D175*E175,2)</f>
        <v>228.63</v>
      </c>
    </row>
    <row r="176" spans="1:6" ht="15.75" thickBot="1">
      <c r="A176" s="1135"/>
      <c r="B176" s="1136"/>
      <c r="C176" s="1137"/>
      <c r="D176" s="1138"/>
      <c r="E176" s="1040" t="s">
        <v>58</v>
      </c>
      <c r="F176" s="984">
        <f>SUM(F175:F175)</f>
        <v>228.63</v>
      </c>
    </row>
    <row r="177" spans="1:10" ht="15.75" thickBot="1">
      <c r="A177" s="87"/>
      <c r="B177" s="2044" t="s">
        <v>53</v>
      </c>
      <c r="C177" s="2045"/>
      <c r="D177" s="2045"/>
      <c r="E177" s="2046"/>
      <c r="F177" s="90">
        <f>F173+F176</f>
        <v>237.93</v>
      </c>
    </row>
    <row r="178" spans="1:10">
      <c r="A178" s="88"/>
      <c r="B178" s="2047" t="s">
        <v>96</v>
      </c>
      <c r="C178" s="2048"/>
      <c r="D178" s="2048"/>
      <c r="E178" s="2049"/>
      <c r="F178" s="89"/>
    </row>
    <row r="179" spans="1:10" ht="25.5">
      <c r="A179" s="1266" t="s">
        <v>59</v>
      </c>
      <c r="B179" s="1267" t="s">
        <v>97</v>
      </c>
      <c r="C179" s="1268" t="s">
        <v>98</v>
      </c>
      <c r="D179" s="2039" t="s">
        <v>60</v>
      </c>
      <c r="E179" s="2040"/>
      <c r="F179" s="76" t="s">
        <v>99</v>
      </c>
    </row>
    <row r="180" spans="1:10">
      <c r="A180" s="1246">
        <v>44861</v>
      </c>
      <c r="B180" s="1247" t="s">
        <v>2108</v>
      </c>
      <c r="C180" s="1248">
        <v>228.63</v>
      </c>
      <c r="D180" s="1981" t="s">
        <v>2111</v>
      </c>
      <c r="E180" s="1982"/>
      <c r="F180" s="961" t="s">
        <v>2112</v>
      </c>
      <c r="I180" s="177">
        <f>206.81+21.82</f>
        <v>228.63</v>
      </c>
      <c r="J180" s="625" t="s">
        <v>2263</v>
      </c>
    </row>
    <row r="181" spans="1:10">
      <c r="A181" s="1246">
        <v>44868</v>
      </c>
      <c r="B181" s="1247" t="s">
        <v>2257</v>
      </c>
      <c r="C181" s="1248">
        <v>91.21</v>
      </c>
      <c r="D181" s="1981" t="s">
        <v>2258</v>
      </c>
      <c r="E181" s="1982"/>
      <c r="F181" s="1287" t="s">
        <v>2259</v>
      </c>
      <c r="I181" s="323">
        <f>74.39+16.82</f>
        <v>91.210000000000008</v>
      </c>
      <c r="J181" s="625" t="s">
        <v>2264</v>
      </c>
    </row>
    <row r="182" spans="1:10">
      <c r="A182" s="1246">
        <v>44869</v>
      </c>
      <c r="B182" s="1011" t="s">
        <v>2260</v>
      </c>
      <c r="C182" s="1260">
        <v>423.99</v>
      </c>
      <c r="D182" s="1981" t="s">
        <v>2261</v>
      </c>
      <c r="E182" s="1982"/>
      <c r="F182" s="1288" t="s">
        <v>2262</v>
      </c>
      <c r="I182" s="323">
        <f>13.91+19.33</f>
        <v>33.239999999999995</v>
      </c>
      <c r="J182" s="625" t="s">
        <v>2113</v>
      </c>
    </row>
    <row r="183" spans="1:10" ht="15.75" thickBot="1">
      <c r="A183" s="63"/>
      <c r="B183" s="1488" t="s">
        <v>61</v>
      </c>
      <c r="C183" s="1491">
        <f>MEDIAN(C180:C182)</f>
        <v>228.63</v>
      </c>
      <c r="D183" s="2036"/>
      <c r="E183" s="2037"/>
      <c r="F183" s="65"/>
    </row>
    <row r="184" spans="1:10" ht="15.75" thickBot="1"/>
    <row r="185" spans="1:10" ht="15.75" thickBot="1">
      <c r="A185" s="258" t="s">
        <v>493</v>
      </c>
      <c r="B185" s="259" t="s">
        <v>1509</v>
      </c>
      <c r="C185" s="82" t="s">
        <v>55</v>
      </c>
      <c r="D185" s="107"/>
      <c r="E185" s="107"/>
      <c r="F185" s="108"/>
    </row>
    <row r="186" spans="1:10">
      <c r="A186" s="2041" t="s">
        <v>1562</v>
      </c>
      <c r="B186" s="2042"/>
      <c r="C186" s="2042"/>
      <c r="D186" s="2042"/>
      <c r="E186" s="2042"/>
      <c r="F186" s="2043"/>
    </row>
    <row r="187" spans="1:10" ht="30">
      <c r="A187" s="1476"/>
      <c r="B187" s="1477" t="s">
        <v>48</v>
      </c>
      <c r="C187" s="1478" t="s">
        <v>49</v>
      </c>
      <c r="D187" s="1479" t="s">
        <v>50</v>
      </c>
      <c r="E187" s="1480" t="s">
        <v>51</v>
      </c>
      <c r="F187" s="30" t="s">
        <v>52</v>
      </c>
    </row>
    <row r="188" spans="1:10">
      <c r="A188" s="1292">
        <v>88264</v>
      </c>
      <c r="B188" s="1481" t="s">
        <v>94</v>
      </c>
      <c r="C188" s="1293" t="s">
        <v>57</v>
      </c>
      <c r="D188" s="1489">
        <v>0.05</v>
      </c>
      <c r="E188" s="1278">
        <v>25.54</v>
      </c>
      <c r="F188" s="261">
        <f>TRUNC(D188*E188,2)</f>
        <v>1.27</v>
      </c>
    </row>
    <row r="189" spans="1:10" ht="25.5">
      <c r="A189" s="1429">
        <v>88247</v>
      </c>
      <c r="B189" s="1481" t="s">
        <v>93</v>
      </c>
      <c r="C189" s="1293" t="s">
        <v>57</v>
      </c>
      <c r="D189" s="1489">
        <v>2.5000000000000001E-2</v>
      </c>
      <c r="E189" s="1001">
        <v>21</v>
      </c>
      <c r="F189" s="261">
        <f>TRUNC(D189*E189,2)</f>
        <v>0.52</v>
      </c>
    </row>
    <row r="190" spans="1:10">
      <c r="A190" s="1482"/>
      <c r="B190" s="1483"/>
      <c r="C190" s="1484"/>
      <c r="D190" s="1485"/>
      <c r="E190" s="1040" t="s">
        <v>58</v>
      </c>
      <c r="F190" s="262">
        <f>SUM(F188:F189)</f>
        <v>1.79</v>
      </c>
    </row>
    <row r="191" spans="1:10" ht="30">
      <c r="A191" s="1492"/>
      <c r="B191" s="981" t="s">
        <v>95</v>
      </c>
      <c r="C191" s="1419" t="s">
        <v>49</v>
      </c>
      <c r="D191" s="1420" t="s">
        <v>50</v>
      </c>
      <c r="E191" s="1267" t="s">
        <v>62</v>
      </c>
      <c r="F191" s="38" t="s">
        <v>52</v>
      </c>
    </row>
    <row r="192" spans="1:10" ht="25.5">
      <c r="A192" s="1429">
        <v>39128</v>
      </c>
      <c r="B192" s="1247" t="s">
        <v>1563</v>
      </c>
      <c r="C192" s="1293" t="s">
        <v>55</v>
      </c>
      <c r="D192" s="1294">
        <v>1</v>
      </c>
      <c r="E192" s="1001">
        <v>2.41</v>
      </c>
      <c r="F192" s="261">
        <f>TRUNC(D192*E192,2)</f>
        <v>2.41</v>
      </c>
    </row>
    <row r="193" spans="1:6" ht="15.75" thickBot="1">
      <c r="A193" s="1135"/>
      <c r="B193" s="1136"/>
      <c r="C193" s="1137"/>
      <c r="D193" s="1138"/>
      <c r="E193" s="1040" t="s">
        <v>58</v>
      </c>
      <c r="F193" s="1154">
        <f>SUM(F192:F192)</f>
        <v>2.41</v>
      </c>
    </row>
    <row r="194" spans="1:6" ht="15.75" thickBot="1">
      <c r="A194" s="87"/>
      <c r="B194" s="2044" t="s">
        <v>53</v>
      </c>
      <c r="C194" s="2045"/>
      <c r="D194" s="2045"/>
      <c r="E194" s="2046"/>
      <c r="F194" s="264">
        <f>F190+F193</f>
        <v>4.2</v>
      </c>
    </row>
    <row r="195" spans="1:6" ht="15.75" thickBot="1"/>
    <row r="196" spans="1:6" ht="39" thickBot="1">
      <c r="A196" s="258" t="s">
        <v>495</v>
      </c>
      <c r="B196" s="259" t="s">
        <v>2131</v>
      </c>
      <c r="C196" s="82" t="s">
        <v>55</v>
      </c>
      <c r="D196" s="107"/>
      <c r="E196" s="107"/>
      <c r="F196" s="108"/>
    </row>
    <row r="197" spans="1:6">
      <c r="A197" s="2041" t="s">
        <v>1562</v>
      </c>
      <c r="B197" s="2042"/>
      <c r="C197" s="2042"/>
      <c r="D197" s="2042"/>
      <c r="E197" s="2042"/>
      <c r="F197" s="2043"/>
    </row>
    <row r="198" spans="1:6" ht="30">
      <c r="A198" s="1476"/>
      <c r="B198" s="1477" t="s">
        <v>48</v>
      </c>
      <c r="C198" s="1478" t="s">
        <v>49</v>
      </c>
      <c r="D198" s="1479" t="s">
        <v>50</v>
      </c>
      <c r="E198" s="1480" t="s">
        <v>51</v>
      </c>
      <c r="F198" s="30" t="s">
        <v>52</v>
      </c>
    </row>
    <row r="199" spans="1:6" ht="25.5">
      <c r="A199" s="1292">
        <v>95541</v>
      </c>
      <c r="B199" s="1247" t="s">
        <v>2132</v>
      </c>
      <c r="C199" s="1293" t="s">
        <v>55</v>
      </c>
      <c r="D199" s="1428">
        <v>1</v>
      </c>
      <c r="E199" s="1278">
        <v>4.4400000000000004</v>
      </c>
      <c r="F199" s="261">
        <f>TRUNC(D199*E199,2)</f>
        <v>4.4400000000000004</v>
      </c>
    </row>
    <row r="200" spans="1:6">
      <c r="A200" s="1482"/>
      <c r="B200" s="1483"/>
      <c r="C200" s="1484"/>
      <c r="D200" s="1485"/>
      <c r="E200" s="1040" t="s">
        <v>58</v>
      </c>
      <c r="F200" s="33">
        <f>SUM(F199:F199)</f>
        <v>4.4400000000000004</v>
      </c>
    </row>
    <row r="201" spans="1:6" ht="30">
      <c r="A201" s="1492"/>
      <c r="B201" s="981" t="s">
        <v>95</v>
      </c>
      <c r="C201" s="1419" t="s">
        <v>49</v>
      </c>
      <c r="D201" s="1420" t="s">
        <v>50</v>
      </c>
      <c r="E201" s="1267" t="s">
        <v>62</v>
      </c>
      <c r="F201" s="38" t="s">
        <v>52</v>
      </c>
    </row>
    <row r="202" spans="1:6" ht="38.25">
      <c r="A202" s="1429">
        <v>11950</v>
      </c>
      <c r="B202" s="1247" t="s">
        <v>2104</v>
      </c>
      <c r="C202" s="1293" t="s">
        <v>55</v>
      </c>
      <c r="D202" s="1294">
        <v>1</v>
      </c>
      <c r="E202" s="1001">
        <v>0.2</v>
      </c>
      <c r="F202" s="261">
        <f>TRUNC(D202*E202,2)</f>
        <v>0.2</v>
      </c>
    </row>
    <row r="203" spans="1:6" ht="15.75" thickBot="1">
      <c r="A203" s="1193"/>
      <c r="B203" s="1500"/>
      <c r="C203" s="1501"/>
      <c r="D203" s="1502"/>
      <c r="E203" s="1503" t="s">
        <v>58</v>
      </c>
      <c r="F203" s="1008">
        <f>SUM(F202:F202)</f>
        <v>0.2</v>
      </c>
    </row>
    <row r="204" spans="1:6" ht="15.75" thickBot="1">
      <c r="A204" s="87"/>
      <c r="B204" s="2044" t="s">
        <v>53</v>
      </c>
      <c r="C204" s="2045"/>
      <c r="D204" s="2045"/>
      <c r="E204" s="2046"/>
      <c r="F204" s="264">
        <f>F200+F203</f>
        <v>4.6400000000000006</v>
      </c>
    </row>
    <row r="205" spans="1:6" ht="15.75" thickBot="1"/>
    <row r="206" spans="1:6" ht="26.25" thickBot="1">
      <c r="A206" s="270" t="s">
        <v>496</v>
      </c>
      <c r="B206" s="271" t="s">
        <v>1491</v>
      </c>
      <c r="C206" s="272" t="s">
        <v>55</v>
      </c>
      <c r="D206" s="273"/>
      <c r="E206" s="273"/>
      <c r="F206" s="274"/>
    </row>
    <row r="207" spans="1:6">
      <c r="A207" s="2060" t="s">
        <v>497</v>
      </c>
      <c r="B207" s="2061"/>
      <c r="C207" s="2061"/>
      <c r="D207" s="2061"/>
      <c r="E207" s="2061"/>
      <c r="F207" s="2062"/>
    </row>
    <row r="208" spans="1:6" ht="25.5">
      <c r="A208" s="1504"/>
      <c r="B208" s="1505" t="s">
        <v>48</v>
      </c>
      <c r="C208" s="1506" t="s">
        <v>49</v>
      </c>
      <c r="D208" s="1507" t="s">
        <v>50</v>
      </c>
      <c r="E208" s="1508" t="s">
        <v>51</v>
      </c>
      <c r="F208" s="178" t="s">
        <v>52</v>
      </c>
    </row>
    <row r="209" spans="1:6">
      <c r="A209" s="1509">
        <v>88309</v>
      </c>
      <c r="B209" s="928" t="s">
        <v>103</v>
      </c>
      <c r="C209" s="1450" t="s">
        <v>57</v>
      </c>
      <c r="D209" s="1510">
        <v>2.42</v>
      </c>
      <c r="E209" s="1289">
        <v>24.59</v>
      </c>
      <c r="F209" s="276">
        <f>TRUNC(D209*E209,2)</f>
        <v>59.5</v>
      </c>
    </row>
    <row r="210" spans="1:6">
      <c r="A210" s="1457">
        <v>88316</v>
      </c>
      <c r="B210" s="1486" t="s">
        <v>66</v>
      </c>
      <c r="C210" s="1450" t="s">
        <v>57</v>
      </c>
      <c r="D210" s="1510">
        <v>4.0999999999999996</v>
      </c>
      <c r="E210" s="1143">
        <v>19.45</v>
      </c>
      <c r="F210" s="276">
        <f>TRUNC(D210*E210,2)</f>
        <v>79.739999999999995</v>
      </c>
    </row>
    <row r="211" spans="1:6">
      <c r="A211" s="1511"/>
      <c r="B211" s="1512"/>
      <c r="C211" s="1513"/>
      <c r="D211" s="1514"/>
      <c r="E211" s="1144" t="s">
        <v>58</v>
      </c>
      <c r="F211" s="277">
        <f>SUM(F209:F210)</f>
        <v>139.24</v>
      </c>
    </row>
    <row r="212" spans="1:6" ht="25.5">
      <c r="A212" s="1448"/>
      <c r="B212" s="1129" t="s">
        <v>95</v>
      </c>
      <c r="C212" s="1515" t="s">
        <v>49</v>
      </c>
      <c r="D212" s="1516" t="s">
        <v>50</v>
      </c>
      <c r="E212" s="1506" t="s">
        <v>62</v>
      </c>
      <c r="F212" s="278" t="s">
        <v>52</v>
      </c>
    </row>
    <row r="213" spans="1:6" ht="25.5">
      <c r="A213" s="1517">
        <v>43059</v>
      </c>
      <c r="B213" s="1486" t="s">
        <v>498</v>
      </c>
      <c r="C213" s="1450" t="s">
        <v>100</v>
      </c>
      <c r="D213" s="1518">
        <v>0.56000000000000005</v>
      </c>
      <c r="E213" s="1143">
        <v>10.08</v>
      </c>
      <c r="F213" s="276">
        <f>TRUNC(D213*E213,2)</f>
        <v>5.64</v>
      </c>
    </row>
    <row r="214" spans="1:6" ht="25.5">
      <c r="A214" s="1517">
        <v>367</v>
      </c>
      <c r="B214" s="1519" t="s">
        <v>499</v>
      </c>
      <c r="C214" s="1146" t="s">
        <v>47</v>
      </c>
      <c r="D214" s="1147">
        <v>5.0400000000000002E-3</v>
      </c>
      <c r="E214" s="1143">
        <v>126.63</v>
      </c>
      <c r="F214" s="276">
        <f t="shared" ref="F214:F221" si="1">TRUNC(D214*E214,2)</f>
        <v>0.63</v>
      </c>
    </row>
    <row r="215" spans="1:6" ht="25.5">
      <c r="A215" s="1517">
        <v>370</v>
      </c>
      <c r="B215" s="1519" t="s">
        <v>388</v>
      </c>
      <c r="C215" s="1146" t="s">
        <v>47</v>
      </c>
      <c r="D215" s="1194">
        <v>7.0000000000000007E-2</v>
      </c>
      <c r="E215" s="1143">
        <v>125</v>
      </c>
      <c r="F215" s="276">
        <f t="shared" si="1"/>
        <v>8.75</v>
      </c>
    </row>
    <row r="216" spans="1:6">
      <c r="A216" s="1517">
        <v>1106</v>
      </c>
      <c r="B216" s="1519" t="s">
        <v>500</v>
      </c>
      <c r="C216" s="1450" t="s">
        <v>100</v>
      </c>
      <c r="D216" s="1145">
        <v>5.78</v>
      </c>
      <c r="E216" s="1143">
        <v>0.95</v>
      </c>
      <c r="F216" s="276">
        <f t="shared" si="1"/>
        <v>5.49</v>
      </c>
    </row>
    <row r="217" spans="1:6" ht="25.5">
      <c r="A217" s="1517">
        <v>1358</v>
      </c>
      <c r="B217" s="1519" t="s">
        <v>501</v>
      </c>
      <c r="C217" s="1146" t="s">
        <v>46</v>
      </c>
      <c r="D217" s="1145">
        <v>0.08</v>
      </c>
      <c r="E217" s="1143">
        <v>78.69</v>
      </c>
      <c r="F217" s="276">
        <f t="shared" si="1"/>
        <v>6.29</v>
      </c>
    </row>
    <row r="218" spans="1:6">
      <c r="A218" s="1517">
        <v>1379</v>
      </c>
      <c r="B218" s="1519" t="s">
        <v>163</v>
      </c>
      <c r="C218" s="1450" t="s">
        <v>100</v>
      </c>
      <c r="D218" s="1145">
        <v>16.47</v>
      </c>
      <c r="E218" s="1143">
        <v>0.95</v>
      </c>
      <c r="F218" s="276">
        <f t="shared" si="1"/>
        <v>15.64</v>
      </c>
    </row>
    <row r="219" spans="1:6" ht="25.5">
      <c r="A219" s="1517">
        <v>4718</v>
      </c>
      <c r="B219" s="1519" t="s">
        <v>389</v>
      </c>
      <c r="C219" s="1146" t="s">
        <v>47</v>
      </c>
      <c r="D219" s="1147">
        <v>5.8399999999999997E-3</v>
      </c>
      <c r="E219" s="1143">
        <v>108.18</v>
      </c>
      <c r="F219" s="276">
        <f t="shared" si="1"/>
        <v>0.63</v>
      </c>
    </row>
    <row r="220" spans="1:6" ht="25.5">
      <c r="A220" s="1517">
        <v>4722</v>
      </c>
      <c r="B220" s="1519" t="s">
        <v>502</v>
      </c>
      <c r="C220" s="1146" t="s">
        <v>47</v>
      </c>
      <c r="D220" s="1147">
        <v>5.8399999999999997E-3</v>
      </c>
      <c r="E220" s="1143">
        <v>101.65</v>
      </c>
      <c r="F220" s="276">
        <f t="shared" si="1"/>
        <v>0.59</v>
      </c>
    </row>
    <row r="221" spans="1:6">
      <c r="A221" s="1517">
        <v>7258</v>
      </c>
      <c r="B221" s="1519" t="s">
        <v>164</v>
      </c>
      <c r="C221" s="1146" t="s">
        <v>55</v>
      </c>
      <c r="D221" s="1145">
        <v>89</v>
      </c>
      <c r="E221" s="1143">
        <v>0.92</v>
      </c>
      <c r="F221" s="276">
        <f t="shared" si="1"/>
        <v>81.88</v>
      </c>
    </row>
    <row r="222" spans="1:6" ht="15.75" thickBot="1">
      <c r="A222" s="1520"/>
      <c r="B222" s="1148"/>
      <c r="C222" s="1149"/>
      <c r="D222" s="1150"/>
      <c r="E222" s="1144" t="s">
        <v>58</v>
      </c>
      <c r="F222" s="1128">
        <f>SUM(F213:F221)</f>
        <v>125.53999999999999</v>
      </c>
    </row>
    <row r="223" spans="1:6" ht="15.75" thickBot="1">
      <c r="A223" s="1521"/>
      <c r="B223" s="2063" t="s">
        <v>53</v>
      </c>
      <c r="C223" s="2063"/>
      <c r="D223" s="2063"/>
      <c r="E223" s="2063"/>
      <c r="F223" s="1522">
        <f>F211+F222</f>
        <v>264.77999999999997</v>
      </c>
    </row>
    <row r="224" spans="1:6" ht="15.75" thickBot="1"/>
    <row r="225" spans="1:6" ht="26.25" thickBot="1">
      <c r="A225" s="258" t="s">
        <v>503</v>
      </c>
      <c r="B225" s="259" t="s">
        <v>1492</v>
      </c>
      <c r="C225" s="82" t="s">
        <v>55</v>
      </c>
      <c r="D225" s="107"/>
      <c r="E225" s="107"/>
      <c r="F225" s="108"/>
    </row>
    <row r="226" spans="1:6">
      <c r="A226" s="2041" t="s">
        <v>1494</v>
      </c>
      <c r="B226" s="2042"/>
      <c r="C226" s="2042"/>
      <c r="D226" s="2042"/>
      <c r="E226" s="2042"/>
      <c r="F226" s="2043"/>
    </row>
    <row r="227" spans="1:6" ht="30">
      <c r="A227" s="1476"/>
      <c r="B227" s="1477" t="s">
        <v>48</v>
      </c>
      <c r="C227" s="1478" t="s">
        <v>49</v>
      </c>
      <c r="D227" s="1479" t="s">
        <v>50</v>
      </c>
      <c r="E227" s="1480" t="s">
        <v>51</v>
      </c>
      <c r="F227" s="30" t="s">
        <v>52</v>
      </c>
    </row>
    <row r="228" spans="1:6">
      <c r="A228" s="1292">
        <v>88264</v>
      </c>
      <c r="B228" s="1481" t="s">
        <v>94</v>
      </c>
      <c r="C228" s="1293" t="s">
        <v>57</v>
      </c>
      <c r="D228" s="1428">
        <v>0.34599999999999997</v>
      </c>
      <c r="E228" s="1278">
        <v>25.54</v>
      </c>
      <c r="F228" s="261">
        <f>TRUNC(D228*E228,2)</f>
        <v>8.83</v>
      </c>
    </row>
    <row r="229" spans="1:6" ht="25.5">
      <c r="A229" s="1429">
        <v>88247</v>
      </c>
      <c r="B229" s="1481" t="s">
        <v>93</v>
      </c>
      <c r="C229" s="1293" t="s">
        <v>57</v>
      </c>
      <c r="D229" s="1428">
        <v>0.34599999999999997</v>
      </c>
      <c r="E229" s="1001">
        <v>21</v>
      </c>
      <c r="F229" s="261">
        <f>TRUNC(D229*E229,2)</f>
        <v>7.26</v>
      </c>
    </row>
    <row r="230" spans="1:6">
      <c r="A230" s="1482"/>
      <c r="B230" s="1483"/>
      <c r="C230" s="1484"/>
      <c r="D230" s="1485"/>
      <c r="E230" s="1040" t="s">
        <v>58</v>
      </c>
      <c r="F230" s="262">
        <f>SUM(F228:F229)</f>
        <v>16.09</v>
      </c>
    </row>
    <row r="231" spans="1:6" ht="30">
      <c r="A231" s="1296"/>
      <c r="B231" s="981" t="s">
        <v>95</v>
      </c>
      <c r="C231" s="1419" t="s">
        <v>49</v>
      </c>
      <c r="D231" s="1420" t="s">
        <v>50</v>
      </c>
      <c r="E231" s="1267" t="s">
        <v>62</v>
      </c>
      <c r="F231" s="38" t="s">
        <v>52</v>
      </c>
    </row>
    <row r="232" spans="1:6" ht="25.5">
      <c r="A232" s="1429">
        <v>39771</v>
      </c>
      <c r="B232" s="1247" t="s">
        <v>1495</v>
      </c>
      <c r="C232" s="1293" t="s">
        <v>55</v>
      </c>
      <c r="D232" s="1294">
        <v>1</v>
      </c>
      <c r="E232" s="1001">
        <v>42.05</v>
      </c>
      <c r="F232" s="261">
        <f>TRUNC(D232*E232,2)</f>
        <v>42.05</v>
      </c>
    </row>
    <row r="233" spans="1:6" ht="15.75" thickBot="1">
      <c r="A233" s="1135"/>
      <c r="B233" s="1136"/>
      <c r="C233" s="1137"/>
      <c r="D233" s="1138"/>
      <c r="E233" s="1040" t="s">
        <v>58</v>
      </c>
      <c r="F233" s="1154">
        <f>SUM(F232:F232)</f>
        <v>42.05</v>
      </c>
    </row>
    <row r="234" spans="1:6" ht="15.75" thickBot="1">
      <c r="A234" s="87"/>
      <c r="B234" s="2038" t="s">
        <v>53</v>
      </c>
      <c r="C234" s="2038"/>
      <c r="D234" s="2038"/>
      <c r="E234" s="2038"/>
      <c r="F234" s="264">
        <f>F230+F233</f>
        <v>58.14</v>
      </c>
    </row>
    <row r="235" spans="1:6" ht="15.75" thickBot="1"/>
    <row r="236" spans="1:6" ht="26.25" thickBot="1">
      <c r="A236" s="258" t="s">
        <v>505</v>
      </c>
      <c r="B236" s="259" t="s">
        <v>1493</v>
      </c>
      <c r="C236" s="82" t="s">
        <v>55</v>
      </c>
      <c r="D236" s="107"/>
      <c r="E236" s="107"/>
      <c r="F236" s="108"/>
    </row>
    <row r="237" spans="1:6">
      <c r="A237" s="2041" t="s">
        <v>1494</v>
      </c>
      <c r="B237" s="2042"/>
      <c r="C237" s="2042"/>
      <c r="D237" s="2042"/>
      <c r="E237" s="2042"/>
      <c r="F237" s="2043"/>
    </row>
    <row r="238" spans="1:6" ht="30">
      <c r="A238" s="1476"/>
      <c r="B238" s="1477" t="s">
        <v>48</v>
      </c>
      <c r="C238" s="1478" t="s">
        <v>49</v>
      </c>
      <c r="D238" s="1479" t="s">
        <v>50</v>
      </c>
      <c r="E238" s="1480" t="s">
        <v>51</v>
      </c>
      <c r="F238" s="30" t="s">
        <v>52</v>
      </c>
    </row>
    <row r="239" spans="1:6">
      <c r="A239" s="1292">
        <v>88264</v>
      </c>
      <c r="B239" s="1481" t="s">
        <v>94</v>
      </c>
      <c r="C239" s="1293" t="s">
        <v>57</v>
      </c>
      <c r="D239" s="1428">
        <v>0.34599999999999997</v>
      </c>
      <c r="E239" s="1278">
        <v>25.54</v>
      </c>
      <c r="F239" s="261">
        <f>TRUNC(D239*E239,2)</f>
        <v>8.83</v>
      </c>
    </row>
    <row r="240" spans="1:6" ht="25.5">
      <c r="A240" s="1429">
        <v>88247</v>
      </c>
      <c r="B240" s="1481" t="s">
        <v>93</v>
      </c>
      <c r="C240" s="1293" t="s">
        <v>57</v>
      </c>
      <c r="D240" s="1428">
        <v>0.34599999999999997</v>
      </c>
      <c r="E240" s="1001">
        <v>21</v>
      </c>
      <c r="F240" s="261">
        <f>TRUNC(D240*E240,2)</f>
        <v>7.26</v>
      </c>
    </row>
    <row r="241" spans="1:6">
      <c r="A241" s="1482"/>
      <c r="B241" s="1483"/>
      <c r="C241" s="1484"/>
      <c r="D241" s="1485"/>
      <c r="E241" s="1040" t="s">
        <v>58</v>
      </c>
      <c r="F241" s="262">
        <f>SUM(F239:F240)</f>
        <v>16.09</v>
      </c>
    </row>
    <row r="242" spans="1:6" ht="30">
      <c r="A242" s="1296"/>
      <c r="B242" s="981" t="s">
        <v>95</v>
      </c>
      <c r="C242" s="1419" t="s">
        <v>49</v>
      </c>
      <c r="D242" s="1420" t="s">
        <v>50</v>
      </c>
      <c r="E242" s="1267" t="s">
        <v>62</v>
      </c>
      <c r="F242" s="38" t="s">
        <v>52</v>
      </c>
    </row>
    <row r="243" spans="1:6" ht="25.5">
      <c r="A243" s="1429">
        <v>39773</v>
      </c>
      <c r="B243" s="1247" t="s">
        <v>1496</v>
      </c>
      <c r="C243" s="1293" t="s">
        <v>55</v>
      </c>
      <c r="D243" s="1294">
        <v>1</v>
      </c>
      <c r="E243" s="1001">
        <v>132.85</v>
      </c>
      <c r="F243" s="261">
        <f>TRUNC(D243*E243,2)</f>
        <v>132.85</v>
      </c>
    </row>
    <row r="244" spans="1:6" ht="15.75" thickBot="1">
      <c r="A244" s="1135"/>
      <c r="B244" s="1136"/>
      <c r="C244" s="1137"/>
      <c r="D244" s="1138"/>
      <c r="E244" s="1040" t="s">
        <v>58</v>
      </c>
      <c r="F244" s="1154">
        <f>SUM(F243:F243)</f>
        <v>132.85</v>
      </c>
    </row>
    <row r="245" spans="1:6" ht="15.75" thickBot="1">
      <c r="A245" s="87"/>
      <c r="B245" s="2038" t="s">
        <v>53</v>
      </c>
      <c r="C245" s="2038"/>
      <c r="D245" s="2038"/>
      <c r="E245" s="2038"/>
      <c r="F245" s="264">
        <f>F241+F244</f>
        <v>148.94</v>
      </c>
    </row>
    <row r="246" spans="1:6" ht="15.75" thickBot="1">
      <c r="A246" s="285"/>
      <c r="B246" s="478"/>
      <c r="C246" s="478"/>
      <c r="D246" s="478"/>
      <c r="E246" s="478"/>
      <c r="F246" s="479"/>
    </row>
    <row r="247" spans="1:6" ht="15.75" thickBot="1">
      <c r="A247" s="258" t="s">
        <v>1498</v>
      </c>
      <c r="B247" s="259" t="s">
        <v>2362</v>
      </c>
      <c r="C247" s="82" t="s">
        <v>55</v>
      </c>
      <c r="D247" s="107"/>
      <c r="E247" s="107"/>
      <c r="F247" s="108"/>
    </row>
    <row r="248" spans="1:6">
      <c r="A248" s="2041" t="s">
        <v>483</v>
      </c>
      <c r="B248" s="2042"/>
      <c r="C248" s="2042"/>
      <c r="D248" s="2042"/>
      <c r="E248" s="2042"/>
      <c r="F248" s="2043"/>
    </row>
    <row r="249" spans="1:6" ht="30">
      <c r="A249" s="1476"/>
      <c r="B249" s="1477" t="s">
        <v>48</v>
      </c>
      <c r="C249" s="1478" t="s">
        <v>49</v>
      </c>
      <c r="D249" s="1479" t="s">
        <v>50</v>
      </c>
      <c r="E249" s="1480" t="s">
        <v>51</v>
      </c>
      <c r="F249" s="30" t="s">
        <v>52</v>
      </c>
    </row>
    <row r="250" spans="1:6">
      <c r="A250" s="1292">
        <v>88264</v>
      </c>
      <c r="B250" s="1481" t="s">
        <v>94</v>
      </c>
      <c r="C250" s="1293" t="s">
        <v>57</v>
      </c>
      <c r="D250" s="1489">
        <v>0.2</v>
      </c>
      <c r="E250" s="1278">
        <v>25.54</v>
      </c>
      <c r="F250" s="32">
        <f>TRUNC(D250*E250,2)</f>
        <v>5.0999999999999996</v>
      </c>
    </row>
    <row r="251" spans="1:6" ht="25.5">
      <c r="A251" s="1429">
        <v>88247</v>
      </c>
      <c r="B251" s="1481" t="s">
        <v>93</v>
      </c>
      <c r="C251" s="1293" t="s">
        <v>57</v>
      </c>
      <c r="D251" s="1489">
        <v>0.2</v>
      </c>
      <c r="E251" s="1001">
        <v>21</v>
      </c>
      <c r="F251" s="32">
        <f>TRUNC(D251*E251,2)</f>
        <v>4.2</v>
      </c>
    </row>
    <row r="252" spans="1:6">
      <c r="A252" s="1482"/>
      <c r="B252" s="1483"/>
      <c r="C252" s="1484"/>
      <c r="D252" s="1485"/>
      <c r="E252" s="1040" t="s">
        <v>58</v>
      </c>
      <c r="F252" s="33">
        <f>SUM(F250:F251)</f>
        <v>9.3000000000000007</v>
      </c>
    </row>
    <row r="253" spans="1:6" ht="30">
      <c r="A253" s="1492"/>
      <c r="B253" s="981" t="s">
        <v>95</v>
      </c>
      <c r="C253" s="1419" t="s">
        <v>49</v>
      </c>
      <c r="D253" s="1420" t="s">
        <v>50</v>
      </c>
      <c r="E253" s="1267" t="s">
        <v>62</v>
      </c>
      <c r="F253" s="38" t="s">
        <v>52</v>
      </c>
    </row>
    <row r="254" spans="1:6">
      <c r="A254" s="1429" t="s">
        <v>65</v>
      </c>
      <c r="B254" s="1247" t="s">
        <v>2362</v>
      </c>
      <c r="C254" s="1293" t="s">
        <v>55</v>
      </c>
      <c r="D254" s="1490">
        <v>1</v>
      </c>
      <c r="E254" s="1139">
        <f>C262</f>
        <v>1.41</v>
      </c>
      <c r="F254" s="32">
        <f>TRUNC(D254*E254,2)</f>
        <v>1.41</v>
      </c>
    </row>
    <row r="255" spans="1:6" ht="15.75" thickBot="1">
      <c r="A255" s="1135"/>
      <c r="B255" s="1136"/>
      <c r="C255" s="1137"/>
      <c r="D255" s="1138"/>
      <c r="E255" s="1040" t="s">
        <v>58</v>
      </c>
      <c r="F255" s="984">
        <f>SUM(F254:F254)</f>
        <v>1.41</v>
      </c>
    </row>
    <row r="256" spans="1:6" ht="15.75" thickBot="1">
      <c r="A256" s="87"/>
      <c r="B256" s="2044" t="s">
        <v>53</v>
      </c>
      <c r="C256" s="2045"/>
      <c r="D256" s="2045"/>
      <c r="E256" s="2046"/>
      <c r="F256" s="90">
        <f>F252+F255</f>
        <v>10.71</v>
      </c>
    </row>
    <row r="257" spans="1:6">
      <c r="A257" s="88"/>
      <c r="B257" s="2047" t="s">
        <v>96</v>
      </c>
      <c r="C257" s="2048"/>
      <c r="D257" s="2048"/>
      <c r="E257" s="2049"/>
      <c r="F257" s="89"/>
    </row>
    <row r="258" spans="1:6" ht="25.5">
      <c r="A258" s="1266" t="s">
        <v>59</v>
      </c>
      <c r="B258" s="1267" t="s">
        <v>97</v>
      </c>
      <c r="C258" s="1268" t="s">
        <v>98</v>
      </c>
      <c r="D258" s="2039" t="s">
        <v>60</v>
      </c>
      <c r="E258" s="2040"/>
      <c r="F258" s="76" t="s">
        <v>99</v>
      </c>
    </row>
    <row r="259" spans="1:6" ht="24">
      <c r="A259" s="1246">
        <v>44868</v>
      </c>
      <c r="B259" s="1247" t="s">
        <v>2265</v>
      </c>
      <c r="C259" s="1248">
        <v>1.29</v>
      </c>
      <c r="D259" s="1981" t="s">
        <v>2266</v>
      </c>
      <c r="E259" s="1982"/>
      <c r="F259" s="1282" t="s">
        <v>2267</v>
      </c>
    </row>
    <row r="260" spans="1:6">
      <c r="A260" s="1246">
        <v>44869</v>
      </c>
      <c r="B260" s="1247" t="s">
        <v>2245</v>
      </c>
      <c r="C260" s="1248">
        <v>6.6</v>
      </c>
      <c r="D260" s="1981" t="s">
        <v>2246</v>
      </c>
      <c r="E260" s="1982"/>
      <c r="F260" s="1282" t="s">
        <v>2247</v>
      </c>
    </row>
    <row r="261" spans="1:6">
      <c r="A261" s="1246">
        <v>44872</v>
      </c>
      <c r="B261" s="1247" t="s">
        <v>2268</v>
      </c>
      <c r="C261" s="1248">
        <v>1.41</v>
      </c>
      <c r="D261" s="1981" t="s">
        <v>2080</v>
      </c>
      <c r="E261" s="1982"/>
      <c r="F261" s="1282" t="s">
        <v>2081</v>
      </c>
    </row>
    <row r="262" spans="1:6" ht="15.75" thickBot="1">
      <c r="A262" s="63"/>
      <c r="B262" s="1488" t="s">
        <v>61</v>
      </c>
      <c r="C262" s="1491">
        <f>MEDIAN(C259:C261)</f>
        <v>1.41</v>
      </c>
      <c r="D262" s="2036"/>
      <c r="E262" s="2037"/>
      <c r="F262" s="65"/>
    </row>
    <row r="263" spans="1:6" ht="15.75" thickBot="1">
      <c r="A263" s="285"/>
      <c r="B263" s="478"/>
      <c r="C263" s="478"/>
      <c r="D263" s="478"/>
      <c r="E263" s="478"/>
      <c r="F263" s="479"/>
    </row>
    <row r="264" spans="1:6" ht="15.75" customHeight="1" thickBot="1">
      <c r="A264" s="258" t="s">
        <v>1497</v>
      </c>
      <c r="B264" s="259" t="s">
        <v>1526</v>
      </c>
      <c r="C264" s="82" t="s">
        <v>55</v>
      </c>
      <c r="D264" s="107"/>
      <c r="E264" s="107"/>
      <c r="F264" s="108"/>
    </row>
    <row r="265" spans="1:6">
      <c r="A265" s="2041" t="s">
        <v>1527</v>
      </c>
      <c r="B265" s="2042"/>
      <c r="C265" s="2042"/>
      <c r="D265" s="2042"/>
      <c r="E265" s="2042"/>
      <c r="F265" s="2043"/>
    </row>
    <row r="266" spans="1:6" ht="30">
      <c r="A266" s="1476"/>
      <c r="B266" s="1477" t="s">
        <v>48</v>
      </c>
      <c r="C266" s="1478" t="s">
        <v>49</v>
      </c>
      <c r="D266" s="1479" t="s">
        <v>50</v>
      </c>
      <c r="E266" s="1480" t="s">
        <v>51</v>
      </c>
      <c r="F266" s="30" t="s">
        <v>52</v>
      </c>
    </row>
    <row r="267" spans="1:6">
      <c r="A267" s="1523">
        <v>88264</v>
      </c>
      <c r="B267" s="1481" t="s">
        <v>94</v>
      </c>
      <c r="C267" s="1293" t="s">
        <v>57</v>
      </c>
      <c r="D267" s="1428">
        <v>0.3</v>
      </c>
      <c r="E267" s="1278">
        <v>25.54</v>
      </c>
      <c r="F267" s="261">
        <f>TRUNC(D267*E267,2)</f>
        <v>7.66</v>
      </c>
    </row>
    <row r="268" spans="1:6" ht="25.5">
      <c r="A268" s="1524">
        <v>88247</v>
      </c>
      <c r="B268" s="1481" t="s">
        <v>93</v>
      </c>
      <c r="C268" s="1293" t="s">
        <v>57</v>
      </c>
      <c r="D268" s="1428">
        <v>0.3</v>
      </c>
      <c r="E268" s="1001">
        <v>21</v>
      </c>
      <c r="F268" s="261">
        <f>TRUNC(D268*E268,2)</f>
        <v>6.3</v>
      </c>
    </row>
    <row r="269" spans="1:6">
      <c r="A269" s="1482"/>
      <c r="B269" s="1483"/>
      <c r="C269" s="1484"/>
      <c r="D269" s="1485"/>
      <c r="E269" s="1040" t="s">
        <v>58</v>
      </c>
      <c r="F269" s="262">
        <f>SUM(F267:F268)</f>
        <v>13.96</v>
      </c>
    </row>
    <row r="270" spans="1:6" ht="30">
      <c r="A270" s="1492"/>
      <c r="B270" s="981" t="s">
        <v>95</v>
      </c>
      <c r="C270" s="1419" t="s">
        <v>49</v>
      </c>
      <c r="D270" s="1420" t="s">
        <v>50</v>
      </c>
      <c r="E270" s="1267" t="s">
        <v>62</v>
      </c>
      <c r="F270" s="38" t="s">
        <v>52</v>
      </c>
    </row>
    <row r="271" spans="1:6" ht="38.25">
      <c r="A271" s="1429" t="s">
        <v>65</v>
      </c>
      <c r="B271" s="1525" t="s">
        <v>1525</v>
      </c>
      <c r="C271" s="1293" t="s">
        <v>55</v>
      </c>
      <c r="D271" s="1294">
        <v>1</v>
      </c>
      <c r="E271" s="1001">
        <f>C279</f>
        <v>460</v>
      </c>
      <c r="F271" s="261">
        <f>TRUNC(D271*E271,2)</f>
        <v>460</v>
      </c>
    </row>
    <row r="272" spans="1:6" ht="15.75" thickBot="1">
      <c r="A272" s="1135"/>
      <c r="B272" s="1136"/>
      <c r="C272" s="1137"/>
      <c r="D272" s="1138"/>
      <c r="E272" s="1040" t="s">
        <v>58</v>
      </c>
      <c r="F272" s="1154">
        <f>SUM(F271:F271)</f>
        <v>460</v>
      </c>
    </row>
    <row r="273" spans="1:6" ht="15.75" thickBot="1">
      <c r="A273" s="87"/>
      <c r="B273" s="2038" t="s">
        <v>53</v>
      </c>
      <c r="C273" s="2038"/>
      <c r="D273" s="2038"/>
      <c r="E273" s="2038"/>
      <c r="F273" s="264">
        <f>F269+F272</f>
        <v>473.96</v>
      </c>
    </row>
    <row r="274" spans="1:6">
      <c r="A274" s="88"/>
      <c r="B274" s="1962" t="s">
        <v>96</v>
      </c>
      <c r="C274" s="1963"/>
      <c r="D274" s="1963"/>
      <c r="E274" s="1964"/>
      <c r="F274" s="89"/>
    </row>
    <row r="275" spans="1:6" ht="25.5">
      <c r="A275" s="1266" t="s">
        <v>59</v>
      </c>
      <c r="B275" s="1267" t="s">
        <v>97</v>
      </c>
      <c r="C275" s="1268" t="s">
        <v>98</v>
      </c>
      <c r="D275" s="1966" t="s">
        <v>60</v>
      </c>
      <c r="E275" s="1966"/>
      <c r="F275" s="76" t="s">
        <v>99</v>
      </c>
    </row>
    <row r="276" spans="1:6">
      <c r="A276" s="1246">
        <v>44859</v>
      </c>
      <c r="B276" s="1247" t="s">
        <v>2269</v>
      </c>
      <c r="C276" s="1248">
        <v>460</v>
      </c>
      <c r="D276" s="1981" t="s">
        <v>2270</v>
      </c>
      <c r="E276" s="1982"/>
      <c r="F276" s="961" t="s">
        <v>2271</v>
      </c>
    </row>
    <row r="277" spans="1:6">
      <c r="A277" s="1246">
        <v>44861</v>
      </c>
      <c r="B277" s="1247" t="s">
        <v>2218</v>
      </c>
      <c r="C277" s="1248">
        <v>514.17999999999995</v>
      </c>
      <c r="D277" s="1981" t="s">
        <v>2111</v>
      </c>
      <c r="E277" s="1982"/>
      <c r="F277" s="1282" t="s">
        <v>2272</v>
      </c>
    </row>
    <row r="278" spans="1:6">
      <c r="A278" s="1246">
        <v>44861</v>
      </c>
      <c r="B278" s="1247" t="s">
        <v>2273</v>
      </c>
      <c r="C278" s="1248">
        <v>440.43</v>
      </c>
      <c r="D278" s="1981" t="s">
        <v>2274</v>
      </c>
      <c r="E278" s="1982"/>
      <c r="F278" s="1282" t="s">
        <v>2275</v>
      </c>
    </row>
    <row r="279" spans="1:6" ht="15.75" thickBot="1">
      <c r="A279" s="63"/>
      <c r="B279" s="1488" t="s">
        <v>61</v>
      </c>
      <c r="C279" s="1491">
        <f>MEDIAN(C276:C278)</f>
        <v>460</v>
      </c>
      <c r="D279" s="2036"/>
      <c r="E279" s="2037"/>
      <c r="F279" s="65"/>
    </row>
    <row r="280" spans="1:6" ht="15.75" thickBot="1">
      <c r="A280" s="285"/>
      <c r="B280" s="478"/>
      <c r="C280" s="478"/>
      <c r="D280" s="478"/>
      <c r="E280" s="478"/>
      <c r="F280" s="479"/>
    </row>
    <row r="281" spans="1:6" ht="17.25" customHeight="1" thickBot="1">
      <c r="A281" s="258" t="s">
        <v>1528</v>
      </c>
      <c r="B281" s="259" t="s">
        <v>1530</v>
      </c>
      <c r="C281" s="82" t="s">
        <v>55</v>
      </c>
      <c r="D281" s="107"/>
      <c r="E281" s="107"/>
      <c r="F281" s="108"/>
    </row>
    <row r="282" spans="1:6">
      <c r="A282" s="2041" t="s">
        <v>1531</v>
      </c>
      <c r="B282" s="2042"/>
      <c r="C282" s="2042"/>
      <c r="D282" s="2042"/>
      <c r="E282" s="2042"/>
      <c r="F282" s="2043"/>
    </row>
    <row r="283" spans="1:6" ht="30">
      <c r="A283" s="1476"/>
      <c r="B283" s="1477" t="s">
        <v>48</v>
      </c>
      <c r="C283" s="1478" t="s">
        <v>49</v>
      </c>
      <c r="D283" s="1479" t="s">
        <v>50</v>
      </c>
      <c r="E283" s="1480" t="s">
        <v>51</v>
      </c>
      <c r="F283" s="30" t="s">
        <v>52</v>
      </c>
    </row>
    <row r="284" spans="1:6">
      <c r="A284" s="1523">
        <v>88264</v>
      </c>
      <c r="B284" s="1481" t="s">
        <v>94</v>
      </c>
      <c r="C284" s="1293" t="s">
        <v>57</v>
      </c>
      <c r="D284" s="1428">
        <v>0.25</v>
      </c>
      <c r="E284" s="1278">
        <v>25.54</v>
      </c>
      <c r="F284" s="261">
        <f>TRUNC(D284*E284,2)</f>
        <v>6.38</v>
      </c>
    </row>
    <row r="285" spans="1:6" ht="25.5">
      <c r="A285" s="1524">
        <v>88247</v>
      </c>
      <c r="B285" s="1481" t="s">
        <v>93</v>
      </c>
      <c r="C285" s="1293" t="s">
        <v>57</v>
      </c>
      <c r="D285" s="1428">
        <v>0.25</v>
      </c>
      <c r="E285" s="1001">
        <v>21</v>
      </c>
      <c r="F285" s="261">
        <f>TRUNC(D285*E285,2)</f>
        <v>5.25</v>
      </c>
    </row>
    <row r="286" spans="1:6">
      <c r="A286" s="1482"/>
      <c r="B286" s="1483"/>
      <c r="C286" s="1484"/>
      <c r="D286" s="1485"/>
      <c r="E286" s="1040" t="s">
        <v>58</v>
      </c>
      <c r="F286" s="262">
        <f>SUM(F284:F285)</f>
        <v>11.629999999999999</v>
      </c>
    </row>
    <row r="287" spans="1:6" ht="30">
      <c r="A287" s="1492"/>
      <c r="B287" s="981" t="s">
        <v>95</v>
      </c>
      <c r="C287" s="1419" t="s">
        <v>49</v>
      </c>
      <c r="D287" s="1420" t="s">
        <v>50</v>
      </c>
      <c r="E287" s="1267" t="s">
        <v>62</v>
      </c>
      <c r="F287" s="38" t="s">
        <v>52</v>
      </c>
    </row>
    <row r="288" spans="1:6">
      <c r="A288" s="1429" t="s">
        <v>65</v>
      </c>
      <c r="B288" s="1525" t="s">
        <v>1529</v>
      </c>
      <c r="C288" s="1293" t="s">
        <v>55</v>
      </c>
      <c r="D288" s="1294">
        <v>1</v>
      </c>
      <c r="E288" s="1001">
        <f>C296</f>
        <v>21.52</v>
      </c>
      <c r="F288" s="261">
        <f>TRUNC(D288*E288,2)</f>
        <v>21.52</v>
      </c>
    </row>
    <row r="289" spans="1:6" ht="15.75" thickBot="1">
      <c r="A289" s="1135"/>
      <c r="B289" s="1136"/>
      <c r="C289" s="1137"/>
      <c r="D289" s="1138"/>
      <c r="E289" s="1040" t="s">
        <v>58</v>
      </c>
      <c r="F289" s="1154">
        <f>SUM(F288:F288)</f>
        <v>21.52</v>
      </c>
    </row>
    <row r="290" spans="1:6" ht="15.75" thickBot="1">
      <c r="A290" s="87"/>
      <c r="B290" s="2038" t="s">
        <v>53</v>
      </c>
      <c r="C290" s="2038"/>
      <c r="D290" s="2038"/>
      <c r="E290" s="2038"/>
      <c r="F290" s="264">
        <f>F286+F289</f>
        <v>33.15</v>
      </c>
    </row>
    <row r="291" spans="1:6">
      <c r="A291" s="88"/>
      <c r="B291" s="1962" t="s">
        <v>96</v>
      </c>
      <c r="C291" s="1963"/>
      <c r="D291" s="1963"/>
      <c r="E291" s="1964"/>
      <c r="F291" s="89"/>
    </row>
    <row r="292" spans="1:6" ht="25.5">
      <c r="A292" s="1266" t="s">
        <v>59</v>
      </c>
      <c r="B292" s="1267" t="s">
        <v>97</v>
      </c>
      <c r="C292" s="1268" t="s">
        <v>98</v>
      </c>
      <c r="D292" s="1966" t="s">
        <v>60</v>
      </c>
      <c r="E292" s="1966"/>
      <c r="F292" s="76" t="s">
        <v>99</v>
      </c>
    </row>
    <row r="293" spans="1:6">
      <c r="A293" s="1246">
        <v>44861</v>
      </c>
      <c r="B293" s="1247" t="s">
        <v>2276</v>
      </c>
      <c r="C293" s="1248">
        <v>21.52</v>
      </c>
      <c r="D293" s="1981" t="s">
        <v>2277</v>
      </c>
      <c r="E293" s="1982"/>
      <c r="F293" s="62" t="s">
        <v>2275</v>
      </c>
    </row>
    <row r="294" spans="1:6">
      <c r="A294" s="1246">
        <v>44856</v>
      </c>
      <c r="B294" s="1247" t="s">
        <v>2278</v>
      </c>
      <c r="C294" s="1248">
        <v>32.24</v>
      </c>
      <c r="D294" s="1981" t="s">
        <v>2279</v>
      </c>
      <c r="E294" s="1982"/>
      <c r="F294" s="1282" t="s">
        <v>2280</v>
      </c>
    </row>
    <row r="295" spans="1:6">
      <c r="A295" s="1246">
        <v>44881</v>
      </c>
      <c r="B295" s="1247" t="s">
        <v>2107</v>
      </c>
      <c r="C295" s="1248">
        <v>19.3</v>
      </c>
      <c r="D295" s="1981" t="s">
        <v>2133</v>
      </c>
      <c r="E295" s="1982"/>
      <c r="F295" s="62" t="s">
        <v>2134</v>
      </c>
    </row>
    <row r="296" spans="1:6" ht="15.75" thickBot="1">
      <c r="A296" s="63"/>
      <c r="B296" s="1488" t="s">
        <v>61</v>
      </c>
      <c r="C296" s="1491">
        <f>MEDIAN(C293:C295)</f>
        <v>21.52</v>
      </c>
      <c r="D296" s="2036"/>
      <c r="E296" s="2037"/>
      <c r="F296" s="65"/>
    </row>
    <row r="297" spans="1:6" ht="15.75" thickBot="1">
      <c r="A297" s="285"/>
      <c r="B297" s="478"/>
      <c r="C297" s="478"/>
      <c r="D297" s="478"/>
      <c r="E297" s="478"/>
      <c r="F297" s="479"/>
    </row>
    <row r="298" spans="1:6" ht="26.25" thickBot="1">
      <c r="A298" s="258" t="s">
        <v>1533</v>
      </c>
      <c r="B298" s="265" t="s">
        <v>485</v>
      </c>
      <c r="C298" s="82" t="s">
        <v>55</v>
      </c>
      <c r="D298" s="107"/>
      <c r="E298" s="107"/>
      <c r="F298" s="108"/>
    </row>
    <row r="299" spans="1:6">
      <c r="A299" s="2041" t="s">
        <v>486</v>
      </c>
      <c r="B299" s="2042"/>
      <c r="C299" s="2042"/>
      <c r="D299" s="2042"/>
      <c r="E299" s="2042"/>
      <c r="F299" s="2043"/>
    </row>
    <row r="300" spans="1:6" ht="30">
      <c r="A300" s="1476"/>
      <c r="B300" s="1526" t="s">
        <v>48</v>
      </c>
      <c r="C300" s="1478" t="s">
        <v>49</v>
      </c>
      <c r="D300" s="1479" t="s">
        <v>50</v>
      </c>
      <c r="E300" s="1480" t="s">
        <v>51</v>
      </c>
      <c r="F300" s="30" t="s">
        <v>52</v>
      </c>
    </row>
    <row r="301" spans="1:6">
      <c r="A301" s="1292">
        <v>88264</v>
      </c>
      <c r="B301" s="1481" t="s">
        <v>94</v>
      </c>
      <c r="C301" s="1527" t="s">
        <v>57</v>
      </c>
      <c r="D301" s="1428">
        <v>4</v>
      </c>
      <c r="E301" s="1278">
        <v>25.54</v>
      </c>
      <c r="F301" s="261">
        <f>TRUNC(D301*E301,2)</f>
        <v>102.16</v>
      </c>
    </row>
    <row r="302" spans="1:6" ht="25.5">
      <c r="A302" s="1429">
        <v>88247</v>
      </c>
      <c r="B302" s="1481" t="s">
        <v>93</v>
      </c>
      <c r="C302" s="1527" t="s">
        <v>57</v>
      </c>
      <c r="D302" s="1428">
        <v>4</v>
      </c>
      <c r="E302" s="1001">
        <v>21</v>
      </c>
      <c r="F302" s="261">
        <f>TRUNC(D302*E302,2)</f>
        <v>84</v>
      </c>
    </row>
    <row r="303" spans="1:6">
      <c r="A303" s="1482"/>
      <c r="B303" s="1483"/>
      <c r="C303" s="1484"/>
      <c r="D303" s="1485"/>
      <c r="E303" s="1040" t="s">
        <v>58</v>
      </c>
      <c r="F303" s="262">
        <f>SUM(F301:F302)</f>
        <v>186.16</v>
      </c>
    </row>
    <row r="304" spans="1:6" ht="30">
      <c r="A304" s="1492"/>
      <c r="B304" s="981" t="s">
        <v>95</v>
      </c>
      <c r="C304" s="1419" t="s">
        <v>49</v>
      </c>
      <c r="D304" s="1420" t="s">
        <v>50</v>
      </c>
      <c r="E304" s="1267" t="s">
        <v>62</v>
      </c>
      <c r="F304" s="38" t="s">
        <v>52</v>
      </c>
    </row>
    <row r="305" spans="1:6" ht="51">
      <c r="A305" s="1528">
        <v>43093</v>
      </c>
      <c r="B305" s="1529" t="s">
        <v>1534</v>
      </c>
      <c r="C305" s="1530" t="s">
        <v>55</v>
      </c>
      <c r="D305" s="1294">
        <v>1</v>
      </c>
      <c r="E305" s="1001">
        <v>284.08</v>
      </c>
      <c r="F305" s="261">
        <f>TRUNC(D305*E305,2)</f>
        <v>284.08</v>
      </c>
    </row>
    <row r="306" spans="1:6" ht="38.25">
      <c r="A306" s="933">
        <v>3380</v>
      </c>
      <c r="B306" s="1247" t="s">
        <v>2135</v>
      </c>
      <c r="C306" s="1293" t="s">
        <v>55</v>
      </c>
      <c r="D306" s="1294">
        <v>1</v>
      </c>
      <c r="E306" s="1001">
        <v>66.900000000000006</v>
      </c>
      <c r="F306" s="261">
        <f>TRUNC(D306*E306,2)</f>
        <v>66.900000000000006</v>
      </c>
    </row>
    <row r="307" spans="1:6" ht="15.75" thickBot="1">
      <c r="A307" s="1135"/>
      <c r="B307" s="1136"/>
      <c r="C307" s="1137"/>
      <c r="D307" s="1138"/>
      <c r="E307" s="1040" t="s">
        <v>58</v>
      </c>
      <c r="F307" s="1154">
        <f>SUM(F305:F306)</f>
        <v>350.98</v>
      </c>
    </row>
    <row r="308" spans="1:6" ht="15.75" thickBot="1">
      <c r="A308" s="87"/>
      <c r="B308" s="2044" t="s">
        <v>53</v>
      </c>
      <c r="C308" s="2045"/>
      <c r="D308" s="2045"/>
      <c r="E308" s="2046"/>
      <c r="F308" s="264">
        <f>F303+F307</f>
        <v>537.14</v>
      </c>
    </row>
    <row r="309" spans="1:6" ht="15.75" thickBot="1"/>
    <row r="310" spans="1:6" ht="15.75" thickBot="1">
      <c r="A310" s="258" t="s">
        <v>1535</v>
      </c>
      <c r="B310" s="259" t="s">
        <v>491</v>
      </c>
      <c r="C310" s="82" t="s">
        <v>55</v>
      </c>
      <c r="D310" s="107"/>
      <c r="E310" s="107"/>
      <c r="F310" s="108"/>
    </row>
    <row r="311" spans="1:6">
      <c r="A311" s="2041" t="s">
        <v>492</v>
      </c>
      <c r="B311" s="2042"/>
      <c r="C311" s="2042"/>
      <c r="D311" s="2042"/>
      <c r="E311" s="2042"/>
      <c r="F311" s="2043"/>
    </row>
    <row r="312" spans="1:6" ht="30">
      <c r="A312" s="1476"/>
      <c r="B312" s="1477" t="s">
        <v>48</v>
      </c>
      <c r="C312" s="1478" t="s">
        <v>49</v>
      </c>
      <c r="D312" s="1479" t="s">
        <v>50</v>
      </c>
      <c r="E312" s="1480" t="s">
        <v>51</v>
      </c>
      <c r="F312" s="30" t="s">
        <v>52</v>
      </c>
    </row>
    <row r="313" spans="1:6">
      <c r="A313" s="1292">
        <v>88264</v>
      </c>
      <c r="B313" s="1481" t="s">
        <v>94</v>
      </c>
      <c r="C313" s="1293" t="s">
        <v>57</v>
      </c>
      <c r="D313" s="1489">
        <v>0.6</v>
      </c>
      <c r="E313" s="1278">
        <v>25.54</v>
      </c>
      <c r="F313" s="32">
        <f>TRUNC(D313*E313,2)</f>
        <v>15.32</v>
      </c>
    </row>
    <row r="314" spans="1:6" ht="25.5">
      <c r="A314" s="1429">
        <v>88247</v>
      </c>
      <c r="B314" s="1481" t="s">
        <v>93</v>
      </c>
      <c r="C314" s="1293" t="s">
        <v>57</v>
      </c>
      <c r="D314" s="1489">
        <v>0.6</v>
      </c>
      <c r="E314" s="1001">
        <v>21</v>
      </c>
      <c r="F314" s="32">
        <f>TRUNC(D314*E314,2)</f>
        <v>12.6</v>
      </c>
    </row>
    <row r="315" spans="1:6">
      <c r="A315" s="1482"/>
      <c r="B315" s="1483"/>
      <c r="C315" s="1484"/>
      <c r="D315" s="1485"/>
      <c r="E315" s="1040" t="s">
        <v>58</v>
      </c>
      <c r="F315" s="33">
        <f>SUM(F313:F314)</f>
        <v>27.92</v>
      </c>
    </row>
    <row r="316" spans="1:6" ht="30">
      <c r="A316" s="1492"/>
      <c r="B316" s="981" t="s">
        <v>95</v>
      </c>
      <c r="C316" s="1419" t="s">
        <v>49</v>
      </c>
      <c r="D316" s="1420" t="s">
        <v>50</v>
      </c>
      <c r="E316" s="1267" t="s">
        <v>62</v>
      </c>
      <c r="F316" s="38" t="s">
        <v>52</v>
      </c>
    </row>
    <row r="317" spans="1:6">
      <c r="A317" s="1429" t="s">
        <v>65</v>
      </c>
      <c r="B317" s="1486" t="s">
        <v>491</v>
      </c>
      <c r="C317" s="1293" t="s">
        <v>55</v>
      </c>
      <c r="D317" s="1490">
        <v>1</v>
      </c>
      <c r="E317" s="1139">
        <f>C325</f>
        <v>321.14999999999998</v>
      </c>
      <c r="F317" s="32">
        <f>TRUNC(D317*E317,2)</f>
        <v>321.14999999999998</v>
      </c>
    </row>
    <row r="318" spans="1:6" ht="15.75" thickBot="1">
      <c r="A318" s="1135"/>
      <c r="B318" s="1136"/>
      <c r="C318" s="1137"/>
      <c r="D318" s="1138"/>
      <c r="E318" s="1040" t="s">
        <v>58</v>
      </c>
      <c r="F318" s="984">
        <f>SUM(F317:F317)</f>
        <v>321.14999999999998</v>
      </c>
    </row>
    <row r="319" spans="1:6" ht="15.75" thickBot="1">
      <c r="A319" s="87"/>
      <c r="B319" s="2044" t="s">
        <v>53</v>
      </c>
      <c r="C319" s="2045"/>
      <c r="D319" s="2045"/>
      <c r="E319" s="2046"/>
      <c r="F319" s="90">
        <f>F315+F318</f>
        <v>349.07</v>
      </c>
    </row>
    <row r="320" spans="1:6">
      <c r="A320" s="88"/>
      <c r="B320" s="2047" t="s">
        <v>96</v>
      </c>
      <c r="C320" s="2048"/>
      <c r="D320" s="2048"/>
      <c r="E320" s="2049"/>
      <c r="F320" s="89"/>
    </row>
    <row r="321" spans="1:6" ht="25.5">
      <c r="A321" s="1266" t="s">
        <v>59</v>
      </c>
      <c r="B321" s="1267" t="s">
        <v>97</v>
      </c>
      <c r="C321" s="1268" t="s">
        <v>98</v>
      </c>
      <c r="D321" s="2039" t="s">
        <v>60</v>
      </c>
      <c r="E321" s="2040"/>
      <c r="F321" s="76" t="s">
        <v>99</v>
      </c>
    </row>
    <row r="322" spans="1:6">
      <c r="A322" s="1246">
        <v>44869</v>
      </c>
      <c r="B322" s="1247" t="s">
        <v>2260</v>
      </c>
      <c r="C322" s="1248">
        <v>298.05</v>
      </c>
      <c r="D322" s="1981" t="s">
        <v>2281</v>
      </c>
      <c r="E322" s="1982"/>
      <c r="F322" s="1282" t="s">
        <v>2282</v>
      </c>
    </row>
    <row r="323" spans="1:6">
      <c r="A323" s="1246">
        <v>44873</v>
      </c>
      <c r="B323" s="1247" t="s">
        <v>2283</v>
      </c>
      <c r="C323" s="1248">
        <v>321.14999999999998</v>
      </c>
      <c r="D323" s="1981" t="s">
        <v>2284</v>
      </c>
      <c r="E323" s="1982"/>
      <c r="F323" s="1282" t="s">
        <v>2134</v>
      </c>
    </row>
    <row r="324" spans="1:6">
      <c r="A324" s="1246">
        <v>44873</v>
      </c>
      <c r="B324" s="1247" t="s">
        <v>2285</v>
      </c>
      <c r="C324" s="1248">
        <v>367.77</v>
      </c>
      <c r="D324" s="1981" t="s">
        <v>2286</v>
      </c>
      <c r="E324" s="1982"/>
      <c r="F324" s="1282" t="s">
        <v>2287</v>
      </c>
    </row>
    <row r="325" spans="1:6" ht="15.75" thickBot="1">
      <c r="A325" s="63"/>
      <c r="B325" s="1488" t="s">
        <v>61</v>
      </c>
      <c r="C325" s="1491">
        <f>MEDIAN(C322:C324)</f>
        <v>321.14999999999998</v>
      </c>
      <c r="D325" s="2036"/>
      <c r="E325" s="2037"/>
      <c r="F325" s="65"/>
    </row>
    <row r="326" spans="1:6" ht="15.75" thickBot="1"/>
    <row r="327" spans="1:6" ht="15.75" thickBot="1">
      <c r="A327" s="258" t="s">
        <v>1536</v>
      </c>
      <c r="B327" s="259" t="s">
        <v>488</v>
      </c>
      <c r="C327" s="82" t="s">
        <v>55</v>
      </c>
      <c r="D327" s="107"/>
      <c r="E327" s="107"/>
      <c r="F327" s="108"/>
    </row>
    <row r="328" spans="1:6">
      <c r="A328" s="2057" t="s">
        <v>489</v>
      </c>
      <c r="B328" s="2058"/>
      <c r="C328" s="2058"/>
      <c r="D328" s="2058"/>
      <c r="E328" s="2058"/>
      <c r="F328" s="2059"/>
    </row>
    <row r="329" spans="1:6" ht="30">
      <c r="A329" s="1476"/>
      <c r="B329" s="1477" t="s">
        <v>48</v>
      </c>
      <c r="C329" s="1478" t="s">
        <v>49</v>
      </c>
      <c r="D329" s="1479" t="s">
        <v>50</v>
      </c>
      <c r="E329" s="1480" t="s">
        <v>51</v>
      </c>
      <c r="F329" s="30" t="s">
        <v>52</v>
      </c>
    </row>
    <row r="330" spans="1:6">
      <c r="A330" s="1292">
        <v>88264</v>
      </c>
      <c r="B330" s="1481" t="s">
        <v>94</v>
      </c>
      <c r="C330" s="1293" t="s">
        <v>57</v>
      </c>
      <c r="D330" s="1428">
        <v>0.05</v>
      </c>
      <c r="E330" s="1278">
        <v>25.54</v>
      </c>
      <c r="F330" s="261">
        <f>TRUNC(D330*E330,2)</f>
        <v>1.27</v>
      </c>
    </row>
    <row r="331" spans="1:6" ht="25.5">
      <c r="A331" s="1429">
        <v>88247</v>
      </c>
      <c r="B331" s="1481" t="s">
        <v>93</v>
      </c>
      <c r="C331" s="1293" t="s">
        <v>57</v>
      </c>
      <c r="D331" s="1428">
        <v>0.05</v>
      </c>
      <c r="E331" s="1001">
        <v>21</v>
      </c>
      <c r="F331" s="261">
        <f>TRUNC(D331*E331,2)</f>
        <v>1.05</v>
      </c>
    </row>
    <row r="332" spans="1:6">
      <c r="A332" s="1482"/>
      <c r="B332" s="1483"/>
      <c r="C332" s="1484"/>
      <c r="D332" s="1485"/>
      <c r="E332" s="1040" t="s">
        <v>58</v>
      </c>
      <c r="F332" s="262">
        <f>SUM(F330:F331)</f>
        <v>2.3200000000000003</v>
      </c>
    </row>
    <row r="333" spans="1:6" ht="30">
      <c r="A333" s="1492"/>
      <c r="B333" s="981" t="s">
        <v>95</v>
      </c>
      <c r="C333" s="1419" t="s">
        <v>49</v>
      </c>
      <c r="D333" s="1420" t="s">
        <v>50</v>
      </c>
      <c r="E333" s="1267" t="s">
        <v>62</v>
      </c>
      <c r="F333" s="38" t="s">
        <v>52</v>
      </c>
    </row>
    <row r="334" spans="1:6">
      <c r="A334" s="1429" t="s">
        <v>65</v>
      </c>
      <c r="B334" s="1247" t="s">
        <v>488</v>
      </c>
      <c r="C334" s="1293" t="s">
        <v>55</v>
      </c>
      <c r="D334" s="1294">
        <v>1</v>
      </c>
      <c r="E334" s="1001">
        <f>C342</f>
        <v>8.3000000000000007</v>
      </c>
      <c r="F334" s="261">
        <f>TRUNC(D334*E334,2)</f>
        <v>8.3000000000000007</v>
      </c>
    </row>
    <row r="335" spans="1:6" ht="15.75" thickBot="1">
      <c r="A335" s="1135"/>
      <c r="B335" s="1136"/>
      <c r="C335" s="1137"/>
      <c r="D335" s="1138"/>
      <c r="E335" s="1040" t="s">
        <v>58</v>
      </c>
      <c r="F335" s="1154">
        <f>SUM(F334:F334)</f>
        <v>8.3000000000000007</v>
      </c>
    </row>
    <row r="336" spans="1:6" ht="15.75" thickBot="1">
      <c r="A336" s="87"/>
      <c r="B336" s="2044" t="s">
        <v>53</v>
      </c>
      <c r="C336" s="2045"/>
      <c r="D336" s="2045"/>
      <c r="E336" s="2046"/>
      <c r="F336" s="264">
        <f>F332+F335</f>
        <v>10.620000000000001</v>
      </c>
    </row>
    <row r="337" spans="1:6">
      <c r="A337" s="88"/>
      <c r="B337" s="2047" t="s">
        <v>96</v>
      </c>
      <c r="C337" s="2048"/>
      <c r="D337" s="2048"/>
      <c r="E337" s="2049"/>
      <c r="F337" s="89"/>
    </row>
    <row r="338" spans="1:6" ht="25.5">
      <c r="A338" s="1266" t="s">
        <v>59</v>
      </c>
      <c r="B338" s="1267" t="s">
        <v>97</v>
      </c>
      <c r="C338" s="1268" t="s">
        <v>98</v>
      </c>
      <c r="D338" s="2039" t="s">
        <v>60</v>
      </c>
      <c r="E338" s="2040"/>
      <c r="F338" s="76" t="s">
        <v>99</v>
      </c>
    </row>
    <row r="339" spans="1:6">
      <c r="A339" s="1246">
        <v>44861</v>
      </c>
      <c r="B339" s="1247" t="s">
        <v>2218</v>
      </c>
      <c r="C339" s="1248">
        <v>7.23</v>
      </c>
      <c r="D339" s="1981" t="s">
        <v>2111</v>
      </c>
      <c r="E339" s="1982"/>
      <c r="F339" s="1282" t="s">
        <v>2272</v>
      </c>
    </row>
    <row r="340" spans="1:6">
      <c r="A340" s="1246">
        <v>44869</v>
      </c>
      <c r="B340" s="1247" t="s">
        <v>2268</v>
      </c>
      <c r="C340" s="1248">
        <v>8.3000000000000007</v>
      </c>
      <c r="D340" s="1981" t="s">
        <v>2080</v>
      </c>
      <c r="E340" s="1982"/>
      <c r="F340" s="1282" t="s">
        <v>2288</v>
      </c>
    </row>
    <row r="341" spans="1:6">
      <c r="A341" s="1246">
        <v>44887</v>
      </c>
      <c r="B341" s="1247" t="s">
        <v>2232</v>
      </c>
      <c r="C341" s="1248">
        <v>20.03</v>
      </c>
      <c r="D341" s="1981" t="s">
        <v>2237</v>
      </c>
      <c r="E341" s="1982"/>
      <c r="F341" s="62" t="s">
        <v>2289</v>
      </c>
    </row>
    <row r="342" spans="1:6" ht="15.75" thickBot="1">
      <c r="A342" s="63"/>
      <c r="B342" s="1488" t="s">
        <v>61</v>
      </c>
      <c r="C342" s="1354">
        <f>MEDIAN(C339:C341)</f>
        <v>8.3000000000000007</v>
      </c>
      <c r="D342" s="2036"/>
      <c r="E342" s="2037"/>
      <c r="F342" s="65"/>
    </row>
    <row r="343" spans="1:6" ht="15.75" thickBot="1"/>
    <row r="344" spans="1:6" ht="25.5">
      <c r="A344" s="226" t="s">
        <v>1546</v>
      </c>
      <c r="B344" s="498" t="s">
        <v>1548</v>
      </c>
      <c r="C344" s="71" t="s">
        <v>55</v>
      </c>
      <c r="D344" s="499"/>
      <c r="E344" s="499"/>
      <c r="F344" s="500"/>
    </row>
    <row r="345" spans="1:6" ht="15.75" thickBot="1">
      <c r="A345" s="2054" t="s">
        <v>1494</v>
      </c>
      <c r="B345" s="2055"/>
      <c r="C345" s="2055"/>
      <c r="D345" s="2055"/>
      <c r="E345" s="2055"/>
      <c r="F345" s="2056"/>
    </row>
    <row r="346" spans="1:6" ht="30">
      <c r="A346" s="1195"/>
      <c r="B346" s="1196" t="s">
        <v>48</v>
      </c>
      <c r="C346" s="1197" t="s">
        <v>49</v>
      </c>
      <c r="D346" s="1198" t="s">
        <v>50</v>
      </c>
      <c r="E346" s="1199" t="s">
        <v>51</v>
      </c>
      <c r="F346" s="1200" t="s">
        <v>52</v>
      </c>
    </row>
    <row r="347" spans="1:6">
      <c r="A347" s="1292">
        <v>88264</v>
      </c>
      <c r="B347" s="1481" t="s">
        <v>94</v>
      </c>
      <c r="C347" s="1293" t="s">
        <v>57</v>
      </c>
      <c r="D347" s="1428">
        <v>0.34599999999999997</v>
      </c>
      <c r="E347" s="1278">
        <v>25.54</v>
      </c>
      <c r="F347" s="261">
        <f>TRUNC(D347*E347,2)</f>
        <v>8.83</v>
      </c>
    </row>
    <row r="348" spans="1:6" ht="25.5">
      <c r="A348" s="1429">
        <v>88247</v>
      </c>
      <c r="B348" s="1481" t="s">
        <v>93</v>
      </c>
      <c r="C348" s="1293" t="s">
        <v>57</v>
      </c>
      <c r="D348" s="1428">
        <v>0.34599999999999997</v>
      </c>
      <c r="E348" s="1001">
        <v>21</v>
      </c>
      <c r="F348" s="261">
        <f>TRUNC(D348*E348,2)</f>
        <v>7.26</v>
      </c>
    </row>
    <row r="349" spans="1:6">
      <c r="A349" s="1482"/>
      <c r="B349" s="1483"/>
      <c r="C349" s="1484"/>
      <c r="D349" s="1485"/>
      <c r="E349" s="1040" t="s">
        <v>58</v>
      </c>
      <c r="F349" s="262">
        <f>SUM(F347:F348)</f>
        <v>16.09</v>
      </c>
    </row>
    <row r="350" spans="1:6" ht="30">
      <c r="A350" s="1492"/>
      <c r="B350" s="981" t="s">
        <v>95</v>
      </c>
      <c r="C350" s="1419" t="s">
        <v>49</v>
      </c>
      <c r="D350" s="1420" t="s">
        <v>50</v>
      </c>
      <c r="E350" s="1267" t="s">
        <v>62</v>
      </c>
      <c r="F350" s="38" t="s">
        <v>52</v>
      </c>
    </row>
    <row r="351" spans="1:6" ht="25.5">
      <c r="A351" s="1429">
        <v>39772</v>
      </c>
      <c r="B351" s="1247" t="s">
        <v>1547</v>
      </c>
      <c r="C351" s="1293" t="s">
        <v>55</v>
      </c>
      <c r="D351" s="1294">
        <v>1</v>
      </c>
      <c r="E351" s="1001">
        <v>82.65</v>
      </c>
      <c r="F351" s="261">
        <f>TRUNC(D351*E351,2)</f>
        <v>82.65</v>
      </c>
    </row>
    <row r="352" spans="1:6">
      <c r="A352" s="1531"/>
      <c r="B352" s="1493"/>
      <c r="C352" s="1484"/>
      <c r="D352" s="1485"/>
      <c r="E352" s="1426" t="s">
        <v>58</v>
      </c>
      <c r="F352" s="212">
        <f>SUM(F351:F351)</f>
        <v>82.65</v>
      </c>
    </row>
    <row r="353" spans="1:6" ht="15.75" thickBot="1">
      <c r="A353" s="1532"/>
      <c r="B353" s="2029" t="s">
        <v>53</v>
      </c>
      <c r="C353" s="2029"/>
      <c r="D353" s="2029"/>
      <c r="E353" s="2029"/>
      <c r="F353" s="1041">
        <f>F349+F352</f>
        <v>98.740000000000009</v>
      </c>
    </row>
    <row r="354" spans="1:6" ht="15.75" thickBot="1"/>
    <row r="355" spans="1:6" ht="25.5">
      <c r="A355" s="226" t="s">
        <v>1549</v>
      </c>
      <c r="B355" s="498" t="s">
        <v>2136</v>
      </c>
      <c r="C355" s="71" t="s">
        <v>55</v>
      </c>
      <c r="D355" s="499"/>
      <c r="E355" s="499"/>
      <c r="F355" s="500"/>
    </row>
    <row r="356" spans="1:6">
      <c r="A356" s="2030" t="s">
        <v>494</v>
      </c>
      <c r="B356" s="2031"/>
      <c r="C356" s="2031"/>
      <c r="D356" s="2031"/>
      <c r="E356" s="2031"/>
      <c r="F356" s="2032"/>
    </row>
    <row r="357" spans="1:6" ht="30">
      <c r="A357" s="1476"/>
      <c r="B357" s="1477" t="s">
        <v>48</v>
      </c>
      <c r="C357" s="1478" t="s">
        <v>49</v>
      </c>
      <c r="D357" s="1479" t="s">
        <v>50</v>
      </c>
      <c r="E357" s="1480" t="s">
        <v>51</v>
      </c>
      <c r="F357" s="30" t="s">
        <v>52</v>
      </c>
    </row>
    <row r="358" spans="1:6">
      <c r="A358" s="1292">
        <v>88264</v>
      </c>
      <c r="B358" s="1481" t="s">
        <v>94</v>
      </c>
      <c r="C358" s="1293" t="s">
        <v>57</v>
      </c>
      <c r="D358" s="1428">
        <v>0.4</v>
      </c>
      <c r="E358" s="1278">
        <v>25.54</v>
      </c>
      <c r="F358" s="261">
        <f>TRUNC(D358*E358,2)</f>
        <v>10.210000000000001</v>
      </c>
    </row>
    <row r="359" spans="1:6" ht="25.5">
      <c r="A359" s="1429">
        <v>88247</v>
      </c>
      <c r="B359" s="1481" t="s">
        <v>93</v>
      </c>
      <c r="C359" s="1293" t="s">
        <v>57</v>
      </c>
      <c r="D359" s="1428">
        <v>0.4</v>
      </c>
      <c r="E359" s="1001">
        <v>21</v>
      </c>
      <c r="F359" s="261">
        <f>TRUNC(D359*E359,2)</f>
        <v>8.4</v>
      </c>
    </row>
    <row r="360" spans="1:6">
      <c r="A360" s="1482"/>
      <c r="B360" s="1483"/>
      <c r="C360" s="1484"/>
      <c r="D360" s="1485"/>
      <c r="E360" s="1040" t="s">
        <v>58</v>
      </c>
      <c r="F360" s="262">
        <f>SUM(F358:F359)</f>
        <v>18.61</v>
      </c>
    </row>
    <row r="361" spans="1:6" ht="30">
      <c r="A361" s="1492"/>
      <c r="B361" s="981" t="s">
        <v>95</v>
      </c>
      <c r="C361" s="1419" t="s">
        <v>49</v>
      </c>
      <c r="D361" s="1420" t="s">
        <v>50</v>
      </c>
      <c r="E361" s="1267" t="s">
        <v>62</v>
      </c>
      <c r="F361" s="38" t="s">
        <v>52</v>
      </c>
    </row>
    <row r="362" spans="1:6">
      <c r="A362" s="1429" t="s">
        <v>65</v>
      </c>
      <c r="B362" s="1525" t="s">
        <v>1553</v>
      </c>
      <c r="C362" s="1293" t="s">
        <v>55</v>
      </c>
      <c r="D362" s="1294">
        <v>1</v>
      </c>
      <c r="E362" s="1001">
        <f>C370</f>
        <v>291.76</v>
      </c>
      <c r="F362" s="261">
        <f>TRUNC(D362*E362,2)</f>
        <v>291.76</v>
      </c>
    </row>
    <row r="363" spans="1:6">
      <c r="A363" s="1531"/>
      <c r="B363" s="1493"/>
      <c r="C363" s="1484"/>
      <c r="D363" s="1485"/>
      <c r="E363" s="1426" t="s">
        <v>58</v>
      </c>
      <c r="F363" s="212">
        <f>SUM(F362:F362)</f>
        <v>291.76</v>
      </c>
    </row>
    <row r="364" spans="1:6" ht="15.75" thickBot="1">
      <c r="A364" s="1532"/>
      <c r="B364" s="2029" t="s">
        <v>53</v>
      </c>
      <c r="C364" s="2029"/>
      <c r="D364" s="2029"/>
      <c r="E364" s="2029"/>
      <c r="F364" s="1041">
        <f>F360+F363</f>
        <v>310.37</v>
      </c>
    </row>
    <row r="365" spans="1:6">
      <c r="A365" s="88"/>
      <c r="B365" s="1962" t="s">
        <v>96</v>
      </c>
      <c r="C365" s="1963"/>
      <c r="D365" s="1963"/>
      <c r="E365" s="1964"/>
      <c r="F365" s="89"/>
    </row>
    <row r="366" spans="1:6" ht="25.5">
      <c r="A366" s="1266" t="s">
        <v>59</v>
      </c>
      <c r="B366" s="1267" t="s">
        <v>97</v>
      </c>
      <c r="C366" s="1268" t="s">
        <v>98</v>
      </c>
      <c r="D366" s="1966" t="s">
        <v>60</v>
      </c>
      <c r="E366" s="1966"/>
      <c r="F366" s="76" t="s">
        <v>99</v>
      </c>
    </row>
    <row r="367" spans="1:6">
      <c r="A367" s="1246">
        <v>44868</v>
      </c>
      <c r="B367" s="1247" t="s">
        <v>2290</v>
      </c>
      <c r="C367" s="1248">
        <v>321.64</v>
      </c>
      <c r="D367" s="1981" t="s">
        <v>2291</v>
      </c>
      <c r="E367" s="1982"/>
      <c r="F367" s="1282" t="s">
        <v>2292</v>
      </c>
    </row>
    <row r="368" spans="1:6">
      <c r="A368" s="1246">
        <v>44873</v>
      </c>
      <c r="B368" s="1247" t="s">
        <v>2293</v>
      </c>
      <c r="C368" s="1248">
        <v>291.76</v>
      </c>
      <c r="D368" s="1981" t="s">
        <v>2235</v>
      </c>
      <c r="E368" s="1982"/>
      <c r="F368" s="1282" t="s">
        <v>2236</v>
      </c>
    </row>
    <row r="369" spans="1:6">
      <c r="A369" s="1246">
        <v>44873</v>
      </c>
      <c r="B369" s="1247" t="s">
        <v>2232</v>
      </c>
      <c r="C369" s="1248">
        <v>255.75</v>
      </c>
      <c r="D369" s="1981" t="s">
        <v>2237</v>
      </c>
      <c r="E369" s="1982"/>
      <c r="F369" s="1282" t="s">
        <v>2289</v>
      </c>
    </row>
    <row r="370" spans="1:6" ht="15.75" thickBot="1">
      <c r="A370" s="63"/>
      <c r="B370" s="1488" t="s">
        <v>61</v>
      </c>
      <c r="C370" s="1491">
        <f>MEDIAN(C367:C369)</f>
        <v>291.76</v>
      </c>
      <c r="D370" s="2036"/>
      <c r="E370" s="2037"/>
      <c r="F370" s="65"/>
    </row>
    <row r="371" spans="1:6" ht="15.75" thickBot="1"/>
    <row r="372" spans="1:6" ht="25.5">
      <c r="A372" s="226" t="s">
        <v>1555</v>
      </c>
      <c r="B372" s="498" t="s">
        <v>1554</v>
      </c>
      <c r="C372" s="71" t="s">
        <v>55</v>
      </c>
      <c r="D372" s="499"/>
      <c r="E372" s="499"/>
      <c r="F372" s="500"/>
    </row>
    <row r="373" spans="1:6">
      <c r="A373" s="2030" t="s">
        <v>504</v>
      </c>
      <c r="B373" s="2031"/>
      <c r="C373" s="2031"/>
      <c r="D373" s="2031"/>
      <c r="E373" s="2031"/>
      <c r="F373" s="2032"/>
    </row>
    <row r="374" spans="1:6" ht="30">
      <c r="A374" s="1476"/>
      <c r="B374" s="1477" t="s">
        <v>48</v>
      </c>
      <c r="C374" s="1478" t="s">
        <v>49</v>
      </c>
      <c r="D374" s="1479" t="s">
        <v>50</v>
      </c>
      <c r="E374" s="1480" t="s">
        <v>51</v>
      </c>
      <c r="F374" s="30" t="s">
        <v>52</v>
      </c>
    </row>
    <row r="375" spans="1:6">
      <c r="A375" s="1523">
        <v>88264</v>
      </c>
      <c r="B375" s="1481" t="s">
        <v>94</v>
      </c>
      <c r="C375" s="1293" t="s">
        <v>57</v>
      </c>
      <c r="D375" s="1428">
        <v>0.3</v>
      </c>
      <c r="E375" s="1278">
        <v>25.54</v>
      </c>
      <c r="F375" s="261">
        <f>TRUNC(D375*E375,2)</f>
        <v>7.66</v>
      </c>
    </row>
    <row r="376" spans="1:6" ht="25.5">
      <c r="A376" s="1524">
        <v>88247</v>
      </c>
      <c r="B376" s="1481" t="s">
        <v>93</v>
      </c>
      <c r="C376" s="1293" t="s">
        <v>57</v>
      </c>
      <c r="D376" s="1428">
        <v>0.3</v>
      </c>
      <c r="E376" s="1001">
        <v>21</v>
      </c>
      <c r="F376" s="261">
        <f>TRUNC(D376*E376,2)</f>
        <v>6.3</v>
      </c>
    </row>
    <row r="377" spans="1:6">
      <c r="A377" s="1482"/>
      <c r="B377" s="1483"/>
      <c r="C377" s="1484"/>
      <c r="D377" s="1485"/>
      <c r="E377" s="1040" t="s">
        <v>58</v>
      </c>
      <c r="F377" s="262">
        <f>SUM(F375:F376)</f>
        <v>13.96</v>
      </c>
    </row>
    <row r="378" spans="1:6" ht="30">
      <c r="A378" s="1492"/>
      <c r="B378" s="981" t="s">
        <v>95</v>
      </c>
      <c r="C378" s="1419" t="s">
        <v>49</v>
      </c>
      <c r="D378" s="1420" t="s">
        <v>50</v>
      </c>
      <c r="E378" s="1267" t="s">
        <v>62</v>
      </c>
      <c r="F378" s="38" t="s">
        <v>52</v>
      </c>
    </row>
    <row r="379" spans="1:6" ht="25.5">
      <c r="A379" s="1429">
        <v>39465</v>
      </c>
      <c r="B379" s="1247" t="s">
        <v>1556</v>
      </c>
      <c r="C379" s="1293" t="s">
        <v>55</v>
      </c>
      <c r="D379" s="1294">
        <v>1</v>
      </c>
      <c r="E379" s="1001">
        <v>75.05</v>
      </c>
      <c r="F379" s="261">
        <f>TRUNC(D379*E379,2)</f>
        <v>75.05</v>
      </c>
    </row>
    <row r="380" spans="1:6">
      <c r="A380" s="1531"/>
      <c r="B380" s="1493"/>
      <c r="C380" s="1484"/>
      <c r="D380" s="1485"/>
      <c r="E380" s="1426" t="s">
        <v>58</v>
      </c>
      <c r="F380" s="212">
        <f>SUM(F379:F379)</f>
        <v>75.05</v>
      </c>
    </row>
    <row r="381" spans="1:6" ht="15.75" thickBot="1">
      <c r="A381" s="1532"/>
      <c r="B381" s="2029" t="s">
        <v>53</v>
      </c>
      <c r="C381" s="2029"/>
      <c r="D381" s="2029"/>
      <c r="E381" s="2029"/>
      <c r="F381" s="1041">
        <f>F377+F380</f>
        <v>89.009999999999991</v>
      </c>
    </row>
    <row r="382" spans="1:6" ht="15.75" thickBot="1"/>
    <row r="383" spans="1:6" ht="25.5">
      <c r="A383" s="226" t="s">
        <v>2137</v>
      </c>
      <c r="B383" s="498" t="s">
        <v>2138</v>
      </c>
      <c r="C383" s="71" t="s">
        <v>55</v>
      </c>
      <c r="D383" s="499"/>
      <c r="E383" s="499"/>
      <c r="F383" s="500"/>
    </row>
    <row r="384" spans="1:6">
      <c r="A384" s="2030" t="s">
        <v>494</v>
      </c>
      <c r="B384" s="2031"/>
      <c r="C384" s="2031"/>
      <c r="D384" s="2031"/>
      <c r="E384" s="2031"/>
      <c r="F384" s="2032"/>
    </row>
    <row r="385" spans="1:6" ht="30">
      <c r="A385" s="1476"/>
      <c r="B385" s="1477" t="s">
        <v>48</v>
      </c>
      <c r="C385" s="1478" t="s">
        <v>49</v>
      </c>
      <c r="D385" s="1479" t="s">
        <v>50</v>
      </c>
      <c r="E385" s="1480" t="s">
        <v>51</v>
      </c>
      <c r="F385" s="30" t="s">
        <v>52</v>
      </c>
    </row>
    <row r="386" spans="1:6">
      <c r="A386" s="1523">
        <v>88264</v>
      </c>
      <c r="B386" s="1481" t="s">
        <v>94</v>
      </c>
      <c r="C386" s="1293" t="s">
        <v>57</v>
      </c>
      <c r="D386" s="1428">
        <v>0.4</v>
      </c>
      <c r="E386" s="1278">
        <v>25.54</v>
      </c>
      <c r="F386" s="261">
        <f>TRUNC(D386*E386,2)</f>
        <v>10.210000000000001</v>
      </c>
    </row>
    <row r="387" spans="1:6" ht="25.5">
      <c r="A387" s="1524">
        <v>88247</v>
      </c>
      <c r="B387" s="1481" t="s">
        <v>93</v>
      </c>
      <c r="C387" s="1293" t="s">
        <v>57</v>
      </c>
      <c r="D387" s="1428">
        <v>0.4</v>
      </c>
      <c r="E387" s="1001">
        <v>21</v>
      </c>
      <c r="F387" s="261">
        <f>TRUNC(D387*E387,2)</f>
        <v>8.4</v>
      </c>
    </row>
    <row r="388" spans="1:6">
      <c r="A388" s="1482"/>
      <c r="B388" s="1483"/>
      <c r="C388" s="1484"/>
      <c r="D388" s="1485"/>
      <c r="E388" s="1040" t="s">
        <v>58</v>
      </c>
      <c r="F388" s="262">
        <f>SUM(F386:F387)</f>
        <v>18.61</v>
      </c>
    </row>
    <row r="389" spans="1:6" ht="30">
      <c r="A389" s="1492"/>
      <c r="B389" s="981" t="s">
        <v>95</v>
      </c>
      <c r="C389" s="1419" t="s">
        <v>49</v>
      </c>
      <c r="D389" s="1420" t="s">
        <v>50</v>
      </c>
      <c r="E389" s="1267" t="s">
        <v>62</v>
      </c>
      <c r="F389" s="38" t="s">
        <v>52</v>
      </c>
    </row>
    <row r="390" spans="1:6">
      <c r="A390" s="1429" t="s">
        <v>65</v>
      </c>
      <c r="B390" s="1525" t="s">
        <v>2139</v>
      </c>
      <c r="C390" s="1293" t="s">
        <v>55</v>
      </c>
      <c r="D390" s="1294">
        <v>1</v>
      </c>
      <c r="E390" s="1001">
        <f>C398</f>
        <v>311.11</v>
      </c>
      <c r="F390" s="261">
        <f>TRUNC(D390*E390,2)</f>
        <v>311.11</v>
      </c>
    </row>
    <row r="391" spans="1:6">
      <c r="A391" s="1531"/>
      <c r="B391" s="1493"/>
      <c r="C391" s="1484"/>
      <c r="D391" s="1485"/>
      <c r="E391" s="1426" t="s">
        <v>58</v>
      </c>
      <c r="F391" s="212">
        <f>SUM(F390:F390)</f>
        <v>311.11</v>
      </c>
    </row>
    <row r="392" spans="1:6" ht="15.75" thickBot="1">
      <c r="A392" s="1532"/>
      <c r="B392" s="2029" t="s">
        <v>53</v>
      </c>
      <c r="C392" s="2029"/>
      <c r="D392" s="2029"/>
      <c r="E392" s="2029"/>
      <c r="F392" s="1041">
        <f>F388+F391</f>
        <v>329.72</v>
      </c>
    </row>
    <row r="393" spans="1:6">
      <c r="A393" s="88"/>
      <c r="B393" s="1962" t="s">
        <v>96</v>
      </c>
      <c r="C393" s="1963"/>
      <c r="D393" s="1963"/>
      <c r="E393" s="1964"/>
      <c r="F393" s="89"/>
    </row>
    <row r="394" spans="1:6" ht="25.5">
      <c r="A394" s="1266" t="s">
        <v>59</v>
      </c>
      <c r="B394" s="1267" t="s">
        <v>97</v>
      </c>
      <c r="C394" s="1268" t="s">
        <v>98</v>
      </c>
      <c r="D394" s="1966" t="s">
        <v>60</v>
      </c>
      <c r="E394" s="1966"/>
      <c r="F394" s="76" t="s">
        <v>99</v>
      </c>
    </row>
    <row r="395" spans="1:6">
      <c r="A395" s="1246">
        <v>44861</v>
      </c>
      <c r="B395" s="1247" t="s">
        <v>2218</v>
      </c>
      <c r="C395" s="1248">
        <v>311.11</v>
      </c>
      <c r="D395" s="1981" t="s">
        <v>2111</v>
      </c>
      <c r="E395" s="1982"/>
      <c r="F395" s="1282" t="s">
        <v>2272</v>
      </c>
    </row>
    <row r="396" spans="1:6" ht="15.75" thickBot="1">
      <c r="A396" s="1244">
        <v>44881</v>
      </c>
      <c r="B396" s="1245" t="s">
        <v>2260</v>
      </c>
      <c r="C396" s="1242">
        <v>468.73</v>
      </c>
      <c r="D396" s="2050" t="s">
        <v>2281</v>
      </c>
      <c r="E396" s="2051"/>
      <c r="F396" s="1290" t="s">
        <v>2282</v>
      </c>
    </row>
    <row r="397" spans="1:6" ht="15.75" thickBot="1">
      <c r="A397" s="1244">
        <v>44881</v>
      </c>
      <c r="B397" s="991" t="s">
        <v>2294</v>
      </c>
      <c r="C397" s="1243">
        <v>124.9</v>
      </c>
      <c r="D397" s="2052" t="s">
        <v>2295</v>
      </c>
      <c r="E397" s="2053"/>
      <c r="F397" s="1291" t="s">
        <v>2296</v>
      </c>
    </row>
    <row r="398" spans="1:6" ht="15.75" thickBot="1">
      <c r="A398" s="63"/>
      <c r="B398" s="1488" t="s">
        <v>61</v>
      </c>
      <c r="C398" s="1491">
        <f>MEDIAN(C395:C397)</f>
        <v>311.11</v>
      </c>
      <c r="D398" s="2036"/>
      <c r="E398" s="2037"/>
      <c r="F398" s="65"/>
    </row>
    <row r="399" spans="1:6" ht="15.75" thickBot="1"/>
    <row r="400" spans="1:6" ht="25.5">
      <c r="A400" s="226" t="s">
        <v>1564</v>
      </c>
      <c r="B400" s="498" t="s">
        <v>2140</v>
      </c>
      <c r="C400" s="71" t="s">
        <v>55</v>
      </c>
      <c r="D400" s="499"/>
      <c r="E400" s="499"/>
      <c r="F400" s="500"/>
    </row>
    <row r="401" spans="1:6">
      <c r="A401" s="2030" t="s">
        <v>1562</v>
      </c>
      <c r="B401" s="2031"/>
      <c r="C401" s="2031"/>
      <c r="D401" s="2031"/>
      <c r="E401" s="2031"/>
      <c r="F401" s="2032"/>
    </row>
    <row r="402" spans="1:6" ht="30">
      <c r="A402" s="1476"/>
      <c r="B402" s="1477" t="s">
        <v>48</v>
      </c>
      <c r="C402" s="1478" t="s">
        <v>49</v>
      </c>
      <c r="D402" s="1479" t="s">
        <v>50</v>
      </c>
      <c r="E402" s="1480" t="s">
        <v>51</v>
      </c>
      <c r="F402" s="30" t="s">
        <v>52</v>
      </c>
    </row>
    <row r="403" spans="1:6">
      <c r="A403" s="1523">
        <v>88264</v>
      </c>
      <c r="B403" s="1481" t="s">
        <v>94</v>
      </c>
      <c r="C403" s="1293" t="s">
        <v>57</v>
      </c>
      <c r="D403" s="1428">
        <v>0.05</v>
      </c>
      <c r="E403" s="1278">
        <v>25.54</v>
      </c>
      <c r="F403" s="261">
        <f>TRUNC(D403*E403,2)</f>
        <v>1.27</v>
      </c>
    </row>
    <row r="404" spans="1:6" ht="25.5">
      <c r="A404" s="1524">
        <v>88247</v>
      </c>
      <c r="B404" s="1481" t="s">
        <v>93</v>
      </c>
      <c r="C404" s="1293" t="s">
        <v>57</v>
      </c>
      <c r="D404" s="1428">
        <v>2.5000000000000001E-2</v>
      </c>
      <c r="E404" s="1001">
        <v>21</v>
      </c>
      <c r="F404" s="261">
        <f>TRUNC(D404*E404,2)</f>
        <v>0.52</v>
      </c>
    </row>
    <row r="405" spans="1:6">
      <c r="A405" s="1482"/>
      <c r="B405" s="1483"/>
      <c r="C405" s="1484"/>
      <c r="D405" s="1485"/>
      <c r="E405" s="1040" t="s">
        <v>58</v>
      </c>
      <c r="F405" s="262">
        <f>SUM(F403:F404)</f>
        <v>1.79</v>
      </c>
    </row>
    <row r="406" spans="1:6" ht="30">
      <c r="A406" s="1492"/>
      <c r="B406" s="981" t="s">
        <v>95</v>
      </c>
      <c r="C406" s="1419" t="s">
        <v>49</v>
      </c>
      <c r="D406" s="1420" t="s">
        <v>50</v>
      </c>
      <c r="E406" s="1267" t="s">
        <v>62</v>
      </c>
      <c r="F406" s="38" t="s">
        <v>52</v>
      </c>
    </row>
    <row r="407" spans="1:6" ht="25.5">
      <c r="A407" s="1429" t="s">
        <v>65</v>
      </c>
      <c r="B407" s="1247" t="s">
        <v>2072</v>
      </c>
      <c r="C407" s="1293" t="s">
        <v>55</v>
      </c>
      <c r="D407" s="1294">
        <v>1</v>
      </c>
      <c r="E407" s="1001">
        <f>C415</f>
        <v>2.21</v>
      </c>
      <c r="F407" s="261">
        <f>TRUNC(D407*E407,2)</f>
        <v>2.21</v>
      </c>
    </row>
    <row r="408" spans="1:6">
      <c r="A408" s="1531"/>
      <c r="B408" s="1493"/>
      <c r="C408" s="1484"/>
      <c r="D408" s="1485"/>
      <c r="E408" s="1426" t="s">
        <v>58</v>
      </c>
      <c r="F408" s="212">
        <f>SUM(F407:F407)</f>
        <v>2.21</v>
      </c>
    </row>
    <row r="409" spans="1:6" ht="15.75" thickBot="1">
      <c r="A409" s="1532"/>
      <c r="B409" s="2029" t="s">
        <v>53</v>
      </c>
      <c r="C409" s="2029"/>
      <c r="D409" s="2029"/>
      <c r="E409" s="2029"/>
      <c r="F409" s="1041">
        <f>F405+F408</f>
        <v>4</v>
      </c>
    </row>
    <row r="410" spans="1:6">
      <c r="A410" s="88"/>
      <c r="B410" s="1962" t="s">
        <v>96</v>
      </c>
      <c r="C410" s="1963"/>
      <c r="D410" s="1963"/>
      <c r="E410" s="1964"/>
      <c r="F410" s="89"/>
    </row>
    <row r="411" spans="1:6" ht="25.5">
      <c r="A411" s="1266" t="s">
        <v>59</v>
      </c>
      <c r="B411" s="1267" t="s">
        <v>97</v>
      </c>
      <c r="C411" s="1268" t="s">
        <v>98</v>
      </c>
      <c r="D411" s="1966" t="s">
        <v>60</v>
      </c>
      <c r="E411" s="1966"/>
      <c r="F411" s="76" t="s">
        <v>99</v>
      </c>
    </row>
    <row r="412" spans="1:6">
      <c r="A412" s="1246">
        <v>44869</v>
      </c>
      <c r="B412" s="1247" t="s">
        <v>2268</v>
      </c>
      <c r="C412" s="1248">
        <v>2.21</v>
      </c>
      <c r="D412" s="1981" t="s">
        <v>2080</v>
      </c>
      <c r="E412" s="1982"/>
      <c r="F412" s="1282" t="s">
        <v>2288</v>
      </c>
    </row>
    <row r="413" spans="1:6">
      <c r="A413" s="1246">
        <v>44869</v>
      </c>
      <c r="B413" s="1247" t="s">
        <v>2107</v>
      </c>
      <c r="C413" s="1248">
        <v>1.01</v>
      </c>
      <c r="D413" s="1981" t="s">
        <v>2133</v>
      </c>
      <c r="E413" s="1982"/>
      <c r="F413" s="1282" t="s">
        <v>2134</v>
      </c>
    </row>
    <row r="414" spans="1:6">
      <c r="A414" s="1246">
        <v>44872</v>
      </c>
      <c r="B414" s="1247" t="s">
        <v>2232</v>
      </c>
      <c r="C414" s="1248">
        <v>3.95</v>
      </c>
      <c r="D414" s="1981" t="s">
        <v>2237</v>
      </c>
      <c r="E414" s="1982"/>
      <c r="F414" s="1282" t="s">
        <v>2289</v>
      </c>
    </row>
    <row r="415" spans="1:6" ht="15.75" thickBot="1">
      <c r="A415" s="63"/>
      <c r="B415" s="1488" t="s">
        <v>61</v>
      </c>
      <c r="C415" s="1491">
        <f>MEDIAN(C412:C414)</f>
        <v>2.21</v>
      </c>
      <c r="D415" s="2036"/>
      <c r="E415" s="2037"/>
      <c r="F415" s="65"/>
    </row>
    <row r="416" spans="1:6" ht="15.75" thickBot="1"/>
    <row r="417" spans="1:6" ht="25.5">
      <c r="A417" s="226" t="s">
        <v>1567</v>
      </c>
      <c r="B417" s="498" t="s">
        <v>1560</v>
      </c>
      <c r="C417" s="71" t="s">
        <v>55</v>
      </c>
      <c r="D417" s="499"/>
      <c r="E417" s="499"/>
      <c r="F417" s="500"/>
    </row>
    <row r="418" spans="1:6">
      <c r="A418" s="2030" t="s">
        <v>506</v>
      </c>
      <c r="B418" s="2031"/>
      <c r="C418" s="2031"/>
      <c r="D418" s="2031"/>
      <c r="E418" s="2031"/>
      <c r="F418" s="2032"/>
    </row>
    <row r="419" spans="1:6" ht="30">
      <c r="A419" s="1476"/>
      <c r="B419" s="1477" t="s">
        <v>48</v>
      </c>
      <c r="C419" s="1478" t="s">
        <v>49</v>
      </c>
      <c r="D419" s="1479" t="s">
        <v>50</v>
      </c>
      <c r="E419" s="1480" t="s">
        <v>51</v>
      </c>
      <c r="F419" s="30" t="s">
        <v>52</v>
      </c>
    </row>
    <row r="420" spans="1:6">
      <c r="A420" s="1523">
        <v>88264</v>
      </c>
      <c r="B420" s="1481" t="s">
        <v>94</v>
      </c>
      <c r="C420" s="1293" t="s">
        <v>57</v>
      </c>
      <c r="D420" s="1428">
        <v>1.2</v>
      </c>
      <c r="E420" s="1278">
        <v>25.54</v>
      </c>
      <c r="F420" s="261">
        <f>TRUNC(D420*E420,2)</f>
        <v>30.64</v>
      </c>
    </row>
    <row r="421" spans="1:6" ht="25.5">
      <c r="A421" s="1524">
        <v>88247</v>
      </c>
      <c r="B421" s="1481" t="s">
        <v>93</v>
      </c>
      <c r="C421" s="1293" t="s">
        <v>57</v>
      </c>
      <c r="D421" s="1428">
        <v>1.2</v>
      </c>
      <c r="E421" s="1001">
        <v>21</v>
      </c>
      <c r="F421" s="261">
        <f>TRUNC(D421*E421,2)</f>
        <v>25.2</v>
      </c>
    </row>
    <row r="422" spans="1:6">
      <c r="A422" s="1482"/>
      <c r="B422" s="1483"/>
      <c r="C422" s="1484"/>
      <c r="D422" s="1485"/>
      <c r="E422" s="1040" t="s">
        <v>58</v>
      </c>
      <c r="F422" s="262">
        <f>SUM(F420:F421)</f>
        <v>55.84</v>
      </c>
    </row>
    <row r="423" spans="1:6" ht="30">
      <c r="A423" s="1492"/>
      <c r="B423" s="981" t="s">
        <v>95</v>
      </c>
      <c r="C423" s="1419" t="s">
        <v>49</v>
      </c>
      <c r="D423" s="1420" t="s">
        <v>50</v>
      </c>
      <c r="E423" s="1267" t="s">
        <v>62</v>
      </c>
      <c r="F423" s="38" t="s">
        <v>52</v>
      </c>
    </row>
    <row r="424" spans="1:6">
      <c r="A424" s="1296">
        <v>39387</v>
      </c>
      <c r="B424" s="1486" t="s">
        <v>507</v>
      </c>
      <c r="C424" s="1293" t="s">
        <v>55</v>
      </c>
      <c r="D424" s="1294">
        <v>4</v>
      </c>
      <c r="E424" s="1001">
        <v>13.61</v>
      </c>
      <c r="F424" s="261">
        <f>TRUNC(D424*E424,2)</f>
        <v>54.44</v>
      </c>
    </row>
    <row r="425" spans="1:6" ht="25.5">
      <c r="A425" s="933">
        <v>14543</v>
      </c>
      <c r="B425" s="1486" t="s">
        <v>508</v>
      </c>
      <c r="C425" s="1293" t="s">
        <v>55</v>
      </c>
      <c r="D425" s="1155">
        <v>4</v>
      </c>
      <c r="E425" s="1001">
        <v>7.51</v>
      </c>
      <c r="F425" s="261">
        <f>TRUNC(D425*E425,2)</f>
        <v>30.04</v>
      </c>
    </row>
    <row r="426" spans="1:6" ht="25.5">
      <c r="A426" s="933" t="s">
        <v>65</v>
      </c>
      <c r="B426" s="1486" t="s">
        <v>1568</v>
      </c>
      <c r="C426" s="1293" t="s">
        <v>55</v>
      </c>
      <c r="D426" s="1155">
        <v>1</v>
      </c>
      <c r="E426" s="1001">
        <f>C434</f>
        <v>206.53</v>
      </c>
      <c r="F426" s="261">
        <f>TRUNC(D426*E426,2)</f>
        <v>206.53</v>
      </c>
    </row>
    <row r="427" spans="1:6">
      <c r="A427" s="1531"/>
      <c r="B427" s="1493"/>
      <c r="C427" s="1484"/>
      <c r="D427" s="1485"/>
      <c r="E427" s="1426" t="s">
        <v>58</v>
      </c>
      <c r="F427" s="212">
        <f>SUM(F424:F426)</f>
        <v>291.01</v>
      </c>
    </row>
    <row r="428" spans="1:6" ht="15.75" thickBot="1">
      <c r="A428" s="1532"/>
      <c r="B428" s="2029" t="s">
        <v>53</v>
      </c>
      <c r="C428" s="2029"/>
      <c r="D428" s="2029"/>
      <c r="E428" s="2029"/>
      <c r="F428" s="1041">
        <f>F422+F427</f>
        <v>346.85</v>
      </c>
    </row>
    <row r="429" spans="1:6">
      <c r="A429" s="267"/>
      <c r="B429" s="1978" t="s">
        <v>96</v>
      </c>
      <c r="C429" s="1979"/>
      <c r="D429" s="1979"/>
      <c r="E429" s="1980"/>
      <c r="F429" s="268"/>
    </row>
    <row r="430" spans="1:6" ht="25.5">
      <c r="A430" s="1266" t="s">
        <v>59</v>
      </c>
      <c r="B430" s="1267" t="s">
        <v>97</v>
      </c>
      <c r="C430" s="1268" t="s">
        <v>98</v>
      </c>
      <c r="D430" s="1966" t="s">
        <v>60</v>
      </c>
      <c r="E430" s="1966"/>
      <c r="F430" s="76" t="s">
        <v>99</v>
      </c>
    </row>
    <row r="431" spans="1:6">
      <c r="A431" s="1246">
        <v>44861</v>
      </c>
      <c r="B431" s="1247" t="s">
        <v>2218</v>
      </c>
      <c r="C431" s="1248">
        <v>283.62</v>
      </c>
      <c r="D431" s="1981" t="s">
        <v>2111</v>
      </c>
      <c r="E431" s="1982"/>
      <c r="F431" s="1282" t="s">
        <v>2272</v>
      </c>
    </row>
    <row r="432" spans="1:6">
      <c r="A432" s="1246">
        <v>44881</v>
      </c>
      <c r="B432" s="1247" t="s">
        <v>2297</v>
      </c>
      <c r="C432" s="1248">
        <v>170.33</v>
      </c>
      <c r="D432" s="1981" t="s">
        <v>2298</v>
      </c>
      <c r="E432" s="1982"/>
      <c r="F432" s="1282" t="s">
        <v>2299</v>
      </c>
    </row>
    <row r="433" spans="1:6">
      <c r="A433" s="1246">
        <v>44881</v>
      </c>
      <c r="B433" s="1247" t="s">
        <v>2300</v>
      </c>
      <c r="C433" s="1248">
        <v>206.53</v>
      </c>
      <c r="D433" s="1981" t="s">
        <v>2301</v>
      </c>
      <c r="E433" s="1982"/>
      <c r="F433" s="1282" t="s">
        <v>2302</v>
      </c>
    </row>
    <row r="434" spans="1:6" ht="15.75" thickBot="1">
      <c r="A434" s="63"/>
      <c r="B434" s="1488" t="s">
        <v>61</v>
      </c>
      <c r="C434" s="1491">
        <f>MEDIAN(C431:C433)</f>
        <v>206.53</v>
      </c>
      <c r="D434" s="2036"/>
      <c r="E434" s="2037"/>
      <c r="F434" s="65"/>
    </row>
    <row r="435" spans="1:6" ht="15.75" thickBot="1">
      <c r="A435" s="168"/>
      <c r="B435" s="1464"/>
      <c r="C435" s="455"/>
      <c r="D435" s="94"/>
      <c r="E435" s="94"/>
      <c r="F435" s="168"/>
    </row>
    <row r="436" spans="1:6" ht="25.5">
      <c r="A436" s="226" t="s">
        <v>1569</v>
      </c>
      <c r="B436" s="498" t="s">
        <v>1578</v>
      </c>
      <c r="C436" s="71" t="s">
        <v>55</v>
      </c>
      <c r="D436" s="499"/>
      <c r="E436" s="499"/>
      <c r="F436" s="500"/>
    </row>
    <row r="437" spans="1:6">
      <c r="A437" s="2030" t="s">
        <v>1570</v>
      </c>
      <c r="B437" s="2031"/>
      <c r="C437" s="2031"/>
      <c r="D437" s="2031"/>
      <c r="E437" s="2031"/>
      <c r="F437" s="2032"/>
    </row>
    <row r="438" spans="1:6" ht="30">
      <c r="A438" s="1476"/>
      <c r="B438" s="1477" t="s">
        <v>48</v>
      </c>
      <c r="C438" s="1478" t="s">
        <v>49</v>
      </c>
      <c r="D438" s="1479" t="s">
        <v>50</v>
      </c>
      <c r="E438" s="1480" t="s">
        <v>51</v>
      </c>
      <c r="F438" s="30" t="s">
        <v>52</v>
      </c>
    </row>
    <row r="439" spans="1:6">
      <c r="A439" s="1523">
        <v>88264</v>
      </c>
      <c r="B439" s="1481" t="s">
        <v>94</v>
      </c>
      <c r="C439" s="1293" t="s">
        <v>57</v>
      </c>
      <c r="D439" s="1428">
        <v>0.5</v>
      </c>
      <c r="E439" s="1278">
        <v>25.54</v>
      </c>
      <c r="F439" s="261">
        <f>TRUNC(D439*E439,2)</f>
        <v>12.77</v>
      </c>
    </row>
    <row r="440" spans="1:6" ht="25.5">
      <c r="A440" s="1524">
        <v>88247</v>
      </c>
      <c r="B440" s="1481" t="s">
        <v>93</v>
      </c>
      <c r="C440" s="1293" t="s">
        <v>57</v>
      </c>
      <c r="D440" s="1428">
        <v>0.3</v>
      </c>
      <c r="E440" s="1001">
        <v>21</v>
      </c>
      <c r="F440" s="261">
        <f>TRUNC(D440*E440,2)</f>
        <v>6.3</v>
      </c>
    </row>
    <row r="441" spans="1:6">
      <c r="A441" s="1482"/>
      <c r="B441" s="1483"/>
      <c r="C441" s="1484"/>
      <c r="D441" s="1485"/>
      <c r="E441" s="1040" t="s">
        <v>58</v>
      </c>
      <c r="F441" s="262">
        <f>SUM(F439:F440)</f>
        <v>19.07</v>
      </c>
    </row>
    <row r="442" spans="1:6" ht="30">
      <c r="A442" s="1492"/>
      <c r="B442" s="981" t="s">
        <v>95</v>
      </c>
      <c r="C442" s="1419" t="s">
        <v>49</v>
      </c>
      <c r="D442" s="1420" t="s">
        <v>50</v>
      </c>
      <c r="E442" s="1267" t="s">
        <v>62</v>
      </c>
      <c r="F442" s="38" t="s">
        <v>52</v>
      </c>
    </row>
    <row r="443" spans="1:6" ht="38.25">
      <c r="A443" s="1292">
        <v>7568</v>
      </c>
      <c r="B443" s="1247" t="s">
        <v>2303</v>
      </c>
      <c r="C443" s="1293" t="s">
        <v>55</v>
      </c>
      <c r="D443" s="1294">
        <v>2</v>
      </c>
      <c r="E443" s="1001">
        <v>0.61</v>
      </c>
      <c r="F443" s="261">
        <f>TRUNC(D443*E443,2)</f>
        <v>1.22</v>
      </c>
    </row>
    <row r="444" spans="1:6" ht="25.5">
      <c r="A444" s="933">
        <v>39391</v>
      </c>
      <c r="B444" s="1247" t="s">
        <v>1583</v>
      </c>
      <c r="C444" s="1293" t="s">
        <v>55</v>
      </c>
      <c r="D444" s="1155">
        <v>1</v>
      </c>
      <c r="E444" s="1001">
        <v>41.65</v>
      </c>
      <c r="F444" s="261">
        <f>TRUNC(D444*E444,2)</f>
        <v>41.65</v>
      </c>
    </row>
    <row r="445" spans="1:6">
      <c r="A445" s="1531"/>
      <c r="B445" s="1493"/>
      <c r="C445" s="1484"/>
      <c r="D445" s="1485"/>
      <c r="E445" s="1426" t="s">
        <v>58</v>
      </c>
      <c r="F445" s="212">
        <f>SUM(F443:F444)</f>
        <v>42.87</v>
      </c>
    </row>
    <row r="446" spans="1:6" ht="15.75" thickBot="1">
      <c r="A446" s="1532"/>
      <c r="B446" s="2029" t="s">
        <v>53</v>
      </c>
      <c r="C446" s="2029"/>
      <c r="D446" s="2029"/>
      <c r="E446" s="2029"/>
      <c r="F446" s="1041">
        <f>F441+F445</f>
        <v>61.94</v>
      </c>
    </row>
    <row r="447" spans="1:6" ht="15.75" thickBot="1">
      <c r="A447" s="168"/>
      <c r="B447" s="1464"/>
      <c r="C447" s="455"/>
      <c r="D447" s="94"/>
      <c r="E447" s="94"/>
      <c r="F447" s="168"/>
    </row>
    <row r="448" spans="1:6" ht="25.5">
      <c r="A448" s="226" t="s">
        <v>1571</v>
      </c>
      <c r="B448" s="498" t="s">
        <v>1577</v>
      </c>
      <c r="C448" s="71" t="s">
        <v>55</v>
      </c>
      <c r="D448" s="499"/>
      <c r="E448" s="499"/>
      <c r="F448" s="500"/>
    </row>
    <row r="449" spans="1:6">
      <c r="A449" s="2030" t="s">
        <v>1570</v>
      </c>
      <c r="B449" s="2031"/>
      <c r="C449" s="2031"/>
      <c r="D449" s="2031"/>
      <c r="E449" s="2031"/>
      <c r="F449" s="2032"/>
    </row>
    <row r="450" spans="1:6" ht="30">
      <c r="A450" s="1476"/>
      <c r="B450" s="1477" t="s">
        <v>48</v>
      </c>
      <c r="C450" s="1478" t="s">
        <v>49</v>
      </c>
      <c r="D450" s="1479" t="s">
        <v>50</v>
      </c>
      <c r="E450" s="1480" t="s">
        <v>51</v>
      </c>
      <c r="F450" s="30" t="s">
        <v>52</v>
      </c>
    </row>
    <row r="451" spans="1:6">
      <c r="A451" s="1523">
        <v>88264</v>
      </c>
      <c r="B451" s="1481" t="s">
        <v>94</v>
      </c>
      <c r="C451" s="1293" t="s">
        <v>57</v>
      </c>
      <c r="D451" s="1428">
        <v>0.5</v>
      </c>
      <c r="E451" s="1278">
        <v>25.54</v>
      </c>
      <c r="F451" s="261">
        <f>TRUNC(D451*E451,2)</f>
        <v>12.77</v>
      </c>
    </row>
    <row r="452" spans="1:6" ht="25.5">
      <c r="A452" s="1524">
        <v>88247</v>
      </c>
      <c r="B452" s="1481" t="s">
        <v>93</v>
      </c>
      <c r="C452" s="1293" t="s">
        <v>57</v>
      </c>
      <c r="D452" s="1428">
        <v>0.3</v>
      </c>
      <c r="E452" s="1001">
        <v>21</v>
      </c>
      <c r="F452" s="261">
        <f>TRUNC(D452*E452,2)</f>
        <v>6.3</v>
      </c>
    </row>
    <row r="453" spans="1:6">
      <c r="A453" s="1482"/>
      <c r="B453" s="1483"/>
      <c r="C453" s="1484"/>
      <c r="D453" s="1485"/>
      <c r="E453" s="1040" t="s">
        <v>58</v>
      </c>
      <c r="F453" s="262">
        <f>SUM(F451:F452)</f>
        <v>19.07</v>
      </c>
    </row>
    <row r="454" spans="1:6" ht="30">
      <c r="A454" s="1492"/>
      <c r="B454" s="981" t="s">
        <v>95</v>
      </c>
      <c r="C454" s="1419" t="s">
        <v>49</v>
      </c>
      <c r="D454" s="1420" t="s">
        <v>50</v>
      </c>
      <c r="E454" s="1267" t="s">
        <v>62</v>
      </c>
      <c r="F454" s="38" t="s">
        <v>52</v>
      </c>
    </row>
    <row r="455" spans="1:6" ht="38.25">
      <c r="A455" s="1292">
        <v>7568</v>
      </c>
      <c r="B455" s="1247" t="s">
        <v>2303</v>
      </c>
      <c r="C455" s="1293" t="s">
        <v>55</v>
      </c>
      <c r="D455" s="1294">
        <v>2</v>
      </c>
      <c r="E455" s="1001">
        <v>0.61</v>
      </c>
      <c r="F455" s="261">
        <f>TRUNC(D455*E455,2)</f>
        <v>1.22</v>
      </c>
    </row>
    <row r="456" spans="1:6" ht="25.5">
      <c r="A456" s="933">
        <v>39389</v>
      </c>
      <c r="B456" s="1247" t="s">
        <v>1573</v>
      </c>
      <c r="C456" s="1293" t="s">
        <v>55</v>
      </c>
      <c r="D456" s="1155">
        <v>1</v>
      </c>
      <c r="E456" s="1001">
        <v>17.7</v>
      </c>
      <c r="F456" s="261">
        <f>TRUNC(D456*E456,2)</f>
        <v>17.7</v>
      </c>
    </row>
    <row r="457" spans="1:6">
      <c r="A457" s="1531"/>
      <c r="B457" s="1493"/>
      <c r="C457" s="1484"/>
      <c r="D457" s="1485"/>
      <c r="E457" s="1426" t="s">
        <v>58</v>
      </c>
      <c r="F457" s="212">
        <f>SUM(F455:F456)</f>
        <v>18.919999999999998</v>
      </c>
    </row>
    <row r="458" spans="1:6" ht="15.75" thickBot="1">
      <c r="A458" s="1532"/>
      <c r="B458" s="2029" t="s">
        <v>53</v>
      </c>
      <c r="C458" s="2029"/>
      <c r="D458" s="2029"/>
      <c r="E458" s="2029"/>
      <c r="F458" s="1041">
        <f>F453+F457</f>
        <v>37.989999999999995</v>
      </c>
    </row>
    <row r="459" spans="1:6" ht="15.75" thickBot="1">
      <c r="A459" s="315"/>
      <c r="B459" s="1463"/>
      <c r="C459" s="494"/>
      <c r="D459" s="495"/>
      <c r="E459" s="496"/>
      <c r="F459" s="497"/>
    </row>
    <row r="460" spans="1:6" ht="25.5">
      <c r="A460" s="226" t="s">
        <v>1572</v>
      </c>
      <c r="B460" s="498" t="s">
        <v>1584</v>
      </c>
      <c r="C460" s="71" t="s">
        <v>55</v>
      </c>
      <c r="D460" s="499"/>
      <c r="E460" s="499"/>
      <c r="F460" s="500"/>
    </row>
    <row r="461" spans="1:6">
      <c r="A461" s="2030" t="s">
        <v>1585</v>
      </c>
      <c r="B461" s="2031"/>
      <c r="C461" s="2031"/>
      <c r="D461" s="2031"/>
      <c r="E461" s="2031"/>
      <c r="F461" s="2032"/>
    </row>
    <row r="462" spans="1:6" ht="30">
      <c r="A462" s="1476"/>
      <c r="B462" s="1477" t="s">
        <v>48</v>
      </c>
      <c r="C462" s="1478" t="s">
        <v>49</v>
      </c>
      <c r="D462" s="1479" t="s">
        <v>50</v>
      </c>
      <c r="E462" s="1480" t="s">
        <v>51</v>
      </c>
      <c r="F462" s="30" t="s">
        <v>52</v>
      </c>
    </row>
    <row r="463" spans="1:6">
      <c r="A463" s="1523">
        <v>88264</v>
      </c>
      <c r="B463" s="1481" t="s">
        <v>94</v>
      </c>
      <c r="C463" s="1293" t="s">
        <v>57</v>
      </c>
      <c r="D463" s="1428">
        <v>0.5</v>
      </c>
      <c r="E463" s="1278">
        <v>25.54</v>
      </c>
      <c r="F463" s="261">
        <f>TRUNC(D463*E463,2)</f>
        <v>12.77</v>
      </c>
    </row>
    <row r="464" spans="1:6" ht="25.5">
      <c r="A464" s="1524">
        <v>88247</v>
      </c>
      <c r="B464" s="1481" t="s">
        <v>93</v>
      </c>
      <c r="C464" s="1293" t="s">
        <v>57</v>
      </c>
      <c r="D464" s="1428">
        <v>0.3</v>
      </c>
      <c r="E464" s="1001">
        <v>21</v>
      </c>
      <c r="F464" s="261">
        <f>TRUNC(D464*E464,2)</f>
        <v>6.3</v>
      </c>
    </row>
    <row r="465" spans="1:6">
      <c r="A465" s="1482"/>
      <c r="B465" s="1483"/>
      <c r="C465" s="1484"/>
      <c r="D465" s="1485"/>
      <c r="E465" s="1040" t="s">
        <v>58</v>
      </c>
      <c r="F465" s="262">
        <f>SUM(F463:F464)</f>
        <v>19.07</v>
      </c>
    </row>
    <row r="466" spans="1:6" ht="30">
      <c r="A466" s="1492"/>
      <c r="B466" s="981" t="s">
        <v>95</v>
      </c>
      <c r="C466" s="1419" t="s">
        <v>49</v>
      </c>
      <c r="D466" s="1420" t="s">
        <v>50</v>
      </c>
      <c r="E466" s="1267" t="s">
        <v>62</v>
      </c>
      <c r="F466" s="38" t="s">
        <v>52</v>
      </c>
    </row>
    <row r="467" spans="1:6" ht="25.5">
      <c r="A467" s="935">
        <v>21127</v>
      </c>
      <c r="B467" s="1247" t="s">
        <v>1579</v>
      </c>
      <c r="C467" s="1293" t="s">
        <v>55</v>
      </c>
      <c r="D467" s="1155">
        <v>2.1000000000000001E-2</v>
      </c>
      <c r="E467" s="1001">
        <v>4.0599999999999996</v>
      </c>
      <c r="F467" s="261">
        <f>TRUNC(D467*E467,2)</f>
        <v>0.08</v>
      </c>
    </row>
    <row r="468" spans="1:6">
      <c r="A468" s="933">
        <v>39380</v>
      </c>
      <c r="B468" s="1247" t="s">
        <v>1580</v>
      </c>
      <c r="C468" s="1293" t="s">
        <v>55</v>
      </c>
      <c r="D468" s="1155">
        <v>1</v>
      </c>
      <c r="E468" s="1001">
        <v>20.65</v>
      </c>
      <c r="F468" s="261">
        <f t="shared" ref="F468:F469" si="2">TRUNC(D468*E468,2)</f>
        <v>20.65</v>
      </c>
    </row>
    <row r="469" spans="1:6" ht="25.5">
      <c r="A469" s="933" t="s">
        <v>65</v>
      </c>
      <c r="B469" s="1247" t="s">
        <v>1574</v>
      </c>
      <c r="C469" s="1293" t="s">
        <v>55</v>
      </c>
      <c r="D469" s="1155">
        <v>1</v>
      </c>
      <c r="E469" s="1001">
        <f>C477</f>
        <v>38.229999999999997</v>
      </c>
      <c r="F469" s="261">
        <f t="shared" si="2"/>
        <v>38.229999999999997</v>
      </c>
    </row>
    <row r="470" spans="1:6">
      <c r="A470" s="1531"/>
      <c r="B470" s="1493"/>
      <c r="C470" s="1484"/>
      <c r="D470" s="1485"/>
      <c r="E470" s="1426" t="s">
        <v>58</v>
      </c>
      <c r="F470" s="212">
        <f>SUM(F467:F469)</f>
        <v>58.959999999999994</v>
      </c>
    </row>
    <row r="471" spans="1:6" ht="15.75" thickBot="1">
      <c r="A471" s="1532"/>
      <c r="B471" s="2029" t="s">
        <v>53</v>
      </c>
      <c r="C471" s="2029"/>
      <c r="D471" s="2029"/>
      <c r="E471" s="2029"/>
      <c r="F471" s="1041">
        <f>F465+F470</f>
        <v>78.03</v>
      </c>
    </row>
    <row r="472" spans="1:6">
      <c r="A472" s="267"/>
      <c r="B472" s="1978" t="s">
        <v>96</v>
      </c>
      <c r="C472" s="1979"/>
      <c r="D472" s="1979"/>
      <c r="E472" s="1980"/>
      <c r="F472" s="268"/>
    </row>
    <row r="473" spans="1:6" ht="25.5">
      <c r="A473" s="1266" t="s">
        <v>59</v>
      </c>
      <c r="B473" s="1267" t="s">
        <v>97</v>
      </c>
      <c r="C473" s="1268" t="s">
        <v>98</v>
      </c>
      <c r="D473" s="1966" t="s">
        <v>60</v>
      </c>
      <c r="E473" s="1966"/>
      <c r="F473" s="76" t="s">
        <v>99</v>
      </c>
    </row>
    <row r="474" spans="1:6">
      <c r="A474" s="1246">
        <v>44868</v>
      </c>
      <c r="B474" s="1247" t="s">
        <v>2290</v>
      </c>
      <c r="C474" s="1248">
        <v>30.46</v>
      </c>
      <c r="D474" s="1981" t="s">
        <v>2291</v>
      </c>
      <c r="E474" s="1982"/>
      <c r="F474" s="1282" t="s">
        <v>2292</v>
      </c>
    </row>
    <row r="475" spans="1:6">
      <c r="A475" s="1246">
        <v>44872</v>
      </c>
      <c r="B475" s="1247" t="s">
        <v>2304</v>
      </c>
      <c r="C475" s="1248">
        <v>38.229999999999997</v>
      </c>
      <c r="D475" s="1981" t="s">
        <v>2235</v>
      </c>
      <c r="E475" s="1982"/>
      <c r="F475" s="1282" t="s">
        <v>2236</v>
      </c>
    </row>
    <row r="476" spans="1:6">
      <c r="A476" s="1246">
        <v>44872</v>
      </c>
      <c r="B476" s="1247" t="s">
        <v>2305</v>
      </c>
      <c r="C476" s="1248">
        <v>49.46</v>
      </c>
      <c r="D476" s="1981" t="s">
        <v>2261</v>
      </c>
      <c r="E476" s="1982"/>
      <c r="F476" s="1282" t="s">
        <v>2282</v>
      </c>
    </row>
    <row r="477" spans="1:6" ht="15.75" thickBot="1">
      <c r="A477" s="63"/>
      <c r="B477" s="1488" t="s">
        <v>61</v>
      </c>
      <c r="C477" s="1491">
        <f>MEDIAN(C474:C476)</f>
        <v>38.229999999999997</v>
      </c>
      <c r="D477" s="2036"/>
      <c r="E477" s="2037"/>
      <c r="F477" s="65"/>
    </row>
    <row r="478" spans="1:6" ht="15.75" thickBot="1">
      <c r="A478" s="168"/>
      <c r="B478" s="1464"/>
      <c r="C478" s="455"/>
      <c r="D478" s="94"/>
      <c r="E478" s="94"/>
      <c r="F478" s="168"/>
    </row>
    <row r="479" spans="1:6">
      <c r="A479" s="226" t="s">
        <v>1576</v>
      </c>
      <c r="B479" s="498" t="s">
        <v>1581</v>
      </c>
      <c r="C479" s="71" t="s">
        <v>55</v>
      </c>
      <c r="D479" s="499"/>
      <c r="E479" s="499"/>
      <c r="F479" s="500"/>
    </row>
    <row r="480" spans="1:6">
      <c r="A480" s="2030" t="s">
        <v>1586</v>
      </c>
      <c r="B480" s="2031"/>
      <c r="C480" s="2031"/>
      <c r="D480" s="2031"/>
      <c r="E480" s="2031"/>
      <c r="F480" s="2032"/>
    </row>
    <row r="481" spans="1:6" ht="30">
      <c r="A481" s="1476"/>
      <c r="B481" s="1477" t="s">
        <v>48</v>
      </c>
      <c r="C481" s="1478" t="s">
        <v>49</v>
      </c>
      <c r="D481" s="1479" t="s">
        <v>50</v>
      </c>
      <c r="E481" s="1480" t="s">
        <v>51</v>
      </c>
      <c r="F481" s="30" t="s">
        <v>52</v>
      </c>
    </row>
    <row r="482" spans="1:6">
      <c r="A482" s="1292">
        <v>88264</v>
      </c>
      <c r="B482" s="1481" t="s">
        <v>94</v>
      </c>
      <c r="C482" s="1293" t="s">
        <v>57</v>
      </c>
      <c r="D482" s="1428">
        <v>0.03</v>
      </c>
      <c r="E482" s="1278">
        <v>25.54</v>
      </c>
      <c r="F482" s="261">
        <f>TRUNC(D482*E482,2)</f>
        <v>0.76</v>
      </c>
    </row>
    <row r="483" spans="1:6" ht="25.5">
      <c r="A483" s="1429">
        <v>88247</v>
      </c>
      <c r="B483" s="1481" t="s">
        <v>93</v>
      </c>
      <c r="C483" s="1293" t="s">
        <v>57</v>
      </c>
      <c r="D483" s="1428">
        <v>0.03</v>
      </c>
      <c r="E483" s="1001">
        <v>21</v>
      </c>
      <c r="F483" s="261">
        <f>TRUNC(D483*E483,2)</f>
        <v>0.63</v>
      </c>
    </row>
    <row r="484" spans="1:6">
      <c r="A484" s="1482"/>
      <c r="B484" s="1483"/>
      <c r="C484" s="1484"/>
      <c r="D484" s="1485"/>
      <c r="E484" s="1040" t="s">
        <v>58</v>
      </c>
      <c r="F484" s="262">
        <f>SUM(F482:F483)</f>
        <v>1.3900000000000001</v>
      </c>
    </row>
    <row r="485" spans="1:6" ht="30.75" thickBot="1">
      <c r="A485" s="1003"/>
      <c r="B485" s="1533" t="s">
        <v>95</v>
      </c>
      <c r="C485" s="1534" t="s">
        <v>49</v>
      </c>
      <c r="D485" s="1535" t="s">
        <v>50</v>
      </c>
      <c r="E485" s="1536" t="s">
        <v>62</v>
      </c>
      <c r="F485" s="1142" t="s">
        <v>52</v>
      </c>
    </row>
    <row r="486" spans="1:6">
      <c r="A486" s="971">
        <v>7543</v>
      </c>
      <c r="B486" s="972" t="s">
        <v>1582</v>
      </c>
      <c r="C486" s="973" t="s">
        <v>55</v>
      </c>
      <c r="D486" s="1204">
        <v>1</v>
      </c>
      <c r="E486" s="1152">
        <v>5.57</v>
      </c>
      <c r="F486" s="1153">
        <f>TRUNC(D486*E486,2)</f>
        <v>5.57</v>
      </c>
    </row>
    <row r="487" spans="1:6">
      <c r="A487" s="1531"/>
      <c r="B487" s="1493"/>
      <c r="C487" s="1484"/>
      <c r="D487" s="1485"/>
      <c r="E487" s="1426" t="s">
        <v>58</v>
      </c>
      <c r="F487" s="212">
        <f>SUM(F486:F486)</f>
        <v>5.57</v>
      </c>
    </row>
    <row r="488" spans="1:6" ht="15.75" thickBot="1">
      <c r="A488" s="1532"/>
      <c r="B488" s="2029" t="s">
        <v>53</v>
      </c>
      <c r="C488" s="2029"/>
      <c r="D488" s="2029"/>
      <c r="E488" s="2029"/>
      <c r="F488" s="1041">
        <f>F484+F487</f>
        <v>6.9600000000000009</v>
      </c>
    </row>
    <row r="489" spans="1:6" ht="15.75" thickBot="1">
      <c r="A489" s="168"/>
      <c r="B489" s="1464"/>
      <c r="C489" s="455"/>
      <c r="D489" s="94"/>
      <c r="E489" s="94"/>
      <c r="F489" s="168"/>
    </row>
    <row r="490" spans="1:6" ht="26.25" thickBot="1">
      <c r="A490" s="258" t="s">
        <v>2093</v>
      </c>
      <c r="B490" s="259" t="s">
        <v>1512</v>
      </c>
      <c r="C490" s="82" t="s">
        <v>55</v>
      </c>
      <c r="D490" s="107"/>
      <c r="E490" s="107"/>
      <c r="F490" s="108"/>
    </row>
    <row r="491" spans="1:6">
      <c r="A491" s="2041" t="s">
        <v>2084</v>
      </c>
      <c r="B491" s="2042"/>
      <c r="C491" s="2042"/>
      <c r="D491" s="2042"/>
      <c r="E491" s="2042"/>
      <c r="F491" s="2043"/>
    </row>
    <row r="492" spans="1:6" ht="30">
      <c r="A492" s="1476"/>
      <c r="B492" s="1477" t="s">
        <v>48</v>
      </c>
      <c r="C492" s="1478" t="s">
        <v>49</v>
      </c>
      <c r="D492" s="1479" t="s">
        <v>50</v>
      </c>
      <c r="E492" s="1480" t="s">
        <v>51</v>
      </c>
      <c r="F492" s="30" t="s">
        <v>52</v>
      </c>
    </row>
    <row r="493" spans="1:6">
      <c r="A493" s="1429">
        <v>88266</v>
      </c>
      <c r="B493" s="1247" t="s">
        <v>2085</v>
      </c>
      <c r="C493" s="1293" t="s">
        <v>57</v>
      </c>
      <c r="D493" s="1428">
        <v>38.267000000000003</v>
      </c>
      <c r="E493" s="1278">
        <v>31.55</v>
      </c>
      <c r="F493" s="261">
        <f>TRUNC(D493*E493,2)</f>
        <v>1207.32</v>
      </c>
    </row>
    <row r="494" spans="1:6">
      <c r="A494" s="1429">
        <v>88264</v>
      </c>
      <c r="B494" s="1247" t="s">
        <v>94</v>
      </c>
      <c r="C494" s="1293" t="s">
        <v>57</v>
      </c>
      <c r="D494" s="1428">
        <v>23.385000000000002</v>
      </c>
      <c r="E494" s="1278">
        <v>25.54</v>
      </c>
      <c r="F494" s="261">
        <f t="shared" ref="F494:F495" si="3">TRUNC(D494*E494,2)</f>
        <v>597.25</v>
      </c>
    </row>
    <row r="495" spans="1:6" ht="25.5">
      <c r="A495" s="1429">
        <v>88247</v>
      </c>
      <c r="B495" s="1247" t="s">
        <v>93</v>
      </c>
      <c r="C495" s="1293" t="s">
        <v>57</v>
      </c>
      <c r="D495" s="1428">
        <v>44.643999999999998</v>
      </c>
      <c r="E495" s="1001">
        <v>21</v>
      </c>
      <c r="F495" s="261">
        <f t="shared" si="3"/>
        <v>937.52</v>
      </c>
    </row>
    <row r="496" spans="1:6">
      <c r="A496" s="1482"/>
      <c r="B496" s="1483"/>
      <c r="C496" s="1484"/>
      <c r="D496" s="1485"/>
      <c r="E496" s="1040" t="s">
        <v>58</v>
      </c>
      <c r="F496" s="33">
        <f>SUM(F493:F495)</f>
        <v>2742.09</v>
      </c>
    </row>
    <row r="497" spans="1:6" ht="30">
      <c r="A497" s="1492"/>
      <c r="B497" s="981" t="s">
        <v>95</v>
      </c>
      <c r="C497" s="1419" t="s">
        <v>49</v>
      </c>
      <c r="D497" s="1420" t="s">
        <v>50</v>
      </c>
      <c r="E497" s="1267" t="s">
        <v>62</v>
      </c>
      <c r="F497" s="38" t="s">
        <v>52</v>
      </c>
    </row>
    <row r="498" spans="1:6">
      <c r="A498" s="1429" t="s">
        <v>65</v>
      </c>
      <c r="B498" s="1247" t="s">
        <v>2141</v>
      </c>
      <c r="C498" s="1293" t="s">
        <v>55</v>
      </c>
      <c r="D498" s="1490">
        <v>1</v>
      </c>
      <c r="E498" s="1001">
        <f>C506</f>
        <v>603.32000000000005</v>
      </c>
      <c r="F498" s="261">
        <f>TRUNC(D498*E498,2)</f>
        <v>603.32000000000005</v>
      </c>
    </row>
    <row r="499" spans="1:6" ht="15.75" thickBot="1">
      <c r="A499" s="1135"/>
      <c r="B499" s="1136"/>
      <c r="C499" s="1137"/>
      <c r="D499" s="1138"/>
      <c r="E499" s="1040" t="s">
        <v>58</v>
      </c>
      <c r="F499" s="984">
        <f>SUM(F496,F498)</f>
        <v>3345.4100000000003</v>
      </c>
    </row>
    <row r="500" spans="1:6" ht="15.75" thickBot="1">
      <c r="A500" s="87"/>
      <c r="B500" s="2044" t="s">
        <v>53</v>
      </c>
      <c r="C500" s="2045"/>
      <c r="D500" s="2045"/>
      <c r="E500" s="2046"/>
      <c r="F500" s="90">
        <f>F496+F499</f>
        <v>6087.5</v>
      </c>
    </row>
    <row r="501" spans="1:6">
      <c r="A501" s="88"/>
      <c r="B501" s="2047" t="s">
        <v>96</v>
      </c>
      <c r="C501" s="2048"/>
      <c r="D501" s="2048"/>
      <c r="E501" s="2049"/>
      <c r="F501" s="89"/>
    </row>
    <row r="502" spans="1:6" ht="25.5">
      <c r="A502" s="1266" t="s">
        <v>59</v>
      </c>
      <c r="B502" s="1267" t="s">
        <v>97</v>
      </c>
      <c r="C502" s="1268" t="s">
        <v>98</v>
      </c>
      <c r="D502" s="2039" t="s">
        <v>60</v>
      </c>
      <c r="E502" s="2040"/>
      <c r="F502" s="76" t="s">
        <v>99</v>
      </c>
    </row>
    <row r="503" spans="1:6">
      <c r="A503" s="1246">
        <v>44869</v>
      </c>
      <c r="B503" s="1247" t="s">
        <v>2268</v>
      </c>
      <c r="C503" s="1248">
        <v>603.32000000000005</v>
      </c>
      <c r="D503" s="1981" t="s">
        <v>2080</v>
      </c>
      <c r="E503" s="1982"/>
      <c r="F503" s="1282" t="s">
        <v>2288</v>
      </c>
    </row>
    <row r="504" spans="1:6">
      <c r="A504" s="1246">
        <v>44872</v>
      </c>
      <c r="B504" s="1247" t="s">
        <v>2242</v>
      </c>
      <c r="C504" s="1248">
        <v>503.54</v>
      </c>
      <c r="D504" s="1981" t="s">
        <v>2230</v>
      </c>
      <c r="E504" s="1982"/>
      <c r="F504" s="1273" t="s">
        <v>2244</v>
      </c>
    </row>
    <row r="505" spans="1:6">
      <c r="A505" s="1246">
        <v>44872</v>
      </c>
      <c r="B505" s="1247" t="s">
        <v>2306</v>
      </c>
      <c r="C505" s="1248">
        <v>688.96</v>
      </c>
      <c r="D505" s="1981" t="s">
        <v>2307</v>
      </c>
      <c r="E505" s="1982"/>
      <c r="F505" s="1273" t="s">
        <v>2308</v>
      </c>
    </row>
    <row r="506" spans="1:6" ht="15.75" thickBot="1">
      <c r="A506" s="63"/>
      <c r="B506" s="1488" t="s">
        <v>61</v>
      </c>
      <c r="C506" s="1491">
        <f>MEDIAN(C503:C505)</f>
        <v>603.32000000000005</v>
      </c>
      <c r="D506" s="2036"/>
      <c r="E506" s="2037"/>
      <c r="F506" s="65"/>
    </row>
    <row r="507" spans="1:6" ht="15.75" thickBot="1">
      <c r="A507" s="168"/>
      <c r="B507" s="1464"/>
      <c r="C507" s="455"/>
      <c r="D507" s="94"/>
      <c r="E507" s="94"/>
      <c r="F507" s="168"/>
    </row>
    <row r="508" spans="1:6" ht="15.75" thickBot="1">
      <c r="A508" s="258" t="s">
        <v>2095</v>
      </c>
      <c r="B508" s="259" t="s">
        <v>1513</v>
      </c>
      <c r="C508" s="82" t="s">
        <v>54</v>
      </c>
      <c r="D508" s="107"/>
      <c r="E508" s="107"/>
      <c r="F508" s="108"/>
    </row>
    <row r="509" spans="1:6">
      <c r="A509" s="2041" t="s">
        <v>1499</v>
      </c>
      <c r="B509" s="2042"/>
      <c r="C509" s="2042"/>
      <c r="D509" s="2042"/>
      <c r="E509" s="2042"/>
      <c r="F509" s="2043"/>
    </row>
    <row r="510" spans="1:6" ht="30">
      <c r="A510" s="1476"/>
      <c r="B510" s="1477" t="s">
        <v>48</v>
      </c>
      <c r="C510" s="1478" t="s">
        <v>49</v>
      </c>
      <c r="D510" s="1479" t="s">
        <v>50</v>
      </c>
      <c r="E510" s="1480" t="s">
        <v>51</v>
      </c>
      <c r="F510" s="30" t="s">
        <v>52</v>
      </c>
    </row>
    <row r="511" spans="1:6">
      <c r="A511" s="1523">
        <v>88264</v>
      </c>
      <c r="B511" s="1481" t="s">
        <v>94</v>
      </c>
      <c r="C511" s="1293" t="s">
        <v>57</v>
      </c>
      <c r="D511" s="1428">
        <v>0.15</v>
      </c>
      <c r="E511" s="1278">
        <v>25.54</v>
      </c>
      <c r="F511" s="261">
        <f>TRUNC(D511*E511,2)</f>
        <v>3.83</v>
      </c>
    </row>
    <row r="512" spans="1:6" ht="25.5">
      <c r="A512" s="1524">
        <v>88247</v>
      </c>
      <c r="B512" s="1481" t="s">
        <v>93</v>
      </c>
      <c r="C512" s="1293" t="s">
        <v>57</v>
      </c>
      <c r="D512" s="1428">
        <v>0.15</v>
      </c>
      <c r="E512" s="1001">
        <v>21</v>
      </c>
      <c r="F512" s="261">
        <f>TRUNC(D512*E512,2)</f>
        <v>3.15</v>
      </c>
    </row>
    <row r="513" spans="1:6">
      <c r="A513" s="1482"/>
      <c r="B513" s="1483"/>
      <c r="C513" s="1484"/>
      <c r="D513" s="1485"/>
      <c r="E513" s="1040" t="s">
        <v>58</v>
      </c>
      <c r="F513" s="262">
        <f>SUM(F511:F512)</f>
        <v>6.98</v>
      </c>
    </row>
    <row r="514" spans="1:6" ht="30">
      <c r="A514" s="1492"/>
      <c r="B514" s="981" t="s">
        <v>95</v>
      </c>
      <c r="C514" s="1419" t="s">
        <v>49</v>
      </c>
      <c r="D514" s="1420" t="s">
        <v>50</v>
      </c>
      <c r="E514" s="1267" t="s">
        <v>62</v>
      </c>
      <c r="F514" s="38" t="s">
        <v>52</v>
      </c>
    </row>
    <row r="515" spans="1:6">
      <c r="A515" s="1524" t="s">
        <v>65</v>
      </c>
      <c r="B515" s="1247" t="s">
        <v>1515</v>
      </c>
      <c r="C515" s="1293" t="s">
        <v>54</v>
      </c>
      <c r="D515" s="1294">
        <v>1</v>
      </c>
      <c r="E515" s="1001">
        <f>C523</f>
        <v>3.18</v>
      </c>
      <c r="F515" s="261">
        <f>TRUNC(D515*E515,2)</f>
        <v>3.18</v>
      </c>
    </row>
    <row r="516" spans="1:6" ht="15.75" thickBot="1">
      <c r="A516" s="1135"/>
      <c r="B516" s="1136"/>
      <c r="C516" s="1137"/>
      <c r="D516" s="1138"/>
      <c r="E516" s="1040" t="s">
        <v>58</v>
      </c>
      <c r="F516" s="1154">
        <f>SUM(F515:F515)</f>
        <v>3.18</v>
      </c>
    </row>
    <row r="517" spans="1:6" ht="15.75" thickBot="1">
      <c r="A517" s="87"/>
      <c r="B517" s="2038" t="s">
        <v>53</v>
      </c>
      <c r="C517" s="2038"/>
      <c r="D517" s="2038"/>
      <c r="E517" s="2038"/>
      <c r="F517" s="264">
        <f>F513+F516</f>
        <v>10.16</v>
      </c>
    </row>
    <row r="518" spans="1:6">
      <c r="A518" s="88"/>
      <c r="B518" s="1962" t="s">
        <v>2363</v>
      </c>
      <c r="C518" s="1963"/>
      <c r="D518" s="1963"/>
      <c r="E518" s="1964"/>
      <c r="F518" s="89"/>
    </row>
    <row r="519" spans="1:6" ht="25.5">
      <c r="A519" s="1266" t="s">
        <v>59</v>
      </c>
      <c r="B519" s="1267" t="s">
        <v>97</v>
      </c>
      <c r="C519" s="1268" t="s">
        <v>98</v>
      </c>
      <c r="D519" s="1966" t="s">
        <v>60</v>
      </c>
      <c r="E519" s="1966"/>
      <c r="F519" s="76" t="s">
        <v>99</v>
      </c>
    </row>
    <row r="520" spans="1:6">
      <c r="A520" s="1246">
        <v>44859</v>
      </c>
      <c r="B520" s="1247" t="s">
        <v>2245</v>
      </c>
      <c r="C520" s="1248">
        <v>5.46</v>
      </c>
      <c r="D520" s="1981" t="s">
        <v>2246</v>
      </c>
      <c r="E520" s="1982"/>
      <c r="F520" s="1282" t="s">
        <v>2309</v>
      </c>
    </row>
    <row r="521" spans="1:6">
      <c r="A521" s="1246">
        <v>44859</v>
      </c>
      <c r="B521" s="1247" t="s">
        <v>2222</v>
      </c>
      <c r="C521" s="1248">
        <v>1.37</v>
      </c>
      <c r="D521" s="1981" t="s">
        <v>2223</v>
      </c>
      <c r="E521" s="1982"/>
      <c r="F521" s="1282" t="s">
        <v>2083</v>
      </c>
    </row>
    <row r="522" spans="1:6">
      <c r="A522" s="1246">
        <v>44869</v>
      </c>
      <c r="B522" s="1247" t="s">
        <v>2283</v>
      </c>
      <c r="C522" s="1248">
        <v>3.18</v>
      </c>
      <c r="D522" s="1981" t="s">
        <v>2284</v>
      </c>
      <c r="E522" s="1982"/>
      <c r="F522" s="1282" t="s">
        <v>2134</v>
      </c>
    </row>
    <row r="523" spans="1:6" ht="15.75" thickBot="1">
      <c r="A523" s="63"/>
      <c r="B523" s="1488" t="s">
        <v>61</v>
      </c>
      <c r="C523" s="1491">
        <f>MEDIAN(C520:C522)</f>
        <v>3.18</v>
      </c>
      <c r="D523" s="2036"/>
      <c r="E523" s="2037"/>
      <c r="F523" s="65"/>
    </row>
    <row r="524" spans="1:6" ht="15.75" thickBot="1">
      <c r="A524" s="168"/>
      <c r="B524" s="1464"/>
      <c r="C524" s="455"/>
      <c r="D524" s="94"/>
      <c r="E524" s="94"/>
      <c r="F524" s="168"/>
    </row>
    <row r="525" spans="1:6">
      <c r="A525" s="226" t="s">
        <v>2097</v>
      </c>
      <c r="B525" s="498" t="s">
        <v>2094</v>
      </c>
      <c r="C525" s="71" t="s">
        <v>55</v>
      </c>
      <c r="D525" s="499"/>
      <c r="E525" s="499"/>
      <c r="F525" s="500"/>
    </row>
    <row r="526" spans="1:6">
      <c r="A526" s="2030" t="s">
        <v>1586</v>
      </c>
      <c r="B526" s="2031"/>
      <c r="C526" s="2031"/>
      <c r="D526" s="2031"/>
      <c r="E526" s="2031"/>
      <c r="F526" s="2032"/>
    </row>
    <row r="527" spans="1:6" ht="30">
      <c r="A527" s="1476"/>
      <c r="B527" s="1477" t="s">
        <v>48</v>
      </c>
      <c r="C527" s="1478" t="s">
        <v>49</v>
      </c>
      <c r="D527" s="1479" t="s">
        <v>50</v>
      </c>
      <c r="E527" s="1480" t="s">
        <v>51</v>
      </c>
      <c r="F527" s="30" t="s">
        <v>52</v>
      </c>
    </row>
    <row r="528" spans="1:6">
      <c r="A528" s="1523">
        <v>88264</v>
      </c>
      <c r="B528" s="1481" t="s">
        <v>94</v>
      </c>
      <c r="C528" s="1293" t="s">
        <v>57</v>
      </c>
      <c r="D528" s="1422">
        <v>0.3523</v>
      </c>
      <c r="E528" s="1278">
        <v>25.54</v>
      </c>
      <c r="F528" s="261">
        <f>TRUNC(D528*E528,2)</f>
        <v>8.99</v>
      </c>
    </row>
    <row r="529" spans="1:6" ht="25.5">
      <c r="A529" s="1524">
        <v>88247</v>
      </c>
      <c r="B529" s="1481" t="s">
        <v>93</v>
      </c>
      <c r="C529" s="1293" t="s">
        <v>57</v>
      </c>
      <c r="D529" s="1422">
        <v>0.3523</v>
      </c>
      <c r="E529" s="1001">
        <v>21</v>
      </c>
      <c r="F529" s="261">
        <f>TRUNC(D529*E529,2)</f>
        <v>7.39</v>
      </c>
    </row>
    <row r="530" spans="1:6">
      <c r="A530" s="1482"/>
      <c r="B530" s="1483"/>
      <c r="C530" s="1484"/>
      <c r="D530" s="1485"/>
      <c r="E530" s="1040" t="s">
        <v>58</v>
      </c>
      <c r="F530" s="262">
        <f>SUM(F528:F529)</f>
        <v>16.38</v>
      </c>
    </row>
    <row r="531" spans="1:6" ht="30">
      <c r="A531" s="1492"/>
      <c r="B531" s="981" t="s">
        <v>95</v>
      </c>
      <c r="C531" s="1419" t="s">
        <v>49</v>
      </c>
      <c r="D531" s="1420" t="s">
        <v>50</v>
      </c>
      <c r="E531" s="1267" t="s">
        <v>62</v>
      </c>
      <c r="F531" s="38" t="s">
        <v>52</v>
      </c>
    </row>
    <row r="532" spans="1:6">
      <c r="A532" s="1296">
        <v>39331</v>
      </c>
      <c r="B532" s="1247" t="s">
        <v>2103</v>
      </c>
      <c r="C532" s="1293" t="s">
        <v>55</v>
      </c>
      <c r="D532" s="1294">
        <v>1</v>
      </c>
      <c r="E532" s="1001">
        <v>10.17</v>
      </c>
      <c r="F532" s="261">
        <f>TRUNC(D532*E532,2)</f>
        <v>10.17</v>
      </c>
    </row>
    <row r="533" spans="1:6" ht="39" thickBot="1">
      <c r="A533" s="965">
        <v>11950</v>
      </c>
      <c r="B533" s="1245" t="s">
        <v>2104</v>
      </c>
      <c r="C533" s="1537" t="s">
        <v>55</v>
      </c>
      <c r="D533" s="1538">
        <v>2</v>
      </c>
      <c r="E533" s="1279">
        <v>0.2</v>
      </c>
      <c r="F533" s="1151">
        <f>TRUNC(D533*E533,2)</f>
        <v>0.4</v>
      </c>
    </row>
    <row r="534" spans="1:6">
      <c r="A534" s="1205"/>
      <c r="B534" s="1206"/>
      <c r="C534" s="1140"/>
      <c r="D534" s="1141"/>
      <c r="E534" s="980" t="s">
        <v>58</v>
      </c>
      <c r="F534" s="1207">
        <f>SUM(F532:F533)</f>
        <v>10.57</v>
      </c>
    </row>
    <row r="535" spans="1:6" ht="15.75" thickBot="1">
      <c r="A535" s="1532"/>
      <c r="B535" s="2029" t="s">
        <v>53</v>
      </c>
      <c r="C535" s="2029"/>
      <c r="D535" s="2029"/>
      <c r="E535" s="2029"/>
      <c r="F535" s="1041">
        <f>F530+F534</f>
        <v>26.95</v>
      </c>
    </row>
    <row r="536" spans="1:6" ht="15.75" thickBot="1">
      <c r="A536" s="168"/>
      <c r="B536" s="1464"/>
      <c r="C536" s="455"/>
      <c r="D536" s="94"/>
      <c r="E536" s="94"/>
      <c r="F536" s="168"/>
    </row>
    <row r="537" spans="1:6">
      <c r="A537" s="226" t="s">
        <v>2099</v>
      </c>
      <c r="B537" s="498" t="s">
        <v>2096</v>
      </c>
      <c r="C537" s="71" t="s">
        <v>55</v>
      </c>
      <c r="D537" s="499"/>
      <c r="E537" s="499"/>
      <c r="F537" s="500"/>
    </row>
    <row r="538" spans="1:6">
      <c r="A538" s="2030" t="s">
        <v>1586</v>
      </c>
      <c r="B538" s="2031"/>
      <c r="C538" s="2031"/>
      <c r="D538" s="2031"/>
      <c r="E538" s="2031"/>
      <c r="F538" s="2032"/>
    </row>
    <row r="539" spans="1:6" ht="30">
      <c r="A539" s="1476"/>
      <c r="B539" s="1477" t="s">
        <v>48</v>
      </c>
      <c r="C539" s="1478" t="s">
        <v>49</v>
      </c>
      <c r="D539" s="1479" t="s">
        <v>50</v>
      </c>
      <c r="E539" s="1480" t="s">
        <v>51</v>
      </c>
      <c r="F539" s="30" t="s">
        <v>52</v>
      </c>
    </row>
    <row r="540" spans="1:6">
      <c r="A540" s="1523">
        <v>88264</v>
      </c>
      <c r="B540" s="1481" t="s">
        <v>94</v>
      </c>
      <c r="C540" s="1293" t="s">
        <v>57</v>
      </c>
      <c r="D540" s="1422">
        <v>0.3523</v>
      </c>
      <c r="E540" s="1278">
        <v>25.54</v>
      </c>
      <c r="F540" s="261">
        <f>TRUNC(D540*E540,2)</f>
        <v>8.99</v>
      </c>
    </row>
    <row r="541" spans="1:6" ht="25.5">
      <c r="A541" s="1524">
        <v>88247</v>
      </c>
      <c r="B541" s="1481" t="s">
        <v>93</v>
      </c>
      <c r="C541" s="1293" t="s">
        <v>57</v>
      </c>
      <c r="D541" s="1422">
        <v>0.3523</v>
      </c>
      <c r="E541" s="1001">
        <v>21</v>
      </c>
      <c r="F541" s="261">
        <f>TRUNC(D541*E541,2)</f>
        <v>7.39</v>
      </c>
    </row>
    <row r="542" spans="1:6">
      <c r="A542" s="1482"/>
      <c r="B542" s="1483"/>
      <c r="C542" s="1484"/>
      <c r="D542" s="1485"/>
      <c r="E542" s="1040" t="s">
        <v>58</v>
      </c>
      <c r="F542" s="262">
        <f>SUM(F540:F541)</f>
        <v>16.38</v>
      </c>
    </row>
    <row r="543" spans="1:6" ht="30">
      <c r="A543" s="1492"/>
      <c r="B543" s="981" t="s">
        <v>95</v>
      </c>
      <c r="C543" s="1419" t="s">
        <v>49</v>
      </c>
      <c r="D543" s="1420" t="s">
        <v>50</v>
      </c>
      <c r="E543" s="1267" t="s">
        <v>62</v>
      </c>
      <c r="F543" s="38" t="s">
        <v>52</v>
      </c>
    </row>
    <row r="544" spans="1:6">
      <c r="A544" s="1292">
        <v>12020</v>
      </c>
      <c r="B544" s="1247" t="s">
        <v>2144</v>
      </c>
      <c r="C544" s="1293" t="s">
        <v>55</v>
      </c>
      <c r="D544" s="1294">
        <v>1</v>
      </c>
      <c r="E544" s="1001">
        <v>11.45</v>
      </c>
      <c r="F544" s="261">
        <f>TRUNC(D544*E544,2)</f>
        <v>11.45</v>
      </c>
    </row>
    <row r="545" spans="1:6" ht="38.25">
      <c r="A545" s="1296">
        <v>11950</v>
      </c>
      <c r="B545" s="1247" t="s">
        <v>2104</v>
      </c>
      <c r="C545" s="1293" t="s">
        <v>55</v>
      </c>
      <c r="D545" s="1294">
        <v>2</v>
      </c>
      <c r="E545" s="1278">
        <v>0.2</v>
      </c>
      <c r="F545" s="261">
        <f>TRUNC(D545*E545,2)</f>
        <v>0.4</v>
      </c>
    </row>
    <row r="546" spans="1:6">
      <c r="A546" s="1531"/>
      <c r="B546" s="1493"/>
      <c r="C546" s="1484"/>
      <c r="D546" s="1485"/>
      <c r="E546" s="1539" t="s">
        <v>58</v>
      </c>
      <c r="F546" s="212">
        <f>SUM(F544:F545)</f>
        <v>11.85</v>
      </c>
    </row>
    <row r="547" spans="1:6" ht="15.75" thickBot="1">
      <c r="A547" s="1532"/>
      <c r="B547" s="2029" t="s">
        <v>53</v>
      </c>
      <c r="C547" s="2029"/>
      <c r="D547" s="2029"/>
      <c r="E547" s="2029"/>
      <c r="F547" s="1041">
        <f>F542+F546</f>
        <v>28.229999999999997</v>
      </c>
    </row>
    <row r="548" spans="1:6" ht="15.75" thickBot="1">
      <c r="A548" s="168"/>
      <c r="B548" s="1464"/>
      <c r="C548" s="455"/>
      <c r="D548" s="94"/>
      <c r="E548" s="94"/>
      <c r="F548" s="168"/>
    </row>
    <row r="549" spans="1:6">
      <c r="A549" s="226" t="s">
        <v>2101</v>
      </c>
      <c r="B549" s="498" t="s">
        <v>2098</v>
      </c>
      <c r="C549" s="71" t="s">
        <v>55</v>
      </c>
      <c r="D549" s="499"/>
      <c r="E549" s="499"/>
      <c r="F549" s="500"/>
    </row>
    <row r="550" spans="1:6">
      <c r="A550" s="2030" t="s">
        <v>1586</v>
      </c>
      <c r="B550" s="2031"/>
      <c r="C550" s="2031"/>
      <c r="D550" s="2031"/>
      <c r="E550" s="2031"/>
      <c r="F550" s="2032"/>
    </row>
    <row r="551" spans="1:6" ht="30">
      <c r="A551" s="1476"/>
      <c r="B551" s="1477" t="s">
        <v>48</v>
      </c>
      <c r="C551" s="1478" t="s">
        <v>49</v>
      </c>
      <c r="D551" s="1479" t="s">
        <v>50</v>
      </c>
      <c r="E551" s="1480" t="s">
        <v>51</v>
      </c>
      <c r="F551" s="30" t="s">
        <v>52</v>
      </c>
    </row>
    <row r="552" spans="1:6">
      <c r="A552" s="1523">
        <v>88264</v>
      </c>
      <c r="B552" s="1481" t="s">
        <v>94</v>
      </c>
      <c r="C552" s="1293" t="s">
        <v>57</v>
      </c>
      <c r="D552" s="1422">
        <v>0.3523</v>
      </c>
      <c r="E552" s="1278">
        <v>25.54</v>
      </c>
      <c r="F552" s="261">
        <f>TRUNC(D552*E552,2)</f>
        <v>8.99</v>
      </c>
    </row>
    <row r="553" spans="1:6" ht="25.5">
      <c r="A553" s="1524">
        <v>88247</v>
      </c>
      <c r="B553" s="1481" t="s">
        <v>93</v>
      </c>
      <c r="C553" s="1293" t="s">
        <v>57</v>
      </c>
      <c r="D553" s="1422">
        <v>0.3523</v>
      </c>
      <c r="E553" s="1001">
        <v>21</v>
      </c>
      <c r="F553" s="261">
        <f>TRUNC(D553*E553,2)</f>
        <v>7.39</v>
      </c>
    </row>
    <row r="554" spans="1:6">
      <c r="A554" s="1482"/>
      <c r="B554" s="1483"/>
      <c r="C554" s="1484"/>
      <c r="D554" s="1485"/>
      <c r="E554" s="1040" t="s">
        <v>58</v>
      </c>
      <c r="F554" s="262">
        <f>SUM(F552:F553)</f>
        <v>16.38</v>
      </c>
    </row>
    <row r="555" spans="1:6" ht="30">
      <c r="A555" s="1492"/>
      <c r="B555" s="981" t="s">
        <v>95</v>
      </c>
      <c r="C555" s="1419" t="s">
        <v>49</v>
      </c>
      <c r="D555" s="1420" t="s">
        <v>50</v>
      </c>
      <c r="E555" s="1267" t="s">
        <v>62</v>
      </c>
      <c r="F555" s="38" t="s">
        <v>52</v>
      </c>
    </row>
    <row r="556" spans="1:6">
      <c r="A556" s="1292">
        <v>39337</v>
      </c>
      <c r="B556" s="1247" t="s">
        <v>2105</v>
      </c>
      <c r="C556" s="1293" t="s">
        <v>55</v>
      </c>
      <c r="D556" s="1294">
        <v>1</v>
      </c>
      <c r="E556" s="1001">
        <v>10.17</v>
      </c>
      <c r="F556" s="261">
        <f>TRUNC(D556*E556,2)</f>
        <v>10.17</v>
      </c>
    </row>
    <row r="557" spans="1:6" ht="38.25">
      <c r="A557" s="1296">
        <v>11950</v>
      </c>
      <c r="B557" s="1247" t="s">
        <v>2104</v>
      </c>
      <c r="C557" s="1293" t="s">
        <v>55</v>
      </c>
      <c r="D557" s="1294">
        <v>2</v>
      </c>
      <c r="E557" s="1278">
        <v>0.2</v>
      </c>
      <c r="F557" s="261">
        <f>TRUNC(D557*E557,2)</f>
        <v>0.4</v>
      </c>
    </row>
    <row r="558" spans="1:6">
      <c r="A558" s="1531"/>
      <c r="B558" s="1493"/>
      <c r="C558" s="1484"/>
      <c r="D558" s="1485"/>
      <c r="E558" s="1539" t="s">
        <v>58</v>
      </c>
      <c r="F558" s="212">
        <f>SUM(F556:F557)</f>
        <v>10.57</v>
      </c>
    </row>
    <row r="559" spans="1:6" ht="15.75" thickBot="1">
      <c r="A559" s="1532"/>
      <c r="B559" s="2029" t="s">
        <v>53</v>
      </c>
      <c r="C559" s="2029"/>
      <c r="D559" s="2029"/>
      <c r="E559" s="2029"/>
      <c r="F559" s="1041">
        <f>F554+F558</f>
        <v>26.95</v>
      </c>
    </row>
    <row r="560" spans="1:6" ht="15.75" thickBot="1">
      <c r="A560" s="285"/>
      <c r="B560" s="478"/>
      <c r="C560" s="478"/>
      <c r="D560" s="478"/>
      <c r="E560" s="478"/>
      <c r="F560" s="479"/>
    </row>
    <row r="561" spans="1:6">
      <c r="A561" s="226" t="s">
        <v>2142</v>
      </c>
      <c r="B561" s="498" t="s">
        <v>2100</v>
      </c>
      <c r="C561" s="71" t="s">
        <v>55</v>
      </c>
      <c r="D561" s="499"/>
      <c r="E561" s="499"/>
      <c r="F561" s="500"/>
    </row>
    <row r="562" spans="1:6">
      <c r="A562" s="2030" t="s">
        <v>1586</v>
      </c>
      <c r="B562" s="2031"/>
      <c r="C562" s="2031"/>
      <c r="D562" s="2031"/>
      <c r="E562" s="2031"/>
      <c r="F562" s="2032"/>
    </row>
    <row r="563" spans="1:6" ht="30">
      <c r="A563" s="1476"/>
      <c r="B563" s="1477" t="s">
        <v>48</v>
      </c>
      <c r="C563" s="1478" t="s">
        <v>49</v>
      </c>
      <c r="D563" s="1479" t="s">
        <v>50</v>
      </c>
      <c r="E563" s="1480" t="s">
        <v>51</v>
      </c>
      <c r="F563" s="30" t="s">
        <v>52</v>
      </c>
    </row>
    <row r="564" spans="1:6">
      <c r="A564" s="1523">
        <v>88264</v>
      </c>
      <c r="B564" s="1481" t="s">
        <v>94</v>
      </c>
      <c r="C564" s="1293" t="s">
        <v>57</v>
      </c>
      <c r="D564" s="1422">
        <v>0.3523</v>
      </c>
      <c r="E564" s="1278">
        <v>25.54</v>
      </c>
      <c r="F564" s="261">
        <f>TRUNC(D564*E564,2)</f>
        <v>8.99</v>
      </c>
    </row>
    <row r="565" spans="1:6" ht="25.5">
      <c r="A565" s="1524">
        <v>88247</v>
      </c>
      <c r="B565" s="1481" t="s">
        <v>93</v>
      </c>
      <c r="C565" s="1293" t="s">
        <v>57</v>
      </c>
      <c r="D565" s="1422">
        <v>0.3523</v>
      </c>
      <c r="E565" s="1001">
        <v>21</v>
      </c>
      <c r="F565" s="261">
        <f>TRUNC(D565*E565,2)</f>
        <v>7.39</v>
      </c>
    </row>
    <row r="566" spans="1:6">
      <c r="A566" s="1482"/>
      <c r="B566" s="1483"/>
      <c r="C566" s="1484"/>
      <c r="D566" s="1485"/>
      <c r="E566" s="1040" t="s">
        <v>58</v>
      </c>
      <c r="F566" s="262">
        <f>SUM(F564:F565)</f>
        <v>16.38</v>
      </c>
    </row>
    <row r="567" spans="1:6" ht="30">
      <c r="A567" s="1492"/>
      <c r="B567" s="981" t="s">
        <v>95</v>
      </c>
      <c r="C567" s="1419" t="s">
        <v>49</v>
      </c>
      <c r="D567" s="1420" t="s">
        <v>50</v>
      </c>
      <c r="E567" s="1267" t="s">
        <v>62</v>
      </c>
      <c r="F567" s="38" t="s">
        <v>52</v>
      </c>
    </row>
    <row r="568" spans="1:6">
      <c r="A568" s="1296">
        <v>39338</v>
      </c>
      <c r="B568" s="1247" t="s">
        <v>2106</v>
      </c>
      <c r="C568" s="1293" t="s">
        <v>55</v>
      </c>
      <c r="D568" s="1294">
        <v>1</v>
      </c>
      <c r="E568" s="1001">
        <v>12.78</v>
      </c>
      <c r="F568" s="261">
        <f>TRUNC(D568*E568,2)</f>
        <v>12.78</v>
      </c>
    </row>
    <row r="569" spans="1:6" ht="38.25">
      <c r="A569" s="1296">
        <v>11950</v>
      </c>
      <c r="B569" s="1247" t="s">
        <v>2104</v>
      </c>
      <c r="C569" s="1293" t="s">
        <v>55</v>
      </c>
      <c r="D569" s="1294">
        <v>2</v>
      </c>
      <c r="E569" s="1278">
        <v>0.2</v>
      </c>
      <c r="F569" s="261">
        <f>TRUNC(D569*E569,2)</f>
        <v>0.4</v>
      </c>
    </row>
    <row r="570" spans="1:6">
      <c r="A570" s="1531"/>
      <c r="B570" s="1493"/>
      <c r="C570" s="1484"/>
      <c r="D570" s="1485"/>
      <c r="E570" s="1539" t="s">
        <v>58</v>
      </c>
      <c r="F570" s="212">
        <f>SUM(F568:F569)</f>
        <v>13.18</v>
      </c>
    </row>
    <row r="571" spans="1:6" ht="15.75" thickBot="1">
      <c r="A571" s="1532"/>
      <c r="B571" s="2029" t="s">
        <v>53</v>
      </c>
      <c r="C571" s="2029"/>
      <c r="D571" s="2029"/>
      <c r="E571" s="2029"/>
      <c r="F571" s="1041">
        <f>F566+F570</f>
        <v>29.56</v>
      </c>
    </row>
    <row r="572" spans="1:6" ht="15.75" thickBot="1">
      <c r="A572" s="285"/>
      <c r="B572" s="478"/>
      <c r="C572" s="478"/>
      <c r="D572" s="478"/>
      <c r="E572" s="478"/>
      <c r="F572" s="479"/>
    </row>
    <row r="573" spans="1:6">
      <c r="A573" s="226" t="s">
        <v>2143</v>
      </c>
      <c r="B573" s="498" t="s">
        <v>2102</v>
      </c>
      <c r="C573" s="71" t="s">
        <v>55</v>
      </c>
      <c r="D573" s="499"/>
      <c r="E573" s="499"/>
      <c r="F573" s="500"/>
    </row>
    <row r="574" spans="1:6">
      <c r="A574" s="2030" t="s">
        <v>1586</v>
      </c>
      <c r="B574" s="2031"/>
      <c r="C574" s="2031"/>
      <c r="D574" s="2031"/>
      <c r="E574" s="2031"/>
      <c r="F574" s="2032"/>
    </row>
    <row r="575" spans="1:6" ht="30">
      <c r="A575" s="1476"/>
      <c r="B575" s="1477" t="s">
        <v>48</v>
      </c>
      <c r="C575" s="1478" t="s">
        <v>49</v>
      </c>
      <c r="D575" s="1479" t="s">
        <v>50</v>
      </c>
      <c r="E575" s="1480" t="s">
        <v>51</v>
      </c>
      <c r="F575" s="30" t="s">
        <v>52</v>
      </c>
    </row>
    <row r="576" spans="1:6">
      <c r="A576" s="1523">
        <v>88264</v>
      </c>
      <c r="B576" s="1481" t="s">
        <v>94</v>
      </c>
      <c r="C576" s="1293" t="s">
        <v>57</v>
      </c>
      <c r="D576" s="1422">
        <v>0.3523</v>
      </c>
      <c r="E576" s="1278">
        <v>25.54</v>
      </c>
      <c r="F576" s="261">
        <f>TRUNC(D576*E576,2)</f>
        <v>8.99</v>
      </c>
    </row>
    <row r="577" spans="1:6" ht="25.5">
      <c r="A577" s="1524">
        <v>88247</v>
      </c>
      <c r="B577" s="1481" t="s">
        <v>93</v>
      </c>
      <c r="C577" s="1293" t="s">
        <v>57</v>
      </c>
      <c r="D577" s="1422">
        <v>0.3523</v>
      </c>
      <c r="E577" s="1001">
        <v>21</v>
      </c>
      <c r="F577" s="261">
        <f>TRUNC(D577*E577,2)</f>
        <v>7.39</v>
      </c>
    </row>
    <row r="578" spans="1:6">
      <c r="A578" s="1482"/>
      <c r="B578" s="1483"/>
      <c r="C578" s="1484"/>
      <c r="D578" s="1485"/>
      <c r="E578" s="1040" t="s">
        <v>58</v>
      </c>
      <c r="F578" s="262">
        <f>SUM(F576:F577)</f>
        <v>16.38</v>
      </c>
    </row>
    <row r="579" spans="1:6" ht="30">
      <c r="A579" s="1492"/>
      <c r="B579" s="981" t="s">
        <v>95</v>
      </c>
      <c r="C579" s="1419" t="s">
        <v>49</v>
      </c>
      <c r="D579" s="1420" t="s">
        <v>50</v>
      </c>
      <c r="E579" s="1267" t="s">
        <v>62</v>
      </c>
      <c r="F579" s="38" t="s">
        <v>52</v>
      </c>
    </row>
    <row r="580" spans="1:6">
      <c r="A580" s="1296">
        <v>39341</v>
      </c>
      <c r="B580" s="1540" t="s">
        <v>2364</v>
      </c>
      <c r="C580" s="1293" t="s">
        <v>55</v>
      </c>
      <c r="D580" s="1294">
        <v>1</v>
      </c>
      <c r="E580" s="1001">
        <v>16.66</v>
      </c>
      <c r="F580" s="261">
        <f>TRUNC(D580*E580,2)</f>
        <v>16.66</v>
      </c>
    </row>
    <row r="581" spans="1:6" ht="38.25">
      <c r="A581" s="1296">
        <v>11950</v>
      </c>
      <c r="B581" s="1247" t="s">
        <v>2104</v>
      </c>
      <c r="C581" s="1293" t="s">
        <v>55</v>
      </c>
      <c r="D581" s="1294">
        <v>2</v>
      </c>
      <c r="E581" s="1278">
        <v>0.2</v>
      </c>
      <c r="F581" s="261">
        <f>TRUNC(D581*E581,2)</f>
        <v>0.4</v>
      </c>
    </row>
    <row r="582" spans="1:6">
      <c r="A582" s="1531"/>
      <c r="B582" s="1493"/>
      <c r="C582" s="1484"/>
      <c r="D582" s="1485"/>
      <c r="E582" s="1539" t="s">
        <v>58</v>
      </c>
      <c r="F582" s="212">
        <f>SUM(F580:F581)</f>
        <v>17.059999999999999</v>
      </c>
    </row>
    <row r="583" spans="1:6" ht="15.75" thickBot="1">
      <c r="A583" s="1532"/>
      <c r="B583" s="2029" t="s">
        <v>53</v>
      </c>
      <c r="C583" s="2029"/>
      <c r="D583" s="2029"/>
      <c r="E583" s="2029"/>
      <c r="F583" s="1041">
        <f>F578+F582</f>
        <v>33.44</v>
      </c>
    </row>
  </sheetData>
  <mergeCells count="215">
    <mergeCell ref="D30:E30"/>
    <mergeCell ref="D31:E31"/>
    <mergeCell ref="D32:E32"/>
    <mergeCell ref="D33:E33"/>
    <mergeCell ref="D34:E34"/>
    <mergeCell ref="A37:F37"/>
    <mergeCell ref="A9:F9"/>
    <mergeCell ref="B17:E17"/>
    <mergeCell ref="A20:F20"/>
    <mergeCell ref="B28:E28"/>
    <mergeCell ref="B29:E29"/>
    <mergeCell ref="D50:E50"/>
    <mergeCell ref="A53:F53"/>
    <mergeCell ref="B60:E60"/>
    <mergeCell ref="B61:E61"/>
    <mergeCell ref="D62:E62"/>
    <mergeCell ref="D63:E63"/>
    <mergeCell ref="B44:E44"/>
    <mergeCell ref="B45:E45"/>
    <mergeCell ref="D46:E46"/>
    <mergeCell ref="D47:E47"/>
    <mergeCell ref="D48:E48"/>
    <mergeCell ref="D49:E49"/>
    <mergeCell ref="D79:E79"/>
    <mergeCell ref="D80:E80"/>
    <mergeCell ref="D81:E81"/>
    <mergeCell ref="D82:E82"/>
    <mergeCell ref="D83:E83"/>
    <mergeCell ref="A86:F86"/>
    <mergeCell ref="D64:E64"/>
    <mergeCell ref="D65:E65"/>
    <mergeCell ref="D66:E66"/>
    <mergeCell ref="A69:F69"/>
    <mergeCell ref="B77:E77"/>
    <mergeCell ref="B78:E78"/>
    <mergeCell ref="D100:E100"/>
    <mergeCell ref="A103:F103"/>
    <mergeCell ref="B111:E111"/>
    <mergeCell ref="B112:E112"/>
    <mergeCell ref="D113:E113"/>
    <mergeCell ref="D114:E114"/>
    <mergeCell ref="B94:E94"/>
    <mergeCell ref="B95:E95"/>
    <mergeCell ref="D96:E96"/>
    <mergeCell ref="D97:E97"/>
    <mergeCell ref="D98:E98"/>
    <mergeCell ref="D99:E99"/>
    <mergeCell ref="D130:E130"/>
    <mergeCell ref="D131:E131"/>
    <mergeCell ref="D132:E132"/>
    <mergeCell ref="D133:E133"/>
    <mergeCell ref="D134:E134"/>
    <mergeCell ref="A137:F137"/>
    <mergeCell ref="D115:E115"/>
    <mergeCell ref="D116:E116"/>
    <mergeCell ref="D117:E117"/>
    <mergeCell ref="A120:F120"/>
    <mergeCell ref="B128:E128"/>
    <mergeCell ref="B129:E129"/>
    <mergeCell ref="D154:E154"/>
    <mergeCell ref="B155:E155"/>
    <mergeCell ref="D156:E156"/>
    <mergeCell ref="D157:E157"/>
    <mergeCell ref="D158:E158"/>
    <mergeCell ref="D159:E159"/>
    <mergeCell ref="B148:E148"/>
    <mergeCell ref="B149:E149"/>
    <mergeCell ref="D150:E150"/>
    <mergeCell ref="D151:E151"/>
    <mergeCell ref="D152:E152"/>
    <mergeCell ref="D153:E153"/>
    <mergeCell ref="D166:E166"/>
    <mergeCell ref="A169:F169"/>
    <mergeCell ref="B177:E177"/>
    <mergeCell ref="B178:E178"/>
    <mergeCell ref="D179:E179"/>
    <mergeCell ref="D180:E180"/>
    <mergeCell ref="D160:E160"/>
    <mergeCell ref="B161:E161"/>
    <mergeCell ref="D162:E162"/>
    <mergeCell ref="D163:E163"/>
    <mergeCell ref="D164:E164"/>
    <mergeCell ref="D165:E165"/>
    <mergeCell ref="B204:E204"/>
    <mergeCell ref="A207:F207"/>
    <mergeCell ref="B223:E223"/>
    <mergeCell ref="A226:F226"/>
    <mergeCell ref="B234:E234"/>
    <mergeCell ref="A237:F237"/>
    <mergeCell ref="D181:E181"/>
    <mergeCell ref="D182:E182"/>
    <mergeCell ref="D183:E183"/>
    <mergeCell ref="A186:F186"/>
    <mergeCell ref="B194:E194"/>
    <mergeCell ref="A197:F197"/>
    <mergeCell ref="D260:E260"/>
    <mergeCell ref="D261:E261"/>
    <mergeCell ref="D262:E262"/>
    <mergeCell ref="A265:F265"/>
    <mergeCell ref="B273:E273"/>
    <mergeCell ref="B274:E274"/>
    <mergeCell ref="B245:E245"/>
    <mergeCell ref="A248:F248"/>
    <mergeCell ref="B256:E256"/>
    <mergeCell ref="B257:E257"/>
    <mergeCell ref="D258:E258"/>
    <mergeCell ref="D259:E259"/>
    <mergeCell ref="B290:E290"/>
    <mergeCell ref="B291:E291"/>
    <mergeCell ref="D292:E292"/>
    <mergeCell ref="D293:E293"/>
    <mergeCell ref="D294:E294"/>
    <mergeCell ref="D295:E295"/>
    <mergeCell ref="D275:E275"/>
    <mergeCell ref="D276:E276"/>
    <mergeCell ref="D277:E277"/>
    <mergeCell ref="D278:E278"/>
    <mergeCell ref="D279:E279"/>
    <mergeCell ref="A282:F282"/>
    <mergeCell ref="D321:E321"/>
    <mergeCell ref="D322:E322"/>
    <mergeCell ref="D323:E323"/>
    <mergeCell ref="D324:E324"/>
    <mergeCell ref="D325:E325"/>
    <mergeCell ref="A328:F328"/>
    <mergeCell ref="D296:E296"/>
    <mergeCell ref="A299:F299"/>
    <mergeCell ref="B308:E308"/>
    <mergeCell ref="A311:F311"/>
    <mergeCell ref="B319:E319"/>
    <mergeCell ref="B320:E320"/>
    <mergeCell ref="D342:E342"/>
    <mergeCell ref="A345:F345"/>
    <mergeCell ref="B353:E353"/>
    <mergeCell ref="A356:F356"/>
    <mergeCell ref="B364:E364"/>
    <mergeCell ref="B365:E365"/>
    <mergeCell ref="B336:E336"/>
    <mergeCell ref="B337:E337"/>
    <mergeCell ref="D338:E338"/>
    <mergeCell ref="D339:E339"/>
    <mergeCell ref="D340:E340"/>
    <mergeCell ref="D341:E341"/>
    <mergeCell ref="B381:E381"/>
    <mergeCell ref="A384:F384"/>
    <mergeCell ref="B392:E392"/>
    <mergeCell ref="B393:E393"/>
    <mergeCell ref="D394:E394"/>
    <mergeCell ref="D395:E395"/>
    <mergeCell ref="D366:E366"/>
    <mergeCell ref="D367:E367"/>
    <mergeCell ref="D368:E368"/>
    <mergeCell ref="D369:E369"/>
    <mergeCell ref="D370:E370"/>
    <mergeCell ref="A373:F373"/>
    <mergeCell ref="D411:E411"/>
    <mergeCell ref="D412:E412"/>
    <mergeCell ref="D413:E413"/>
    <mergeCell ref="D414:E414"/>
    <mergeCell ref="D415:E415"/>
    <mergeCell ref="A418:F418"/>
    <mergeCell ref="D396:E396"/>
    <mergeCell ref="D397:E397"/>
    <mergeCell ref="D398:E398"/>
    <mergeCell ref="A401:F401"/>
    <mergeCell ref="B409:E409"/>
    <mergeCell ref="B410:E410"/>
    <mergeCell ref="D434:E434"/>
    <mergeCell ref="A437:F437"/>
    <mergeCell ref="B446:E446"/>
    <mergeCell ref="A449:F449"/>
    <mergeCell ref="B458:E458"/>
    <mergeCell ref="A461:F461"/>
    <mergeCell ref="B428:E428"/>
    <mergeCell ref="B429:E429"/>
    <mergeCell ref="D430:E430"/>
    <mergeCell ref="D431:E431"/>
    <mergeCell ref="D432:E432"/>
    <mergeCell ref="D433:E433"/>
    <mergeCell ref="D477:E477"/>
    <mergeCell ref="A480:F480"/>
    <mergeCell ref="B488:E488"/>
    <mergeCell ref="A491:F491"/>
    <mergeCell ref="B500:E500"/>
    <mergeCell ref="B501:E501"/>
    <mergeCell ref="B471:E471"/>
    <mergeCell ref="B472:E472"/>
    <mergeCell ref="D473:E473"/>
    <mergeCell ref="D474:E474"/>
    <mergeCell ref="D475:E475"/>
    <mergeCell ref="D476:E476"/>
    <mergeCell ref="B559:E559"/>
    <mergeCell ref="A562:F562"/>
    <mergeCell ref="B571:E571"/>
    <mergeCell ref="A574:F574"/>
    <mergeCell ref="B583:E583"/>
    <mergeCell ref="A7:F7"/>
    <mergeCell ref="D523:E523"/>
    <mergeCell ref="A526:F526"/>
    <mergeCell ref="B535:E535"/>
    <mergeCell ref="A538:F538"/>
    <mergeCell ref="B547:E547"/>
    <mergeCell ref="A550:F550"/>
    <mergeCell ref="B517:E517"/>
    <mergeCell ref="B518:E518"/>
    <mergeCell ref="D519:E519"/>
    <mergeCell ref="D520:E520"/>
    <mergeCell ref="D521:E521"/>
    <mergeCell ref="D522:E522"/>
    <mergeCell ref="D502:E502"/>
    <mergeCell ref="D503:E503"/>
    <mergeCell ref="D504:E504"/>
    <mergeCell ref="D505:E505"/>
    <mergeCell ref="D506:E506"/>
    <mergeCell ref="A509:F509"/>
  </mergeCells>
  <hyperlinks>
    <hyperlink ref="F180" r:id="rId1" xr:uid="{00000000-0004-0000-0500-000000000000}"/>
    <hyperlink ref="F276" r:id="rId2" xr:uid="{00000000-0004-0000-0500-000001000000}"/>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F123"/>
  <sheetViews>
    <sheetView topLeftCell="A110" workbookViewId="0">
      <selection activeCell="A115" sqref="A115:E115"/>
    </sheetView>
  </sheetViews>
  <sheetFormatPr defaultRowHeight="15"/>
  <cols>
    <col min="1" max="1" width="13.85546875" customWidth="1"/>
    <col min="2" max="2" width="60.7109375" customWidth="1"/>
    <col min="3" max="3" width="8.7109375" customWidth="1"/>
    <col min="4" max="4" width="10.5703125" customWidth="1"/>
    <col min="5" max="5" width="10.140625" customWidth="1"/>
    <col min="6" max="6" width="19.85546875" customWidth="1"/>
  </cols>
  <sheetData>
    <row r="5" spans="1:6" ht="15.75" thickBot="1"/>
    <row r="6" spans="1:6">
      <c r="A6" s="124" t="s">
        <v>0</v>
      </c>
      <c r="B6" s="59" t="str">
        <f>'PLANILHA SEM DESON'!B9:D9</f>
        <v>SEMA-PRO-2022/00145</v>
      </c>
      <c r="C6" s="59"/>
      <c r="D6" s="59"/>
      <c r="E6" s="125" t="s">
        <v>133</v>
      </c>
      <c r="F6" s="424">
        <f>'[2]PLANILHA SEM DESON'!I4</f>
        <v>0</v>
      </c>
    </row>
    <row r="7" spans="1:6">
      <c r="A7" s="103" t="s">
        <v>1</v>
      </c>
      <c r="B7" s="16" t="str">
        <f>'PLANILHA SEM DESON'!B10:C10</f>
        <v>CONSTRUÇÃO DE DIRETORIA DE UNIDADE DESCONCENTRADA DA SEMA - DUDS</v>
      </c>
      <c r="C7" s="16"/>
      <c r="D7" s="16"/>
      <c r="E7" s="16"/>
      <c r="F7" s="56"/>
    </row>
    <row r="8" spans="1:6">
      <c r="A8" s="103" t="s">
        <v>2</v>
      </c>
      <c r="B8" s="16" t="str">
        <f>'PLANILHA SEM DESON'!B11:C11</f>
        <v>Rua Erichin, esquina com Rua Circular - Bairro Residencial Arco Íris</v>
      </c>
      <c r="C8" s="16"/>
      <c r="D8" s="16"/>
      <c r="E8" s="16"/>
      <c r="F8" s="56"/>
    </row>
    <row r="9" spans="1:6">
      <c r="A9" s="103" t="s">
        <v>4</v>
      </c>
      <c r="B9" s="16" t="str">
        <f>'PLANILHA SEM DESON'!B12:C12</f>
        <v>CONFRESA - MT</v>
      </c>
      <c r="C9" s="16"/>
      <c r="D9" s="16"/>
      <c r="E9" s="16"/>
      <c r="F9" s="56"/>
    </row>
    <row r="10" spans="1:6" ht="15.75" thickBot="1">
      <c r="A10" s="104" t="s">
        <v>5</v>
      </c>
      <c r="B10" s="1132" t="str">
        <f>'PLANILHA SEM DESON'!B13</f>
        <v xml:space="preserve">CONSTRUÇÃO </v>
      </c>
      <c r="C10" s="1132"/>
      <c r="D10" s="1132"/>
      <c r="E10" s="1132"/>
      <c r="F10" s="57"/>
    </row>
    <row r="11" spans="1:6" ht="16.5" thickBot="1">
      <c r="A11" s="2087" t="s">
        <v>1958</v>
      </c>
      <c r="B11" s="2088"/>
      <c r="C11" s="2088"/>
      <c r="D11" s="2088"/>
      <c r="E11" s="2088"/>
      <c r="F11" s="2089"/>
    </row>
    <row r="12" spans="1:6" ht="25.5">
      <c r="A12" s="1541" t="s">
        <v>420</v>
      </c>
      <c r="B12" s="420" t="s">
        <v>1166</v>
      </c>
      <c r="C12" s="365" t="s">
        <v>46</v>
      </c>
      <c r="D12" s="2082"/>
      <c r="E12" s="2083"/>
      <c r="F12" s="74"/>
    </row>
    <row r="13" spans="1:6">
      <c r="A13" s="2079" t="s">
        <v>1165</v>
      </c>
      <c r="B13" s="2080"/>
      <c r="C13" s="2080"/>
      <c r="D13" s="2080"/>
      <c r="E13" s="2080"/>
      <c r="F13" s="1989"/>
    </row>
    <row r="14" spans="1:6" ht="30">
      <c r="A14" s="1441"/>
      <c r="B14" s="1442" t="s">
        <v>56</v>
      </c>
      <c r="C14" s="1443" t="s">
        <v>49</v>
      </c>
      <c r="D14" s="1444" t="s">
        <v>50</v>
      </c>
      <c r="E14" s="1445" t="s">
        <v>62</v>
      </c>
      <c r="F14" s="366" t="s">
        <v>52</v>
      </c>
    </row>
    <row r="15" spans="1:6" ht="25.5">
      <c r="A15" s="1446">
        <v>88239</v>
      </c>
      <c r="B15" s="1486" t="s">
        <v>423</v>
      </c>
      <c r="C15" s="1293" t="s">
        <v>57</v>
      </c>
      <c r="D15" s="1289">
        <v>1.1000000000000001</v>
      </c>
      <c r="E15" s="1297">
        <v>20.55</v>
      </c>
      <c r="F15" s="367">
        <f>TRUNC((D15*E15),2)</f>
        <v>22.6</v>
      </c>
    </row>
    <row r="16" spans="1:6" ht="25.5">
      <c r="A16" s="1446">
        <v>88262</v>
      </c>
      <c r="B16" s="1486" t="s">
        <v>411</v>
      </c>
      <c r="C16" s="1293" t="s">
        <v>57</v>
      </c>
      <c r="D16" s="1289">
        <v>1.1000000000000001</v>
      </c>
      <c r="E16" s="1297">
        <v>24.32</v>
      </c>
      <c r="F16" s="367">
        <f>TRUNC((D16*E16),2)</f>
        <v>26.75</v>
      </c>
    </row>
    <row r="17" spans="1:6">
      <c r="A17" s="1448"/>
      <c r="B17" s="1449"/>
      <c r="C17" s="1450" t="s">
        <v>42</v>
      </c>
      <c r="D17" s="1451" t="s">
        <v>42</v>
      </c>
      <c r="E17" s="1452" t="s">
        <v>58</v>
      </c>
      <c r="F17" s="1542">
        <f>SUM(F15:F16)</f>
        <v>49.35</v>
      </c>
    </row>
    <row r="18" spans="1:6" ht="30">
      <c r="A18" s="1448"/>
      <c r="B18" s="1129" t="s">
        <v>95</v>
      </c>
      <c r="C18" s="1443" t="s">
        <v>49</v>
      </c>
      <c r="D18" s="1444" t="s">
        <v>50</v>
      </c>
      <c r="E18" s="1445" t="s">
        <v>62</v>
      </c>
      <c r="F18" s="366" t="s">
        <v>52</v>
      </c>
    </row>
    <row r="19" spans="1:6" ht="25.5">
      <c r="A19" s="1453">
        <v>4517</v>
      </c>
      <c r="B19" s="1247" t="s">
        <v>1680</v>
      </c>
      <c r="C19" s="1439" t="s">
        <v>54</v>
      </c>
      <c r="D19" s="1289">
        <v>1.25</v>
      </c>
      <c r="E19" s="1289">
        <v>4.08</v>
      </c>
      <c r="F19" s="367">
        <f>TRUNC((D19*E19),2)</f>
        <v>5.0999999999999996</v>
      </c>
    </row>
    <row r="20" spans="1:6" ht="25.5">
      <c r="A20" s="1453">
        <v>6189</v>
      </c>
      <c r="B20" s="1247" t="s">
        <v>1392</v>
      </c>
      <c r="C20" s="1439" t="s">
        <v>46</v>
      </c>
      <c r="D20" s="1289">
        <v>0.2</v>
      </c>
      <c r="E20" s="1289">
        <v>26.29</v>
      </c>
      <c r="F20" s="367">
        <f>TRUNC((D20*E20),2)</f>
        <v>5.25</v>
      </c>
    </row>
    <row r="21" spans="1:6" ht="25.5">
      <c r="A21" s="1453">
        <v>1346</v>
      </c>
      <c r="B21" s="1247" t="s">
        <v>1678</v>
      </c>
      <c r="C21" s="1439" t="s">
        <v>46</v>
      </c>
      <c r="D21" s="1289">
        <v>0.1</v>
      </c>
      <c r="E21" s="1289">
        <v>77.52</v>
      </c>
      <c r="F21" s="367">
        <f>TRUNC((D21*E21),2)</f>
        <v>7.75</v>
      </c>
    </row>
    <row r="22" spans="1:6">
      <c r="A22" s="1453">
        <v>5061</v>
      </c>
      <c r="B22" s="1247" t="s">
        <v>1391</v>
      </c>
      <c r="C22" s="1439" t="s">
        <v>100</v>
      </c>
      <c r="D22" s="1289">
        <v>0.7</v>
      </c>
      <c r="E22" s="1289">
        <v>25.45</v>
      </c>
      <c r="F22" s="367">
        <f>TRUNC((D22*E22),2)</f>
        <v>17.809999999999999</v>
      </c>
    </row>
    <row r="23" spans="1:6" ht="25.5">
      <c r="A23" s="1453">
        <v>2692</v>
      </c>
      <c r="B23" s="1247" t="s">
        <v>1679</v>
      </c>
      <c r="C23" s="1439" t="s">
        <v>424</v>
      </c>
      <c r="D23" s="1289">
        <v>0.01</v>
      </c>
      <c r="E23" s="1289">
        <v>8.84</v>
      </c>
      <c r="F23" s="367">
        <f>TRUNC((D23*E23),2)</f>
        <v>0.08</v>
      </c>
    </row>
    <row r="24" spans="1:6">
      <c r="A24" s="1457"/>
      <c r="B24" s="1458"/>
      <c r="C24" s="1374"/>
      <c r="D24" s="1459"/>
      <c r="E24" s="1452" t="s">
        <v>58</v>
      </c>
      <c r="F24" s="366">
        <f>SUM(F19:F23)</f>
        <v>35.989999999999995</v>
      </c>
    </row>
    <row r="25" spans="1:6" ht="15.75" thickBot="1">
      <c r="A25" s="368"/>
      <c r="B25" s="2081" t="s">
        <v>53</v>
      </c>
      <c r="C25" s="2081"/>
      <c r="D25" s="2081"/>
      <c r="E25" s="2081"/>
      <c r="F25" s="1543">
        <f>F17+F24</f>
        <v>85.34</v>
      </c>
    </row>
    <row r="26" spans="1:6" ht="15.75" thickBot="1">
      <c r="A26" s="1544"/>
      <c r="B26" s="2090"/>
      <c r="C26" s="2090"/>
      <c r="D26" s="2090"/>
      <c r="E26" s="2090"/>
      <c r="F26" s="1545"/>
    </row>
    <row r="27" spans="1:6">
      <c r="A27" s="1541" t="s">
        <v>421</v>
      </c>
      <c r="B27" s="420" t="s">
        <v>1167</v>
      </c>
      <c r="C27" s="365" t="s">
        <v>46</v>
      </c>
      <c r="D27" s="2082"/>
      <c r="E27" s="2083"/>
      <c r="F27" s="74"/>
    </row>
    <row r="28" spans="1:6">
      <c r="A28" s="2079" t="s">
        <v>1168</v>
      </c>
      <c r="B28" s="2080"/>
      <c r="C28" s="2080"/>
      <c r="D28" s="2080"/>
      <c r="E28" s="2080"/>
      <c r="F28" s="1989"/>
    </row>
    <row r="29" spans="1:6" ht="30">
      <c r="A29" s="1441"/>
      <c r="B29" s="1442" t="s">
        <v>56</v>
      </c>
      <c r="C29" s="1443" t="s">
        <v>49</v>
      </c>
      <c r="D29" s="1444" t="s">
        <v>50</v>
      </c>
      <c r="E29" s="1445" t="s">
        <v>62</v>
      </c>
      <c r="F29" s="366" t="s">
        <v>52</v>
      </c>
    </row>
    <row r="30" spans="1:6">
      <c r="A30" s="1446">
        <v>88309</v>
      </c>
      <c r="B30" s="1486" t="s">
        <v>103</v>
      </c>
      <c r="C30" s="1293" t="s">
        <v>57</v>
      </c>
      <c r="D30" s="1440">
        <v>1.0058</v>
      </c>
      <c r="E30" s="1297">
        <v>24.59</v>
      </c>
      <c r="F30" s="367">
        <f>TRUNC((D30*E30),2)</f>
        <v>24.73</v>
      </c>
    </row>
    <row r="31" spans="1:6">
      <c r="A31" s="1446">
        <v>88316</v>
      </c>
      <c r="B31" s="168" t="s">
        <v>66</v>
      </c>
      <c r="C31" s="1293" t="s">
        <v>57</v>
      </c>
      <c r="D31" s="1440">
        <v>2.7574000000000001</v>
      </c>
      <c r="E31" s="1297">
        <v>19.45</v>
      </c>
      <c r="F31" s="367">
        <f>TRUNC((D31*E31),2)</f>
        <v>53.63</v>
      </c>
    </row>
    <row r="32" spans="1:6">
      <c r="A32" s="1448"/>
      <c r="B32" s="1449"/>
      <c r="C32" s="1450" t="s">
        <v>42</v>
      </c>
      <c r="D32" s="1451" t="s">
        <v>42</v>
      </c>
      <c r="E32" s="1452" t="s">
        <v>58</v>
      </c>
      <c r="F32" s="1542">
        <f>SUM(F30:F31)</f>
        <v>78.36</v>
      </c>
    </row>
    <row r="33" spans="1:6" ht="30">
      <c r="A33" s="1448"/>
      <c r="B33" s="1129" t="s">
        <v>95</v>
      </c>
      <c r="C33" s="1443" t="s">
        <v>49</v>
      </c>
      <c r="D33" s="1444" t="s">
        <v>50</v>
      </c>
      <c r="E33" s="1445" t="s">
        <v>62</v>
      </c>
      <c r="F33" s="366" t="s">
        <v>52</v>
      </c>
    </row>
    <row r="34" spans="1:6">
      <c r="A34" s="1453"/>
      <c r="B34" s="1546"/>
      <c r="C34" s="1439"/>
      <c r="D34" s="1289"/>
      <c r="E34" s="1289"/>
      <c r="F34" s="367">
        <f>TRUNC((D34*E34),2)</f>
        <v>0</v>
      </c>
    </row>
    <row r="35" spans="1:6">
      <c r="A35" s="1457"/>
      <c r="B35" s="1458"/>
      <c r="C35" s="1374"/>
      <c r="D35" s="1459"/>
      <c r="E35" s="1452" t="s">
        <v>58</v>
      </c>
      <c r="F35" s="366">
        <f>SUM(F34:F34)</f>
        <v>0</v>
      </c>
    </row>
    <row r="36" spans="1:6" ht="15.75" thickBot="1">
      <c r="A36" s="368"/>
      <c r="B36" s="2081" t="s">
        <v>53</v>
      </c>
      <c r="C36" s="2081"/>
      <c r="D36" s="2081"/>
      <c r="E36" s="2081"/>
      <c r="F36" s="1543">
        <f>F32+F35</f>
        <v>78.36</v>
      </c>
    </row>
    <row r="37" spans="1:6" ht="15.75" thickBot="1">
      <c r="A37" s="55"/>
      <c r="B37" s="16"/>
      <c r="C37" s="16"/>
      <c r="D37" s="16"/>
      <c r="E37" s="16"/>
      <c r="F37" s="56"/>
    </row>
    <row r="38" spans="1:6" ht="25.5">
      <c r="A38" s="1541" t="s">
        <v>2121</v>
      </c>
      <c r="B38" s="420" t="s">
        <v>1169</v>
      </c>
      <c r="C38" s="365" t="s">
        <v>100</v>
      </c>
      <c r="D38" s="2082"/>
      <c r="E38" s="2083"/>
      <c r="F38" s="74"/>
    </row>
    <row r="39" spans="1:6">
      <c r="A39" s="2079" t="s">
        <v>1171</v>
      </c>
      <c r="B39" s="2080"/>
      <c r="C39" s="2080"/>
      <c r="D39" s="2080"/>
      <c r="E39" s="2080"/>
      <c r="F39" s="1989"/>
    </row>
    <row r="40" spans="1:6" ht="30">
      <c r="A40" s="1441"/>
      <c r="B40" s="1442" t="s">
        <v>56</v>
      </c>
      <c r="C40" s="1443" t="s">
        <v>49</v>
      </c>
      <c r="D40" s="1444" t="s">
        <v>50</v>
      </c>
      <c r="E40" s="1445" t="s">
        <v>62</v>
      </c>
      <c r="F40" s="366" t="s">
        <v>52</v>
      </c>
    </row>
    <row r="41" spans="1:6">
      <c r="A41" s="1446">
        <v>88238</v>
      </c>
      <c r="B41" s="1127" t="s">
        <v>1173</v>
      </c>
      <c r="C41" s="1293" t="s">
        <v>57</v>
      </c>
      <c r="D41" s="1289">
        <v>1</v>
      </c>
      <c r="E41" s="1297">
        <v>19.41</v>
      </c>
      <c r="F41" s="367">
        <f>TRUNC((D41*E41),2)</f>
        <v>19.41</v>
      </c>
    </row>
    <row r="42" spans="1:6">
      <c r="A42" s="1446">
        <v>88245</v>
      </c>
      <c r="B42" s="1447" t="s">
        <v>1174</v>
      </c>
      <c r="C42" s="1293" t="s">
        <v>57</v>
      </c>
      <c r="D42" s="1289">
        <v>1</v>
      </c>
      <c r="E42" s="1297">
        <v>24.44</v>
      </c>
      <c r="F42" s="367">
        <f>TRUNC((D42*E42),2)</f>
        <v>24.44</v>
      </c>
    </row>
    <row r="43" spans="1:6">
      <c r="A43" s="1448"/>
      <c r="B43" s="1449"/>
      <c r="C43" s="1450" t="s">
        <v>42</v>
      </c>
      <c r="D43" s="1451" t="s">
        <v>42</v>
      </c>
      <c r="E43" s="1452" t="s">
        <v>58</v>
      </c>
      <c r="F43" s="1128">
        <f>SUM(F41:F42)</f>
        <v>43.85</v>
      </c>
    </row>
    <row r="44" spans="1:6" ht="30">
      <c r="A44" s="1448"/>
      <c r="B44" s="1129" t="s">
        <v>95</v>
      </c>
      <c r="C44" s="1443" t="s">
        <v>49</v>
      </c>
      <c r="D44" s="1444" t="s">
        <v>50</v>
      </c>
      <c r="E44" s="1445" t="s">
        <v>62</v>
      </c>
      <c r="F44" s="366" t="s">
        <v>52</v>
      </c>
    </row>
    <row r="45" spans="1:6">
      <c r="A45" s="1453">
        <v>92803</v>
      </c>
      <c r="B45" s="1487" t="s">
        <v>2167</v>
      </c>
      <c r="C45" s="1439" t="s">
        <v>100</v>
      </c>
      <c r="D45" s="1289">
        <v>1.05</v>
      </c>
      <c r="E45" s="1289">
        <v>12.06</v>
      </c>
      <c r="F45" s="367">
        <f>TRUNC((D45*E45),2)</f>
        <v>12.66</v>
      </c>
    </row>
    <row r="46" spans="1:6">
      <c r="A46" s="1453">
        <v>92800</v>
      </c>
      <c r="B46" s="1487" t="s">
        <v>2366</v>
      </c>
      <c r="C46" s="1439" t="s">
        <v>100</v>
      </c>
      <c r="D46" s="1289">
        <v>1.4999999999999999E-2</v>
      </c>
      <c r="E46" s="1289">
        <v>12.37</v>
      </c>
      <c r="F46" s="367">
        <f>TRUNC((D46*E46),2)</f>
        <v>0.18</v>
      </c>
    </row>
    <row r="47" spans="1:6">
      <c r="A47" s="1453"/>
      <c r="B47" s="1454"/>
      <c r="C47" s="1439"/>
      <c r="D47" s="1289"/>
      <c r="E47" s="1452" t="s">
        <v>58</v>
      </c>
      <c r="F47" s="278">
        <f>SUM(F45:F46)</f>
        <v>12.84</v>
      </c>
    </row>
    <row r="48" spans="1:6" ht="30">
      <c r="A48" s="1453"/>
      <c r="B48" s="1455" t="s">
        <v>1170</v>
      </c>
      <c r="C48" s="1443" t="s">
        <v>49</v>
      </c>
      <c r="D48" s="1444" t="s">
        <v>50</v>
      </c>
      <c r="E48" s="1445" t="s">
        <v>62</v>
      </c>
      <c r="F48" s="366" t="s">
        <v>52</v>
      </c>
    </row>
    <row r="49" spans="1:6" ht="38.25">
      <c r="A49" s="1453">
        <v>93287</v>
      </c>
      <c r="B49" s="1456" t="s">
        <v>1175</v>
      </c>
      <c r="C49" s="1439" t="s">
        <v>425</v>
      </c>
      <c r="D49" s="1440">
        <v>1.1299999999999999E-2</v>
      </c>
      <c r="E49" s="538">
        <v>321.83999999999997</v>
      </c>
      <c r="F49" s="1547">
        <f>D49*E49</f>
        <v>3.6367919999999994</v>
      </c>
    </row>
    <row r="50" spans="1:6">
      <c r="A50" s="1453"/>
      <c r="B50" s="421"/>
      <c r="C50" s="1439"/>
      <c r="D50" s="1289"/>
      <c r="E50" s="1452" t="s">
        <v>58</v>
      </c>
      <c r="F50" s="278">
        <f>F49</f>
        <v>3.6367919999999994</v>
      </c>
    </row>
    <row r="51" spans="1:6" ht="30">
      <c r="A51" s="1453"/>
      <c r="B51" s="1455" t="s">
        <v>1172</v>
      </c>
      <c r="C51" s="1443" t="s">
        <v>49</v>
      </c>
      <c r="D51" s="1444" t="s">
        <v>50</v>
      </c>
      <c r="E51" s="1445" t="s">
        <v>62</v>
      </c>
      <c r="F51" s="366" t="s">
        <v>52</v>
      </c>
    </row>
    <row r="52" spans="1:6" ht="38.25">
      <c r="A52" s="1453">
        <v>100263</v>
      </c>
      <c r="B52" s="1247" t="s">
        <v>1681</v>
      </c>
      <c r="C52" s="1439" t="s">
        <v>1682</v>
      </c>
      <c r="D52" s="1440">
        <v>1.0500000000000001E-2</v>
      </c>
      <c r="E52" s="1289">
        <v>1.95</v>
      </c>
      <c r="F52" s="1548">
        <f>(D52*E52)</f>
        <v>2.0475E-2</v>
      </c>
    </row>
    <row r="53" spans="1:6" ht="25.5">
      <c r="A53" s="1453">
        <v>100260</v>
      </c>
      <c r="B53" s="1247" t="s">
        <v>1683</v>
      </c>
      <c r="C53" s="1439" t="s">
        <v>1682</v>
      </c>
      <c r="D53" s="1440">
        <v>2.0000000000000001E-4</v>
      </c>
      <c r="E53" s="1289">
        <v>7.84</v>
      </c>
      <c r="F53" s="1549">
        <f>(D53*E53)</f>
        <v>1.5679999999999999E-3</v>
      </c>
    </row>
    <row r="54" spans="1:6">
      <c r="A54" s="1457"/>
      <c r="B54" s="1458"/>
      <c r="C54" s="1374"/>
      <c r="D54" s="1459"/>
      <c r="E54" s="1452" t="s">
        <v>58</v>
      </c>
      <c r="F54" s="1550">
        <f>SUM(F52:F53)</f>
        <v>2.2043E-2</v>
      </c>
    </row>
    <row r="55" spans="1:6" ht="15.75" thickBot="1">
      <c r="A55" s="368"/>
      <c r="B55" s="2081" t="s">
        <v>53</v>
      </c>
      <c r="C55" s="2081"/>
      <c r="D55" s="2081"/>
      <c r="E55" s="2081"/>
      <c r="F55" s="1130">
        <f>F43+F47+F49+F54</f>
        <v>60.348834999999994</v>
      </c>
    </row>
    <row r="56" spans="1:6" ht="16.5" thickBot="1">
      <c r="A56" s="1460"/>
      <c r="B56" s="1461"/>
      <c r="C56" s="1461"/>
      <c r="D56" s="1461"/>
      <c r="E56" s="1461"/>
      <c r="F56" s="1462"/>
    </row>
    <row r="57" spans="1:6" ht="25.5">
      <c r="A57" s="1551" t="s">
        <v>1179</v>
      </c>
      <c r="B57" s="224" t="s">
        <v>1389</v>
      </c>
      <c r="C57" s="71" t="s">
        <v>46</v>
      </c>
      <c r="D57" s="2082"/>
      <c r="E57" s="2083"/>
      <c r="F57" s="74"/>
    </row>
    <row r="58" spans="1:6">
      <c r="A58" s="2079" t="s">
        <v>422</v>
      </c>
      <c r="B58" s="2080"/>
      <c r="C58" s="2080"/>
      <c r="D58" s="2080"/>
      <c r="E58" s="2080"/>
      <c r="F58" s="1989"/>
    </row>
    <row r="59" spans="1:6" ht="30">
      <c r="A59" s="1417"/>
      <c r="B59" s="1418" t="s">
        <v>56</v>
      </c>
      <c r="C59" s="1419" t="s">
        <v>49</v>
      </c>
      <c r="D59" s="1420" t="s">
        <v>50</v>
      </c>
      <c r="E59" s="1267" t="s">
        <v>62</v>
      </c>
      <c r="F59" s="38" t="s">
        <v>52</v>
      </c>
    </row>
    <row r="60" spans="1:6" ht="25.5">
      <c r="A60" s="1446">
        <v>88239</v>
      </c>
      <c r="B60" s="1486" t="s">
        <v>423</v>
      </c>
      <c r="C60" s="1293" t="s">
        <v>57</v>
      </c>
      <c r="D60" s="1278">
        <v>0.16</v>
      </c>
      <c r="E60" s="1297">
        <v>20.55</v>
      </c>
      <c r="F60" s="111">
        <f>TRUNC((D60*E60),2)</f>
        <v>3.28</v>
      </c>
    </row>
    <row r="61" spans="1:6" ht="25.5">
      <c r="A61" s="1446">
        <v>88262</v>
      </c>
      <c r="B61" s="1486" t="s">
        <v>411</v>
      </c>
      <c r="C61" s="1293" t="s">
        <v>57</v>
      </c>
      <c r="D61" s="1278">
        <v>0.16</v>
      </c>
      <c r="E61" s="1297">
        <v>24.32</v>
      </c>
      <c r="F61" s="111">
        <f>TRUNC((D61*E61),2)</f>
        <v>3.89</v>
      </c>
    </row>
    <row r="62" spans="1:6">
      <c r="A62" s="1446">
        <v>88309</v>
      </c>
      <c r="B62" s="1486" t="s">
        <v>103</v>
      </c>
      <c r="C62" s="1293" t="s">
        <v>57</v>
      </c>
      <c r="D62" s="228">
        <v>0.35</v>
      </c>
      <c r="E62" s="1297">
        <v>24.59</v>
      </c>
      <c r="F62" s="111">
        <f>TRUNC((D62*E62),2)</f>
        <v>8.6</v>
      </c>
    </row>
    <row r="63" spans="1:6">
      <c r="A63" s="1446">
        <v>88316</v>
      </c>
      <c r="B63" s="168" t="s">
        <v>66</v>
      </c>
      <c r="C63" s="1293" t="s">
        <v>57</v>
      </c>
      <c r="D63" s="228">
        <v>0.35</v>
      </c>
      <c r="E63" s="1297">
        <v>19.45</v>
      </c>
      <c r="F63" s="111">
        <f>TRUNC((D63*E63),2)</f>
        <v>6.8</v>
      </c>
    </row>
    <row r="64" spans="1:6">
      <c r="A64" s="1492"/>
      <c r="B64" s="1424"/>
      <c r="C64" s="1293" t="s">
        <v>42</v>
      </c>
      <c r="D64" s="1425" t="s">
        <v>42</v>
      </c>
      <c r="E64" s="1426" t="s">
        <v>58</v>
      </c>
      <c r="F64" s="984">
        <f>SUM(F60:F63)</f>
        <v>22.57</v>
      </c>
    </row>
    <row r="65" spans="1:6" ht="30">
      <c r="A65" s="1492"/>
      <c r="B65" s="981" t="s">
        <v>95</v>
      </c>
      <c r="C65" s="1419" t="s">
        <v>49</v>
      </c>
      <c r="D65" s="1420" t="s">
        <v>50</v>
      </c>
      <c r="E65" s="1267" t="s">
        <v>62</v>
      </c>
      <c r="F65" s="38" t="s">
        <v>52</v>
      </c>
    </row>
    <row r="66" spans="1:6" ht="38.25">
      <c r="A66" s="1552">
        <v>94965</v>
      </c>
      <c r="B66" s="1486" t="s">
        <v>395</v>
      </c>
      <c r="C66" s="1475" t="s">
        <v>47</v>
      </c>
      <c r="D66" s="1428">
        <v>3.3000000000000002E-2</v>
      </c>
      <c r="E66" s="1278">
        <v>568</v>
      </c>
      <c r="F66" s="111">
        <f t="shared" ref="F66:F71" si="0">TRUNC((D66*E66),2)</f>
        <v>18.739999999999998</v>
      </c>
    </row>
    <row r="67" spans="1:6" ht="25.5">
      <c r="A67" s="1552">
        <v>103673</v>
      </c>
      <c r="B67" s="1247" t="s">
        <v>2317</v>
      </c>
      <c r="C67" s="1475" t="s">
        <v>47</v>
      </c>
      <c r="D67" s="1428">
        <v>3.3000000000000002E-2</v>
      </c>
      <c r="E67" s="1278">
        <v>37.31</v>
      </c>
      <c r="F67" s="111">
        <f t="shared" si="0"/>
        <v>1.23</v>
      </c>
    </row>
    <row r="68" spans="1:6" ht="38.25">
      <c r="A68" s="1552">
        <v>3742</v>
      </c>
      <c r="B68" s="1247" t="s">
        <v>1953</v>
      </c>
      <c r="C68" s="1475" t="s">
        <v>46</v>
      </c>
      <c r="D68" s="1428">
        <v>1</v>
      </c>
      <c r="E68" s="1278">
        <v>110.06</v>
      </c>
      <c r="F68" s="111">
        <f t="shared" si="0"/>
        <v>110.06</v>
      </c>
    </row>
    <row r="69" spans="1:6" ht="25.5">
      <c r="A69" s="1552">
        <v>4491</v>
      </c>
      <c r="B69" s="1456" t="s">
        <v>1390</v>
      </c>
      <c r="C69" s="1475" t="s">
        <v>54</v>
      </c>
      <c r="D69" s="1428">
        <v>0.28999999999999998</v>
      </c>
      <c r="E69" s="1278">
        <v>11.67</v>
      </c>
      <c r="F69" s="111">
        <f t="shared" si="0"/>
        <v>3.38</v>
      </c>
    </row>
    <row r="70" spans="1:6">
      <c r="A70" s="1552">
        <v>5061</v>
      </c>
      <c r="B70" s="1540" t="s">
        <v>1391</v>
      </c>
      <c r="C70" s="1475" t="s">
        <v>100</v>
      </c>
      <c r="D70" s="1428">
        <v>0.03</v>
      </c>
      <c r="E70" s="1278">
        <v>25.45</v>
      </c>
      <c r="F70" s="111">
        <f t="shared" si="0"/>
        <v>0.76</v>
      </c>
    </row>
    <row r="71" spans="1:6" ht="25.5">
      <c r="A71" s="1552">
        <v>6189</v>
      </c>
      <c r="B71" s="1456" t="s">
        <v>1392</v>
      </c>
      <c r="C71" s="1475" t="s">
        <v>54</v>
      </c>
      <c r="D71" s="1428">
        <v>0.17</v>
      </c>
      <c r="E71" s="1278">
        <v>26.29</v>
      </c>
      <c r="F71" s="111">
        <f t="shared" si="0"/>
        <v>4.46</v>
      </c>
    </row>
    <row r="72" spans="1:6">
      <c r="A72" s="1429"/>
      <c r="B72" s="1430"/>
      <c r="C72" s="1309"/>
      <c r="D72" s="1431"/>
      <c r="E72" s="1426" t="s">
        <v>58</v>
      </c>
      <c r="F72" s="38">
        <f>SUM(F66:F71)</f>
        <v>138.63</v>
      </c>
    </row>
    <row r="73" spans="1:6" ht="15.75" thickBot="1">
      <c r="A73" s="44"/>
      <c r="B73" s="1961" t="s">
        <v>53</v>
      </c>
      <c r="C73" s="1961"/>
      <c r="D73" s="1961"/>
      <c r="E73" s="1961"/>
      <c r="F73" s="983">
        <f>F64+F72</f>
        <v>161.19999999999999</v>
      </c>
    </row>
    <row r="74" spans="1:6" ht="15.75" thickBot="1">
      <c r="A74" s="2084" t="s">
        <v>1398</v>
      </c>
      <c r="B74" s="2085"/>
      <c r="C74" s="2085"/>
      <c r="D74" s="2085"/>
      <c r="E74" s="2085"/>
      <c r="F74" s="2086"/>
    </row>
    <row r="75" spans="1:6" ht="15.75" thickBot="1">
      <c r="A75" s="55"/>
      <c r="B75" s="16"/>
      <c r="C75" s="16"/>
      <c r="D75" s="16"/>
      <c r="E75" s="16"/>
      <c r="F75" s="56"/>
    </row>
    <row r="76" spans="1:6" ht="38.25">
      <c r="A76" s="1551" t="s">
        <v>1348</v>
      </c>
      <c r="B76" s="520" t="s">
        <v>1329</v>
      </c>
      <c r="C76" s="437" t="s">
        <v>1145</v>
      </c>
      <c r="D76" s="438"/>
      <c r="E76" s="439"/>
      <c r="F76" s="440"/>
    </row>
    <row r="77" spans="1:6">
      <c r="A77" s="2072" t="s">
        <v>1350</v>
      </c>
      <c r="B77" s="2073"/>
      <c r="C77" s="2073"/>
      <c r="D77" s="2073"/>
      <c r="E77" s="2073"/>
      <c r="F77" s="2074"/>
    </row>
    <row r="78" spans="1:6" ht="24">
      <c r="A78" s="441"/>
      <c r="B78" s="435" t="s">
        <v>48</v>
      </c>
      <c r="C78" s="442" t="s">
        <v>49</v>
      </c>
      <c r="D78" s="443" t="s">
        <v>50</v>
      </c>
      <c r="E78" s="444" t="s">
        <v>51</v>
      </c>
      <c r="F78" s="445" t="s">
        <v>52</v>
      </c>
    </row>
    <row r="79" spans="1:6">
      <c r="A79" s="1429">
        <v>88315</v>
      </c>
      <c r="B79" s="1481" t="s">
        <v>1330</v>
      </c>
      <c r="C79" s="1553" t="s">
        <v>387</v>
      </c>
      <c r="D79" s="1554">
        <v>0.02</v>
      </c>
      <c r="E79" s="1278">
        <v>24.44</v>
      </c>
      <c r="F79" s="261">
        <f t="shared" ref="F79:F84" si="1">TRUNC(D79*E79,2)</f>
        <v>0.48</v>
      </c>
    </row>
    <row r="80" spans="1:6" ht="25.5">
      <c r="A80" s="1429">
        <v>88251</v>
      </c>
      <c r="B80" s="1481" t="s">
        <v>1331</v>
      </c>
      <c r="C80" s="1553" t="s">
        <v>387</v>
      </c>
      <c r="D80" s="1554">
        <v>0.02</v>
      </c>
      <c r="E80" s="1278">
        <v>20.63</v>
      </c>
      <c r="F80" s="261">
        <f t="shared" si="1"/>
        <v>0.41</v>
      </c>
    </row>
    <row r="81" spans="1:6">
      <c r="A81" s="1429">
        <v>88310</v>
      </c>
      <c r="B81" s="1481" t="s">
        <v>127</v>
      </c>
      <c r="C81" s="1553" t="s">
        <v>387</v>
      </c>
      <c r="D81" s="1554">
        <v>3.0000000000000001E-3</v>
      </c>
      <c r="E81" s="1278">
        <v>25.64</v>
      </c>
      <c r="F81" s="261">
        <f t="shared" si="1"/>
        <v>7.0000000000000007E-2</v>
      </c>
    </row>
    <row r="82" spans="1:6">
      <c r="A82" s="1429">
        <v>100301</v>
      </c>
      <c r="B82" s="1481" t="s">
        <v>1332</v>
      </c>
      <c r="C82" s="1553" t="s">
        <v>387</v>
      </c>
      <c r="D82" s="1554">
        <v>3.0000000000000001E-3</v>
      </c>
      <c r="E82" s="1278">
        <v>21.82</v>
      </c>
      <c r="F82" s="261">
        <f t="shared" si="1"/>
        <v>0.06</v>
      </c>
    </row>
    <row r="83" spans="1:6" ht="25.5">
      <c r="A83" s="1429">
        <v>88240</v>
      </c>
      <c r="B83" s="1481" t="s">
        <v>1333</v>
      </c>
      <c r="C83" s="1553" t="s">
        <v>387</v>
      </c>
      <c r="D83" s="1554">
        <v>0.04</v>
      </c>
      <c r="E83" s="1278">
        <v>14.26</v>
      </c>
      <c r="F83" s="261">
        <f t="shared" si="1"/>
        <v>0.56999999999999995</v>
      </c>
    </row>
    <row r="84" spans="1:6">
      <c r="A84" s="1429">
        <v>88317</v>
      </c>
      <c r="B84" s="1481" t="s">
        <v>1334</v>
      </c>
      <c r="C84" s="1553" t="s">
        <v>387</v>
      </c>
      <c r="D84" s="1554">
        <v>0.04</v>
      </c>
      <c r="E84" s="1278">
        <v>25.26</v>
      </c>
      <c r="F84" s="261">
        <f t="shared" si="1"/>
        <v>1.01</v>
      </c>
    </row>
    <row r="85" spans="1:6">
      <c r="A85" s="1292"/>
      <c r="B85" s="1555"/>
      <c r="C85" s="1553"/>
      <c r="D85" s="1556"/>
      <c r="E85" s="1251" t="s">
        <v>58</v>
      </c>
      <c r="F85" s="262">
        <f>SUM(F79:F84)</f>
        <v>2.5999999999999996</v>
      </c>
    </row>
    <row r="86" spans="1:6" ht="25.5">
      <c r="A86" s="512" t="s">
        <v>1335</v>
      </c>
      <c r="B86" s="513" t="s">
        <v>1336</v>
      </c>
      <c r="C86" s="514" t="s">
        <v>49</v>
      </c>
      <c r="D86" s="515" t="s">
        <v>50</v>
      </c>
      <c r="E86" s="516" t="s">
        <v>51</v>
      </c>
      <c r="F86" s="517" t="s">
        <v>52</v>
      </c>
    </row>
    <row r="87" spans="1:6" ht="38.25">
      <c r="A87" s="1429">
        <v>98764</v>
      </c>
      <c r="B87" s="1481" t="s">
        <v>1337</v>
      </c>
      <c r="C87" s="1553" t="s">
        <v>425</v>
      </c>
      <c r="D87" s="1554">
        <v>0.04</v>
      </c>
      <c r="E87" s="1278">
        <v>5.3</v>
      </c>
      <c r="F87" s="261">
        <f t="shared" ref="F87:F92" si="2">TRUNC(D87*E87,2)</f>
        <v>0.21</v>
      </c>
    </row>
    <row r="88" spans="1:6" ht="38.25">
      <c r="A88" s="1429">
        <v>98765</v>
      </c>
      <c r="B88" s="1481" t="s">
        <v>1338</v>
      </c>
      <c r="C88" s="1553" t="s">
        <v>545</v>
      </c>
      <c r="D88" s="1554">
        <v>0.04</v>
      </c>
      <c r="E88" s="1278">
        <v>0.1</v>
      </c>
      <c r="F88" s="261">
        <f>ROUNDUP(D88*E88,2)</f>
        <v>0.01</v>
      </c>
    </row>
    <row r="89" spans="1:6" ht="25.5">
      <c r="A89" s="1429">
        <v>43083</v>
      </c>
      <c r="B89" s="1481" t="s">
        <v>1339</v>
      </c>
      <c r="C89" s="1553" t="s">
        <v>1340</v>
      </c>
      <c r="D89" s="1554">
        <v>0.52500000000000002</v>
      </c>
      <c r="E89" s="1278">
        <v>11.26</v>
      </c>
      <c r="F89" s="261">
        <f t="shared" si="2"/>
        <v>5.91</v>
      </c>
    </row>
    <row r="90" spans="1:6">
      <c r="A90" s="1429">
        <v>546</v>
      </c>
      <c r="B90" s="1481" t="s">
        <v>1341</v>
      </c>
      <c r="C90" s="1553" t="s">
        <v>1340</v>
      </c>
      <c r="D90" s="1554">
        <v>0.52500000000000002</v>
      </c>
      <c r="E90" s="1278">
        <v>11.45</v>
      </c>
      <c r="F90" s="261">
        <f t="shared" si="2"/>
        <v>6.01</v>
      </c>
    </row>
    <row r="91" spans="1:6">
      <c r="A91" s="1429">
        <v>7307</v>
      </c>
      <c r="B91" s="1481" t="s">
        <v>1342</v>
      </c>
      <c r="C91" s="1553" t="s">
        <v>1343</v>
      </c>
      <c r="D91" s="1554">
        <v>2.5000000000000001E-3</v>
      </c>
      <c r="E91" s="1278">
        <v>42.25</v>
      </c>
      <c r="F91" s="261">
        <f t="shared" si="2"/>
        <v>0.1</v>
      </c>
    </row>
    <row r="92" spans="1:6" ht="25.5">
      <c r="A92" s="1429">
        <v>10997</v>
      </c>
      <c r="B92" s="1481" t="s">
        <v>1344</v>
      </c>
      <c r="C92" s="1553" t="s">
        <v>1340</v>
      </c>
      <c r="D92" s="1554">
        <v>1.2999999999999999E-2</v>
      </c>
      <c r="E92" s="1278">
        <v>29.77</v>
      </c>
      <c r="F92" s="261">
        <f t="shared" si="2"/>
        <v>0.38</v>
      </c>
    </row>
    <row r="93" spans="1:6">
      <c r="A93" s="1429">
        <v>5318</v>
      </c>
      <c r="B93" s="1481" t="s">
        <v>2367</v>
      </c>
      <c r="C93" s="1553" t="s">
        <v>1343</v>
      </c>
      <c r="D93" s="1554">
        <v>2.9999999999999997E-4</v>
      </c>
      <c r="E93" s="1278">
        <v>18</v>
      </c>
      <c r="F93" s="261">
        <f>ROUNDUP(D93*E93,2)</f>
        <v>0.01</v>
      </c>
    </row>
    <row r="94" spans="1:6">
      <c r="A94" s="1292"/>
      <c r="B94" s="1555"/>
      <c r="C94" s="1553"/>
      <c r="D94" s="1556"/>
      <c r="E94" s="1251" t="s">
        <v>58</v>
      </c>
      <c r="F94" s="262">
        <f>SUM(F87:F93)</f>
        <v>12.63</v>
      </c>
    </row>
    <row r="95" spans="1:6" ht="15.75" thickBot="1">
      <c r="A95" s="518"/>
      <c r="B95" s="2071" t="s">
        <v>53</v>
      </c>
      <c r="C95" s="2071"/>
      <c r="D95" s="2071"/>
      <c r="E95" s="2071"/>
      <c r="F95" s="519">
        <f>F85+F94</f>
        <v>15.23</v>
      </c>
    </row>
    <row r="96" spans="1:6" ht="15.75" thickBot="1">
      <c r="A96" s="1557"/>
      <c r="B96" s="446"/>
      <c r="C96" s="446"/>
      <c r="D96" s="446"/>
      <c r="E96" s="446"/>
      <c r="F96" s="1558"/>
    </row>
    <row r="97" spans="1:6">
      <c r="A97" s="1551" t="s">
        <v>1349</v>
      </c>
      <c r="B97" s="520" t="s">
        <v>1345</v>
      </c>
      <c r="C97" s="187" t="s">
        <v>1145</v>
      </c>
      <c r="D97" s="521"/>
      <c r="E97" s="522"/>
      <c r="F97" s="523"/>
    </row>
    <row r="98" spans="1:6">
      <c r="A98" s="2072" t="s">
        <v>1356</v>
      </c>
      <c r="B98" s="2073"/>
      <c r="C98" s="2073"/>
      <c r="D98" s="2073"/>
      <c r="E98" s="2073"/>
      <c r="F98" s="2074"/>
    </row>
    <row r="99" spans="1:6" ht="25.5">
      <c r="A99" s="524"/>
      <c r="B99" s="513" t="s">
        <v>48</v>
      </c>
      <c r="C99" s="514" t="s">
        <v>49</v>
      </c>
      <c r="D99" s="515" t="s">
        <v>50</v>
      </c>
      <c r="E99" s="516" t="s">
        <v>51</v>
      </c>
      <c r="F99" s="517" t="s">
        <v>52</v>
      </c>
    </row>
    <row r="100" spans="1:6" ht="25.5">
      <c r="A100" s="1559">
        <v>88278</v>
      </c>
      <c r="B100" s="1481" t="s">
        <v>1346</v>
      </c>
      <c r="C100" s="1553" t="s">
        <v>387</v>
      </c>
      <c r="D100" s="1554">
        <v>0.02</v>
      </c>
      <c r="E100" s="1278">
        <v>17.66</v>
      </c>
      <c r="F100" s="261">
        <f>TRUNC(D100*E100,2)</f>
        <v>0.35</v>
      </c>
    </row>
    <row r="101" spans="1:6" ht="25.5">
      <c r="A101" s="1559">
        <v>88240</v>
      </c>
      <c r="B101" s="1481" t="s">
        <v>1333</v>
      </c>
      <c r="C101" s="1553" t="s">
        <v>387</v>
      </c>
      <c r="D101" s="1554">
        <v>0.06</v>
      </c>
      <c r="E101" s="1278">
        <v>14.26</v>
      </c>
      <c r="F101" s="261">
        <f>TRUNC(D101*E101,2)</f>
        <v>0.85</v>
      </c>
    </row>
    <row r="102" spans="1:6">
      <c r="A102" s="1292"/>
      <c r="B102" s="1555"/>
      <c r="C102" s="1553"/>
      <c r="D102" s="1556"/>
      <c r="E102" s="1251" t="s">
        <v>58</v>
      </c>
      <c r="F102" s="262">
        <f>SUM(F100:F101)</f>
        <v>1.2</v>
      </c>
    </row>
    <row r="103" spans="1:6" ht="25.5">
      <c r="A103" s="512" t="s">
        <v>1335</v>
      </c>
      <c r="B103" s="513" t="s">
        <v>1336</v>
      </c>
      <c r="C103" s="514" t="s">
        <v>49</v>
      </c>
      <c r="D103" s="515" t="s">
        <v>50</v>
      </c>
      <c r="E103" s="516" t="s">
        <v>51</v>
      </c>
      <c r="F103" s="517" t="s">
        <v>52</v>
      </c>
    </row>
    <row r="104" spans="1:6" ht="38.25">
      <c r="A104" s="1429">
        <v>89272</v>
      </c>
      <c r="B104" s="1481" t="s">
        <v>1347</v>
      </c>
      <c r="C104" s="1553" t="s">
        <v>425</v>
      </c>
      <c r="D104" s="1554">
        <v>0.01</v>
      </c>
      <c r="E104" s="1278">
        <v>200.88</v>
      </c>
      <c r="F104" s="261">
        <f>TRUNC(D104*E104,2)</f>
        <v>2</v>
      </c>
    </row>
    <row r="105" spans="1:6">
      <c r="A105" s="1292"/>
      <c r="B105" s="1555"/>
      <c r="C105" s="1553"/>
      <c r="D105" s="1556"/>
      <c r="E105" s="1251" t="s">
        <v>58</v>
      </c>
      <c r="F105" s="262">
        <f>SUM(F104:F104)</f>
        <v>2</v>
      </c>
    </row>
    <row r="106" spans="1:6" ht="15.75" thickBot="1">
      <c r="A106" s="518"/>
      <c r="B106" s="2071" t="s">
        <v>53</v>
      </c>
      <c r="C106" s="2071"/>
      <c r="D106" s="2071"/>
      <c r="E106" s="2071"/>
      <c r="F106" s="519">
        <f>F102+F105</f>
        <v>3.2</v>
      </c>
    </row>
    <row r="107" spans="1:6" ht="15.75" thickBot="1">
      <c r="A107" s="55"/>
      <c r="B107" s="16"/>
      <c r="C107" s="16"/>
      <c r="D107" s="16"/>
      <c r="E107" s="16"/>
      <c r="F107" s="56"/>
    </row>
    <row r="108" spans="1:6" ht="25.5">
      <c r="A108" s="1551" t="s">
        <v>1355</v>
      </c>
      <c r="B108" s="520" t="s">
        <v>1351</v>
      </c>
      <c r="C108" s="187" t="s">
        <v>1352</v>
      </c>
      <c r="D108" s="521"/>
      <c r="E108" s="522"/>
      <c r="F108" s="523"/>
    </row>
    <row r="109" spans="1:6">
      <c r="A109" s="2072" t="s">
        <v>1357</v>
      </c>
      <c r="B109" s="2073"/>
      <c r="C109" s="2073"/>
      <c r="D109" s="2073"/>
      <c r="E109" s="2073"/>
      <c r="F109" s="2074"/>
    </row>
    <row r="110" spans="1:6" ht="25.5">
      <c r="A110" s="524"/>
      <c r="B110" s="513" t="s">
        <v>48</v>
      </c>
      <c r="C110" s="514" t="s">
        <v>49</v>
      </c>
      <c r="D110" s="515" t="s">
        <v>50</v>
      </c>
      <c r="E110" s="516" t="s">
        <v>51</v>
      </c>
      <c r="F110" s="517" t="s">
        <v>52</v>
      </c>
    </row>
    <row r="111" spans="1:6">
      <c r="A111" s="1559">
        <v>88309</v>
      </c>
      <c r="B111" s="1481" t="s">
        <v>103</v>
      </c>
      <c r="C111" s="1553" t="s">
        <v>387</v>
      </c>
      <c r="D111" s="1554">
        <v>0.15</v>
      </c>
      <c r="E111" s="1278">
        <v>24.59</v>
      </c>
      <c r="F111" s="261">
        <f>TRUNC(D111*E111,2)</f>
        <v>3.68</v>
      </c>
    </row>
    <row r="112" spans="1:6">
      <c r="A112" s="1429">
        <v>88316</v>
      </c>
      <c r="B112" s="1481" t="s">
        <v>66</v>
      </c>
      <c r="C112" s="1553" t="s">
        <v>387</v>
      </c>
      <c r="D112" s="1560">
        <v>0.15</v>
      </c>
      <c r="E112" s="1298">
        <v>19.45</v>
      </c>
      <c r="F112" s="261">
        <f>TRUNC(D112*E112,2)</f>
        <v>2.91</v>
      </c>
    </row>
    <row r="113" spans="1:6">
      <c r="A113" s="1292"/>
      <c r="B113" s="1555" t="s">
        <v>283</v>
      </c>
      <c r="C113" s="1553"/>
      <c r="D113" s="1556"/>
      <c r="E113" s="1561"/>
      <c r="F113" s="262">
        <f>SUM(F111:F112)</f>
        <v>6.59</v>
      </c>
    </row>
    <row r="114" spans="1:6" ht="25.5">
      <c r="A114" s="512" t="s">
        <v>1335</v>
      </c>
      <c r="B114" s="513" t="s">
        <v>1336</v>
      </c>
      <c r="C114" s="514" t="s">
        <v>49</v>
      </c>
      <c r="D114" s="515" t="s">
        <v>50</v>
      </c>
      <c r="E114" s="516" t="s">
        <v>51</v>
      </c>
      <c r="F114" s="517" t="s">
        <v>52</v>
      </c>
    </row>
    <row r="115" spans="1:6" ht="25.5">
      <c r="A115" s="1429" t="s">
        <v>65</v>
      </c>
      <c r="B115" s="1481" t="s">
        <v>1353</v>
      </c>
      <c r="C115" s="1553" t="s">
        <v>1352</v>
      </c>
      <c r="D115" s="1554">
        <v>1</v>
      </c>
      <c r="E115" s="1278">
        <f>C122</f>
        <v>1.55</v>
      </c>
      <c r="F115" s="261">
        <f>TRUNC(D115*E115,2)</f>
        <v>1.55</v>
      </c>
    </row>
    <row r="116" spans="1:6">
      <c r="A116" s="1292"/>
      <c r="B116" s="1555" t="s">
        <v>283</v>
      </c>
      <c r="C116" s="1553"/>
      <c r="D116" s="1556"/>
      <c r="E116" s="1561"/>
      <c r="F116" s="262">
        <f>SUM(F115:F115)</f>
        <v>1.55</v>
      </c>
    </row>
    <row r="117" spans="1:6" ht="15.75" thickBot="1">
      <c r="A117" s="518"/>
      <c r="B117" s="2071" t="s">
        <v>53</v>
      </c>
      <c r="C117" s="2071"/>
      <c r="D117" s="2071"/>
      <c r="E117" s="2071"/>
      <c r="F117" s="519">
        <f>F113+F116</f>
        <v>8.14</v>
      </c>
    </row>
    <row r="118" spans="1:6" ht="15.75" thickBot="1">
      <c r="A118" s="525"/>
      <c r="B118" s="1962" t="s">
        <v>96</v>
      </c>
      <c r="C118" s="1963"/>
      <c r="D118" s="1963"/>
      <c r="E118" s="1964"/>
      <c r="F118" s="526"/>
    </row>
    <row r="119" spans="1:6" ht="25.5">
      <c r="A119" s="527" t="s">
        <v>275</v>
      </c>
      <c r="B119" s="528" t="str">
        <f>B115</f>
        <v xml:space="preserve">PARAFUSO DE ACO TIPO CHUMBADOR PARABOLT, WALSYWA CBPL 14300 1/4" </v>
      </c>
      <c r="C119" s="529" t="str">
        <f>C115</f>
        <v xml:space="preserve">UN </v>
      </c>
      <c r="D119" s="2075" t="s">
        <v>60</v>
      </c>
      <c r="E119" s="2076"/>
      <c r="F119" s="530" t="s">
        <v>1354</v>
      </c>
    </row>
    <row r="120" spans="1:6" ht="25.5">
      <c r="A120" s="1246">
        <v>44890</v>
      </c>
      <c r="B120" s="1562" t="s">
        <v>2368</v>
      </c>
      <c r="C120" s="1556">
        <v>1.55</v>
      </c>
      <c r="D120" s="2077" t="s">
        <v>2310</v>
      </c>
      <c r="E120" s="2078"/>
      <c r="F120" s="531" t="s">
        <v>2369</v>
      </c>
    </row>
    <row r="121" spans="1:6">
      <c r="A121" s="1246"/>
      <c r="B121" s="15" t="s">
        <v>2311</v>
      </c>
      <c r="C121" s="1556"/>
      <c r="D121" s="2064" t="s">
        <v>2064</v>
      </c>
      <c r="E121" s="2065"/>
      <c r="F121" s="531"/>
    </row>
    <row r="122" spans="1:6" ht="15.75" thickBot="1">
      <c r="A122" s="532"/>
      <c r="B122" s="1563" t="s">
        <v>61</v>
      </c>
      <c r="C122" s="1564">
        <f>MEDIAN(C120:C121)</f>
        <v>1.55</v>
      </c>
      <c r="D122" s="2066"/>
      <c r="E122" s="2067"/>
      <c r="F122" s="533"/>
    </row>
    <row r="123" spans="1:6" ht="15.75" thickBot="1">
      <c r="A123" s="2068" t="s">
        <v>2370</v>
      </c>
      <c r="B123" s="2069"/>
      <c r="C123" s="2069"/>
      <c r="D123" s="2069"/>
      <c r="E123" s="2069"/>
      <c r="F123" s="2070"/>
    </row>
  </sheetData>
  <mergeCells count="27">
    <mergeCell ref="D27:E27"/>
    <mergeCell ref="A11:F11"/>
    <mergeCell ref="D12:E12"/>
    <mergeCell ref="A13:F13"/>
    <mergeCell ref="B25:E25"/>
    <mergeCell ref="B26:E26"/>
    <mergeCell ref="A98:F98"/>
    <mergeCell ref="A28:F28"/>
    <mergeCell ref="B36:E36"/>
    <mergeCell ref="D38:E38"/>
    <mergeCell ref="A39:F39"/>
    <mergeCell ref="B55:E55"/>
    <mergeCell ref="D57:E57"/>
    <mergeCell ref="A58:F58"/>
    <mergeCell ref="B73:E73"/>
    <mergeCell ref="A74:F74"/>
    <mergeCell ref="A77:F77"/>
    <mergeCell ref="B95:E95"/>
    <mergeCell ref="D121:E121"/>
    <mergeCell ref="D122:E122"/>
    <mergeCell ref="A123:F123"/>
    <mergeCell ref="B106:E106"/>
    <mergeCell ref="A109:F109"/>
    <mergeCell ref="B117:E117"/>
    <mergeCell ref="B118:E118"/>
    <mergeCell ref="D119:E119"/>
    <mergeCell ref="D120:E120"/>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7"/>
  <sheetViews>
    <sheetView tabSelected="1" view="pageBreakPreview" zoomScaleNormal="90" zoomScaleSheetLayoutView="100" workbookViewId="0">
      <selection activeCell="H16" sqref="H16"/>
    </sheetView>
  </sheetViews>
  <sheetFormatPr defaultRowHeight="15"/>
  <cols>
    <col min="1" max="1" width="18.5703125" customWidth="1"/>
    <col min="2" max="2" width="46.5703125" customWidth="1"/>
    <col min="3" max="3" width="14.28515625" customWidth="1"/>
    <col min="4" max="4" width="8.28515625" customWidth="1"/>
    <col min="5" max="5" width="13.140625" customWidth="1"/>
    <col min="6" max="6" width="8.85546875" customWidth="1"/>
    <col min="7" max="7" width="12" customWidth="1"/>
    <col min="8" max="8" width="9" customWidth="1"/>
    <col min="9" max="9" width="12.42578125" customWidth="1"/>
    <col min="10" max="10" width="9.42578125" customWidth="1"/>
    <col min="11" max="11" width="12.42578125" customWidth="1"/>
    <col min="12" max="12" width="8.7109375" customWidth="1"/>
    <col min="13" max="13" width="11.140625" customWidth="1"/>
  </cols>
  <sheetData>
    <row r="1" spans="1:14" ht="18.75" customHeight="1">
      <c r="A1" s="105"/>
      <c r="B1" s="48"/>
      <c r="C1" s="13"/>
      <c r="D1" s="13"/>
      <c r="E1" s="13"/>
      <c r="F1" s="13"/>
      <c r="G1" s="13"/>
      <c r="H1" s="13"/>
      <c r="I1" s="13"/>
      <c r="J1" s="13"/>
      <c r="K1" s="13"/>
      <c r="L1" s="13"/>
      <c r="M1" s="1740"/>
      <c r="N1" s="16"/>
    </row>
    <row r="2" spans="1:14" ht="18" customHeight="1">
      <c r="A2" s="1841"/>
      <c r="B2" s="1842"/>
      <c r="C2" s="1843"/>
      <c r="D2" s="1843"/>
      <c r="E2" s="1843"/>
      <c r="F2" s="1843"/>
      <c r="G2" s="1843"/>
      <c r="H2" s="1843"/>
      <c r="I2" s="1843"/>
      <c r="J2" s="1843"/>
      <c r="K2" s="1843"/>
      <c r="L2" s="1843"/>
      <c r="M2" s="1844"/>
      <c r="N2" s="16"/>
    </row>
    <row r="3" spans="1:14" ht="18" customHeight="1">
      <c r="A3" s="1845"/>
      <c r="B3" s="1832"/>
      <c r="C3" s="1833"/>
      <c r="D3" s="1833"/>
      <c r="E3" s="1833"/>
      <c r="F3" s="1833"/>
      <c r="G3" s="1833"/>
      <c r="H3" s="1833"/>
      <c r="I3" s="1833"/>
      <c r="J3" s="1833"/>
      <c r="K3" s="1833"/>
      <c r="L3" s="1833"/>
      <c r="M3" s="1846"/>
      <c r="N3" s="16"/>
    </row>
    <row r="4" spans="1:14" ht="18" customHeight="1">
      <c r="A4" s="1845"/>
      <c r="B4" s="1834"/>
      <c r="C4" s="1888"/>
      <c r="D4" s="1888"/>
      <c r="E4" s="1888"/>
      <c r="F4" s="1888"/>
      <c r="G4" s="1888"/>
      <c r="H4" s="1888"/>
      <c r="I4" s="1833"/>
      <c r="J4" s="1833"/>
      <c r="K4" s="1833"/>
      <c r="L4" s="1833"/>
      <c r="M4" s="1846"/>
      <c r="N4" s="16"/>
    </row>
    <row r="5" spans="1:14" ht="20.25" customHeight="1">
      <c r="A5" s="1845"/>
      <c r="B5" s="1835"/>
      <c r="C5" s="1888"/>
      <c r="D5" s="1888"/>
      <c r="E5" s="1888"/>
      <c r="F5" s="1888"/>
      <c r="G5" s="1888"/>
      <c r="H5" s="1888"/>
      <c r="I5" s="1888"/>
      <c r="J5" s="1836"/>
      <c r="K5" s="1836"/>
      <c r="L5" s="1836"/>
      <c r="M5" s="1847"/>
      <c r="N5" s="16"/>
    </row>
    <row r="6" spans="1:14" ht="18" customHeight="1">
      <c r="A6" s="1848"/>
      <c r="B6" s="1849"/>
      <c r="C6" s="1850"/>
      <c r="D6" s="2106"/>
      <c r="E6" s="2106"/>
      <c r="F6" s="2106"/>
      <c r="G6" s="2106"/>
      <c r="H6" s="1850"/>
      <c r="I6" s="1850"/>
      <c r="J6" s="1850"/>
      <c r="K6" s="1850"/>
      <c r="L6" s="1850"/>
      <c r="M6" s="1851"/>
      <c r="N6" s="16"/>
    </row>
    <row r="7" spans="1:14" ht="15.75">
      <c r="A7" s="1837" t="s">
        <v>0</v>
      </c>
      <c r="B7" s="1838" t="str">
        <f>'RESUMO SEM DESONERAÇÃO'!B7:C7</f>
        <v>SEMA-PRO-2022/00145</v>
      </c>
      <c r="C7" s="1839"/>
      <c r="D7" s="1839"/>
      <c r="E7" s="1839"/>
      <c r="F7" s="1839"/>
      <c r="G7" s="1839"/>
      <c r="H7" s="1839"/>
      <c r="I7" s="1839"/>
      <c r="J7" s="1839"/>
      <c r="K7" s="1839"/>
      <c r="L7" s="1839"/>
      <c r="M7" s="1840"/>
    </row>
    <row r="8" spans="1:14" ht="15.75" customHeight="1">
      <c r="A8" s="51" t="str">
        <f>'RESUMO SEM DESONERAÇÃO'!A8</f>
        <v>OBRA:</v>
      </c>
      <c r="B8" s="2104" t="str">
        <f>'RESUMO SEM DESONERAÇÃO'!B8</f>
        <v>CONSTRUÇÃO DE DIRETORIA DE UNIDADE DESCONCENTRADA DA SEMA - DUDS</v>
      </c>
      <c r="C8" s="2104"/>
      <c r="D8" s="2104"/>
      <c r="E8" s="2104"/>
      <c r="F8" s="2104"/>
      <c r="G8" s="1610"/>
      <c r="H8" s="1610"/>
      <c r="I8" s="1610"/>
      <c r="J8" s="1610"/>
      <c r="K8" s="1610"/>
      <c r="L8" s="1610"/>
      <c r="M8" s="14"/>
    </row>
    <row r="9" spans="1:14" ht="15.75" customHeight="1">
      <c r="A9" s="49" t="str">
        <f>'RESUMO SEM DESONERAÇÃO'!A9</f>
        <v>ENDEREÇO:</v>
      </c>
      <c r="B9" s="2104" t="str">
        <f>'RESUMO SEM DESONERAÇÃO'!B9</f>
        <v>Rua Erichin, esquina com Rua Circular - Bairro Residencial Arco Íris</v>
      </c>
      <c r="C9" s="2104"/>
      <c r="D9" s="2104"/>
      <c r="E9" s="2104"/>
      <c r="F9" s="2104"/>
      <c r="G9" s="1610"/>
      <c r="H9" s="1610"/>
      <c r="I9" s="1610"/>
      <c r="J9" s="1610"/>
      <c r="K9" s="1610"/>
      <c r="L9" s="537" t="str">
        <f>'RESUMO SEM DESONERAÇÃO'!D10</f>
        <v>BDI:</v>
      </c>
      <c r="M9" s="14">
        <f>'RESUMO SEM DESONERAÇÃO'!E10</f>
        <v>0.2223</v>
      </c>
    </row>
    <row r="10" spans="1:14" ht="15.75">
      <c r="A10" s="49" t="str">
        <f>'RESUMO SEM DESONERAÇÃO'!A10</f>
        <v>MUNICÍPIO:</v>
      </c>
      <c r="B10" s="2104" t="str">
        <f>'RESUMO SEM DESONERAÇÃO'!B10</f>
        <v>CONFRESA - MT</v>
      </c>
      <c r="C10" s="2104"/>
      <c r="D10" s="2104"/>
      <c r="E10" s="2104"/>
      <c r="F10" s="2104"/>
      <c r="G10" s="1610"/>
      <c r="H10" s="1610"/>
      <c r="I10" s="1610"/>
      <c r="J10" s="1610"/>
      <c r="K10" s="1610"/>
      <c r="L10" s="537" t="str">
        <f>'RESUMO SEM DESONERAÇÃO'!D9</f>
        <v>Prazo:</v>
      </c>
      <c r="M10" s="1741" t="str">
        <f>'RESUMO SEM DESONERAÇÃO'!E9</f>
        <v>120 dias</v>
      </c>
    </row>
    <row r="11" spans="1:14" ht="16.5" thickBot="1">
      <c r="A11" s="50" t="str">
        <f>'RESUMO SEM DESONERAÇÃO'!A11</f>
        <v>ASSUNTO:</v>
      </c>
      <c r="B11" s="2105" t="str">
        <f>'RESUMO SEM DESONERAÇÃO'!B11</f>
        <v xml:space="preserve">CONSTRUÇÃO </v>
      </c>
      <c r="C11" s="2105"/>
      <c r="D11" s="2105"/>
      <c r="E11" s="2105"/>
      <c r="F11" s="2105"/>
      <c r="G11" s="1611"/>
      <c r="H11" s="1611"/>
      <c r="I11" s="1611"/>
      <c r="J11" s="1611"/>
      <c r="K11" s="1611"/>
      <c r="L11" s="1611"/>
      <c r="M11" s="47"/>
    </row>
    <row r="12" spans="1:14" ht="5.25" customHeight="1" thickBot="1">
      <c r="A12" s="172"/>
      <c r="B12" s="3"/>
      <c r="C12" s="3"/>
      <c r="D12" s="3"/>
      <c r="E12" s="3"/>
      <c r="F12" s="8"/>
      <c r="G12" s="8"/>
      <c r="H12" s="8"/>
      <c r="I12" s="8"/>
      <c r="J12" s="8"/>
      <c r="K12" s="8"/>
      <c r="L12" s="8"/>
      <c r="M12" s="173"/>
    </row>
    <row r="13" spans="1:14" ht="16.5" thickBot="1">
      <c r="A13" s="2092" t="s">
        <v>33</v>
      </c>
      <c r="B13" s="2093"/>
      <c r="C13" s="2093"/>
      <c r="D13" s="2093"/>
      <c r="E13" s="2093"/>
      <c r="F13" s="2093"/>
      <c r="G13" s="2093"/>
      <c r="H13" s="2093"/>
      <c r="I13" s="2093"/>
      <c r="J13" s="2093"/>
      <c r="K13" s="2093"/>
      <c r="L13" s="2093"/>
      <c r="M13" s="2094"/>
    </row>
    <row r="14" spans="1:14" ht="15.75">
      <c r="A14" s="2095" t="s">
        <v>28</v>
      </c>
      <c r="B14" s="2098" t="s">
        <v>34</v>
      </c>
      <c r="C14" s="2098" t="s">
        <v>64</v>
      </c>
      <c r="D14" s="2098"/>
      <c r="E14" s="2101" t="s">
        <v>63</v>
      </c>
      <c r="F14" s="2102"/>
      <c r="G14" s="2102"/>
      <c r="H14" s="2102"/>
      <c r="I14" s="2102"/>
      <c r="J14" s="2102"/>
      <c r="K14" s="2102"/>
      <c r="L14" s="2102"/>
      <c r="M14" s="2103"/>
    </row>
    <row r="15" spans="1:14" ht="15.75">
      <c r="A15" s="2096"/>
      <c r="B15" s="2099"/>
      <c r="C15" s="2099"/>
      <c r="D15" s="2099"/>
      <c r="E15" s="2091" t="s">
        <v>35</v>
      </c>
      <c r="F15" s="2091"/>
      <c r="G15" s="2091" t="s">
        <v>36</v>
      </c>
      <c r="H15" s="2091"/>
      <c r="I15" s="2091" t="s">
        <v>129</v>
      </c>
      <c r="J15" s="2091"/>
      <c r="K15" s="2091" t="s">
        <v>1674</v>
      </c>
      <c r="L15" s="2091"/>
      <c r="M15" s="1341" t="s">
        <v>37</v>
      </c>
    </row>
    <row r="16" spans="1:14" ht="15.75" thickBot="1">
      <c r="A16" s="2097"/>
      <c r="B16" s="2100"/>
      <c r="C16" s="1342" t="s">
        <v>38</v>
      </c>
      <c r="D16" s="1343" t="s">
        <v>31</v>
      </c>
      <c r="E16" s="1344" t="s">
        <v>38</v>
      </c>
      <c r="F16" s="1345" t="s">
        <v>31</v>
      </c>
      <c r="G16" s="1344" t="s">
        <v>38</v>
      </c>
      <c r="H16" s="1345" t="s">
        <v>31</v>
      </c>
      <c r="I16" s="1344" t="s">
        <v>38</v>
      </c>
      <c r="J16" s="1345" t="s">
        <v>31</v>
      </c>
      <c r="K16" s="1344" t="s">
        <v>38</v>
      </c>
      <c r="L16" s="1345" t="s">
        <v>31</v>
      </c>
      <c r="M16" s="9" t="s">
        <v>31</v>
      </c>
    </row>
    <row r="17" spans="1:13">
      <c r="A17" s="1322">
        <f>'RESUMO SEM DESONERAÇÃO'!A15</f>
        <v>1</v>
      </c>
      <c r="B17" s="1323" t="str">
        <f>'RESUMO SEM DESONERAÇÃO'!B15:C15</f>
        <v>ADMINISTRAÇÃO LOCAL</v>
      </c>
      <c r="C17" s="1324">
        <f>'RESUMO SEM DESONERAÇÃO'!D15</f>
        <v>98078.52</v>
      </c>
      <c r="D17" s="1325">
        <f t="shared" ref="D17:D39" si="0">100*C17/C$40</f>
        <v>4.5671927901005489</v>
      </c>
      <c r="E17" s="1326">
        <f>F17*C17</f>
        <v>15692.563200000001</v>
      </c>
      <c r="F17" s="1327">
        <v>0.16</v>
      </c>
      <c r="G17" s="1326">
        <f>H17*C17</f>
        <v>27952.378199999999</v>
      </c>
      <c r="H17" s="1327">
        <v>0.28499999999999998</v>
      </c>
      <c r="I17" s="1326">
        <f>J17*C17</f>
        <v>35798.659800000001</v>
      </c>
      <c r="J17" s="1327">
        <v>0.36499999999999999</v>
      </c>
      <c r="K17" s="1326">
        <f>L17*C17</f>
        <v>18634.918799999999</v>
      </c>
      <c r="L17" s="1327">
        <v>0.19</v>
      </c>
      <c r="M17" s="1328">
        <f>+F17+H17+J17+L17</f>
        <v>1</v>
      </c>
    </row>
    <row r="18" spans="1:13">
      <c r="A18" s="1322">
        <f>'RESUMO SEM DESONERAÇÃO'!A16</f>
        <v>2</v>
      </c>
      <c r="B18" s="1323" t="str">
        <f>'RESUMO SEM DESONERAÇÃO'!B16:C16</f>
        <v>SERVIÇO PRELIMINARES</v>
      </c>
      <c r="C18" s="1324">
        <f>'RESUMO SEM DESONERAÇÃO'!D16</f>
        <v>171005.48</v>
      </c>
      <c r="D18" s="1325">
        <f t="shared" si="0"/>
        <v>7.963160489408728</v>
      </c>
      <c r="E18" s="1326">
        <f>F18*C18</f>
        <v>171005.48</v>
      </c>
      <c r="F18" s="1327">
        <v>1</v>
      </c>
      <c r="G18" s="1326">
        <f>H18*C18</f>
        <v>0</v>
      </c>
      <c r="H18" s="1327"/>
      <c r="I18" s="1326">
        <f t="shared" ref="I18:I39" si="1">J18*C18</f>
        <v>0</v>
      </c>
      <c r="J18" s="1327"/>
      <c r="K18" s="1326">
        <f t="shared" ref="K18:K39" si="2">L18*C18</f>
        <v>0</v>
      </c>
      <c r="L18" s="1327"/>
      <c r="M18" s="1328">
        <f t="shared" ref="M18:M39" si="3">+F18+H18+J18+L18</f>
        <v>1</v>
      </c>
    </row>
    <row r="19" spans="1:13">
      <c r="A19" s="1322">
        <f>'RESUMO SEM DESONERAÇÃO'!A17</f>
        <v>3</v>
      </c>
      <c r="B19" s="1346" t="str">
        <f>'RESUMO SEM DESONERAÇÃO'!B17:C17</f>
        <v>MOVIMENTO DE TERRA</v>
      </c>
      <c r="C19" s="1347">
        <f>'RESUMO SEM DESONERAÇÃO'!D17</f>
        <v>44178.84</v>
      </c>
      <c r="D19" s="1325">
        <f t="shared" si="0"/>
        <v>2.0572626862946723</v>
      </c>
      <c r="E19" s="1326">
        <f>F19*C19</f>
        <v>35343.072</v>
      </c>
      <c r="F19" s="1348">
        <v>0.8</v>
      </c>
      <c r="G19" s="1326">
        <f>H19*C19</f>
        <v>8835.768</v>
      </c>
      <c r="H19" s="1329">
        <v>0.2</v>
      </c>
      <c r="I19" s="1326">
        <f t="shared" si="1"/>
        <v>0</v>
      </c>
      <c r="J19" s="1329"/>
      <c r="K19" s="1326">
        <f t="shared" si="2"/>
        <v>0</v>
      </c>
      <c r="L19" s="1348"/>
      <c r="M19" s="1328">
        <f t="shared" si="3"/>
        <v>1</v>
      </c>
    </row>
    <row r="20" spans="1:13">
      <c r="A20" s="1322">
        <f>'RESUMO SEM DESONERAÇÃO'!A18</f>
        <v>4</v>
      </c>
      <c r="B20" s="1330" t="str">
        <f>'RESUMO SEM DESONERAÇÃO'!B18:C18</f>
        <v>ESTRUTURA EM CONCRETO ARMADO</v>
      </c>
      <c r="C20" s="1347">
        <f>'RESUMO SEM DESONERAÇÃO'!D18</f>
        <v>251783.18</v>
      </c>
      <c r="D20" s="1325">
        <f t="shared" si="0"/>
        <v>11.724711224889903</v>
      </c>
      <c r="E20" s="1326">
        <f t="shared" ref="E20:E39" si="4">F20*C20</f>
        <v>50356.635999999999</v>
      </c>
      <c r="F20" s="1329">
        <v>0.2</v>
      </c>
      <c r="G20" s="1326">
        <f>H20*C20</f>
        <v>201426.54399999999</v>
      </c>
      <c r="H20" s="1329">
        <v>0.8</v>
      </c>
      <c r="I20" s="1326">
        <f t="shared" si="1"/>
        <v>0</v>
      </c>
      <c r="J20" s="1329">
        <v>0</v>
      </c>
      <c r="K20" s="1326">
        <f t="shared" si="2"/>
        <v>0</v>
      </c>
      <c r="L20" s="1329"/>
      <c r="M20" s="1328">
        <f t="shared" si="3"/>
        <v>1</v>
      </c>
    </row>
    <row r="21" spans="1:13">
      <c r="A21" s="1322">
        <f>'RESUMO SEM DESONERAÇÃO'!A19</f>
        <v>5</v>
      </c>
      <c r="B21" s="1330" t="str">
        <f>'RESUMO SEM DESONERAÇÃO'!B19:C19</f>
        <v>FECHAMENTOS EM ALVENARIA</v>
      </c>
      <c r="C21" s="1347">
        <f>'RESUMO SEM DESONERAÇÃO'!D19</f>
        <v>95018.42</v>
      </c>
      <c r="D21" s="1325">
        <f t="shared" si="0"/>
        <v>4.4246940385187896</v>
      </c>
      <c r="E21" s="1326">
        <f t="shared" si="4"/>
        <v>9501.8420000000006</v>
      </c>
      <c r="F21" s="1329">
        <v>0.1</v>
      </c>
      <c r="G21" s="1326">
        <f t="shared" ref="G21:G39" si="5">H21*C21</f>
        <v>38007.368000000002</v>
      </c>
      <c r="H21" s="1329">
        <v>0.4</v>
      </c>
      <c r="I21" s="1326">
        <f t="shared" si="1"/>
        <v>47509.21</v>
      </c>
      <c r="J21" s="1329">
        <v>0.5</v>
      </c>
      <c r="K21" s="1326">
        <f t="shared" si="2"/>
        <v>0</v>
      </c>
      <c r="L21" s="1329"/>
      <c r="M21" s="1328">
        <f t="shared" si="3"/>
        <v>1</v>
      </c>
    </row>
    <row r="22" spans="1:13">
      <c r="A22" s="1322">
        <f>'RESUMO SEM DESONERAÇÃO'!A20</f>
        <v>6</v>
      </c>
      <c r="B22" s="1330" t="str">
        <f>'RESUMO SEM DESONERAÇÃO'!B20:C20</f>
        <v>REVESTIMENTO DE PISO</v>
      </c>
      <c r="C22" s="1347">
        <f>'RESUMO SEM DESONERAÇÃO'!D20</f>
        <v>88997.64</v>
      </c>
      <c r="D22" s="1325">
        <f t="shared" si="0"/>
        <v>4.1443261964389784</v>
      </c>
      <c r="E22" s="1326">
        <f t="shared" si="4"/>
        <v>0</v>
      </c>
      <c r="F22" s="1329"/>
      <c r="G22" s="1326">
        <f t="shared" si="5"/>
        <v>0</v>
      </c>
      <c r="H22" s="1329"/>
      <c r="I22" s="1326">
        <f t="shared" si="1"/>
        <v>53398.583999999995</v>
      </c>
      <c r="J22" s="1329">
        <v>0.6</v>
      </c>
      <c r="K22" s="1326">
        <f t="shared" si="2"/>
        <v>35599.056000000004</v>
      </c>
      <c r="L22" s="1329">
        <v>0.4</v>
      </c>
      <c r="M22" s="1328">
        <f t="shared" si="3"/>
        <v>1</v>
      </c>
    </row>
    <row r="23" spans="1:13">
      <c r="A23" s="1322">
        <f>'RESUMO SEM DESONERAÇÃO'!A21</f>
        <v>7</v>
      </c>
      <c r="B23" s="1330" t="str">
        <f>'RESUMO SEM DESONERAÇÃO'!B21:C21</f>
        <v>REVESTIMENTO DE PAREDE</v>
      </c>
      <c r="C23" s="1347">
        <f>'RESUMO SEM DESONERAÇÃO'!D21</f>
        <v>101397.57</v>
      </c>
      <c r="D23" s="1325">
        <f t="shared" si="0"/>
        <v>4.7217499880474927</v>
      </c>
      <c r="E23" s="1326">
        <f t="shared" si="4"/>
        <v>0</v>
      </c>
      <c r="F23" s="1329"/>
      <c r="G23" s="1326">
        <f t="shared" si="5"/>
        <v>30419.271000000001</v>
      </c>
      <c r="H23" s="1329">
        <v>0.3</v>
      </c>
      <c r="I23" s="1326">
        <f t="shared" si="1"/>
        <v>50698.785000000003</v>
      </c>
      <c r="J23" s="1329">
        <v>0.5</v>
      </c>
      <c r="K23" s="1326">
        <f t="shared" si="2"/>
        <v>20279.514000000003</v>
      </c>
      <c r="L23" s="1329">
        <v>0.2</v>
      </c>
      <c r="M23" s="1328">
        <f t="shared" si="3"/>
        <v>1</v>
      </c>
    </row>
    <row r="24" spans="1:13">
      <c r="A24" s="1322">
        <f>'RESUMO SEM DESONERAÇÃO'!A22</f>
        <v>8</v>
      </c>
      <c r="B24" s="1330" t="str">
        <f>'RESUMO SEM DESONERAÇÃO'!B22:C22</f>
        <v>ESQUADRIAS</v>
      </c>
      <c r="C24" s="1347">
        <f>'RESUMO SEM DESONERAÇÃO'!D22</f>
        <v>76098.899999999994</v>
      </c>
      <c r="D24" s="1325">
        <f t="shared" si="0"/>
        <v>3.5436744703588783</v>
      </c>
      <c r="E24" s="1326">
        <f t="shared" si="4"/>
        <v>0</v>
      </c>
      <c r="F24" s="1329"/>
      <c r="G24" s="1326">
        <f t="shared" si="5"/>
        <v>15219.779999999999</v>
      </c>
      <c r="H24" s="1329">
        <v>0.2</v>
      </c>
      <c r="I24" s="1326">
        <f t="shared" si="1"/>
        <v>45659.34</v>
      </c>
      <c r="J24" s="1329">
        <v>0.6</v>
      </c>
      <c r="K24" s="1326">
        <f t="shared" si="2"/>
        <v>15219.779999999999</v>
      </c>
      <c r="L24" s="1329">
        <v>0.2</v>
      </c>
      <c r="M24" s="1328">
        <f t="shared" si="3"/>
        <v>1</v>
      </c>
    </row>
    <row r="25" spans="1:13" ht="18" customHeight="1">
      <c r="A25" s="1322">
        <f>'RESUMO SEM DESONERAÇÃO'!A23</f>
        <v>9</v>
      </c>
      <c r="B25" s="1330" t="str">
        <f>'RESUMO SEM DESONERAÇÃO'!B23:C23</f>
        <v>PINTURA</v>
      </c>
      <c r="C25" s="1347">
        <f>'RESUMO SEM DESONERAÇÃO'!D23</f>
        <v>53678.07</v>
      </c>
      <c r="D25" s="1325">
        <f t="shared" si="0"/>
        <v>2.4996104579322016</v>
      </c>
      <c r="E25" s="1326">
        <f t="shared" si="4"/>
        <v>0</v>
      </c>
      <c r="F25" s="1329"/>
      <c r="G25" s="1326">
        <f t="shared" si="5"/>
        <v>0</v>
      </c>
      <c r="H25" s="1329">
        <v>0</v>
      </c>
      <c r="I25" s="1326">
        <f t="shared" si="1"/>
        <v>10735.614000000001</v>
      </c>
      <c r="J25" s="1329">
        <v>0.2</v>
      </c>
      <c r="K25" s="1326">
        <f t="shared" si="2"/>
        <v>42942.456000000006</v>
      </c>
      <c r="L25" s="1329">
        <v>0.8</v>
      </c>
      <c r="M25" s="1328">
        <f t="shared" si="3"/>
        <v>1</v>
      </c>
    </row>
    <row r="26" spans="1:13" ht="18" customHeight="1">
      <c r="A26" s="1322" t="str">
        <f>'RESUMO SEM DESONERAÇÃO'!A24</f>
        <v>10.1</v>
      </c>
      <c r="B26" s="1330" t="str">
        <f>'RESUMO SEM DESONERAÇÃO'!B24:C24</f>
        <v>ESTRUTURA METÁLICA</v>
      </c>
      <c r="C26" s="1347">
        <f>'RESUMO SEM DESONERAÇÃO'!D24</f>
        <v>62881.24</v>
      </c>
      <c r="D26" s="1325">
        <f t="shared" si="0"/>
        <v>2.9281716930535073</v>
      </c>
      <c r="E26" s="1326">
        <f t="shared" si="4"/>
        <v>0</v>
      </c>
      <c r="F26" s="1329"/>
      <c r="G26" s="1326">
        <f t="shared" si="5"/>
        <v>25152.495999999999</v>
      </c>
      <c r="H26" s="1329">
        <v>0.4</v>
      </c>
      <c r="I26" s="1326">
        <f t="shared" si="1"/>
        <v>37728.743999999999</v>
      </c>
      <c r="J26" s="1329">
        <v>0.6</v>
      </c>
      <c r="K26" s="1326">
        <f t="shared" si="2"/>
        <v>0</v>
      </c>
      <c r="L26" s="1329"/>
      <c r="M26" s="1328">
        <f t="shared" si="3"/>
        <v>1</v>
      </c>
    </row>
    <row r="27" spans="1:13" ht="18" customHeight="1">
      <c r="A27" s="1322" t="str">
        <f>'RESUMO SEM DESONERAÇÃO'!A25</f>
        <v>10.2</v>
      </c>
      <c r="B27" s="1330" t="str">
        <f>'RESUMO SEM DESONERAÇÃO'!B25:C25</f>
        <v>TELHAMENTO E ACESSÓRIOS</v>
      </c>
      <c r="C27" s="1347">
        <f>'RESUMO SEM DESONERAÇÃO'!D25</f>
        <v>50739.56</v>
      </c>
      <c r="D27" s="1325">
        <f t="shared" si="0"/>
        <v>2.3627737511217974</v>
      </c>
      <c r="E27" s="1326"/>
      <c r="F27" s="1329"/>
      <c r="G27" s="1326"/>
      <c r="H27" s="1329"/>
      <c r="I27" s="1326">
        <f t="shared" si="1"/>
        <v>25369.78</v>
      </c>
      <c r="J27" s="1329">
        <v>0.5</v>
      </c>
      <c r="K27" s="1326">
        <f t="shared" si="2"/>
        <v>25369.78</v>
      </c>
      <c r="L27" s="1329">
        <v>0.5</v>
      </c>
      <c r="M27" s="1328">
        <f t="shared" si="3"/>
        <v>1</v>
      </c>
    </row>
    <row r="28" spans="1:13">
      <c r="A28" s="1322">
        <f>'RESUMO SEM DESONERAÇÃO'!A26</f>
        <v>11</v>
      </c>
      <c r="B28" s="1330" t="str">
        <f>'RESUMO SEM DESONERAÇÃO'!B26:C26</f>
        <v>INSTALAÇÕES ELÉTRICAS</v>
      </c>
      <c r="C28" s="1347">
        <f>'RESUMO SEM DESONERAÇÃO'!D26</f>
        <v>37783.11</v>
      </c>
      <c r="D28" s="1325">
        <f t="shared" si="0"/>
        <v>1.759434660918374</v>
      </c>
      <c r="E28" s="1326">
        <f t="shared" si="4"/>
        <v>0</v>
      </c>
      <c r="F28" s="1329"/>
      <c r="G28" s="1326">
        <f t="shared" si="5"/>
        <v>18891.555</v>
      </c>
      <c r="H28" s="1329">
        <v>0.5</v>
      </c>
      <c r="I28" s="1326">
        <f t="shared" si="1"/>
        <v>18891.555</v>
      </c>
      <c r="J28" s="1329">
        <v>0.5</v>
      </c>
      <c r="K28" s="1326">
        <f t="shared" si="2"/>
        <v>0</v>
      </c>
      <c r="L28" s="1329">
        <v>0</v>
      </c>
      <c r="M28" s="1328">
        <f t="shared" si="3"/>
        <v>1</v>
      </c>
    </row>
    <row r="29" spans="1:13">
      <c r="A29" s="1322" t="str">
        <f>'RESUMO SEM DESONERAÇÃO'!A27</f>
        <v>11.2</v>
      </c>
      <c r="B29" s="1330" t="str">
        <f>'RESUMO SEM DESONERAÇÃO'!B27:C27</f>
        <v xml:space="preserve">CABEAMENTO ESTRUTURADO </v>
      </c>
      <c r="C29" s="1347">
        <f>'RESUMO SEM DESONERAÇÃO'!D27</f>
        <v>27298.26</v>
      </c>
      <c r="D29" s="1325">
        <f t="shared" si="0"/>
        <v>1.2711898207098784</v>
      </c>
      <c r="E29" s="1326">
        <f t="shared" si="4"/>
        <v>0</v>
      </c>
      <c r="F29" s="1329"/>
      <c r="G29" s="1326">
        <f t="shared" si="5"/>
        <v>8189.4779999999992</v>
      </c>
      <c r="H29" s="1329">
        <v>0.3</v>
      </c>
      <c r="I29" s="1326">
        <f t="shared" si="1"/>
        <v>19108.781999999999</v>
      </c>
      <c r="J29" s="1329">
        <v>0.7</v>
      </c>
      <c r="K29" s="1326">
        <f t="shared" si="2"/>
        <v>0</v>
      </c>
      <c r="L29" s="1329">
        <v>0</v>
      </c>
      <c r="M29" s="1328">
        <f t="shared" si="3"/>
        <v>1</v>
      </c>
    </row>
    <row r="30" spans="1:13">
      <c r="A30" s="1322">
        <f>'RESUMO SEM DESONERAÇÃO'!A28</f>
        <v>12</v>
      </c>
      <c r="B30" s="1330" t="str">
        <f>'RESUMO SEM DESONERAÇÃO'!B28:C28</f>
        <v>SPDA</v>
      </c>
      <c r="C30" s="1347">
        <f>'RESUMO SEM DESONERAÇÃO'!D28</f>
        <v>27158.639999999999</v>
      </c>
      <c r="D30" s="1325">
        <f t="shared" si="0"/>
        <v>1.264688178379286</v>
      </c>
      <c r="E30" s="1326">
        <f t="shared" si="4"/>
        <v>0</v>
      </c>
      <c r="F30" s="1329"/>
      <c r="G30" s="1326">
        <f t="shared" si="5"/>
        <v>8147.5919999999996</v>
      </c>
      <c r="H30" s="1329">
        <v>0.3</v>
      </c>
      <c r="I30" s="1326">
        <f t="shared" si="1"/>
        <v>19011.047999999999</v>
      </c>
      <c r="J30" s="1329">
        <v>0.7</v>
      </c>
      <c r="K30" s="1326">
        <f t="shared" si="2"/>
        <v>0</v>
      </c>
      <c r="L30" s="1329">
        <v>0</v>
      </c>
      <c r="M30" s="1328">
        <f t="shared" si="3"/>
        <v>1</v>
      </c>
    </row>
    <row r="31" spans="1:13">
      <c r="A31" s="1322">
        <f>'RESUMO SEM DESONERAÇÃO'!A29</f>
        <v>13</v>
      </c>
      <c r="B31" s="1330" t="str">
        <f>'RESUMO SEM DESONERAÇÃO'!B29:C29</f>
        <v>INSTALAÇÕES HIDRÁULICAS</v>
      </c>
      <c r="C31" s="1347">
        <f>'RESUMO SEM DESONERAÇÃO'!D29</f>
        <v>18018.419999999998</v>
      </c>
      <c r="D31" s="1325">
        <f t="shared" si="0"/>
        <v>0.8390583168771667</v>
      </c>
      <c r="E31" s="1326">
        <f t="shared" si="4"/>
        <v>0</v>
      </c>
      <c r="F31" s="1329"/>
      <c r="G31" s="1326">
        <f t="shared" si="5"/>
        <v>9009.2099999999991</v>
      </c>
      <c r="H31" s="1329">
        <v>0.5</v>
      </c>
      <c r="I31" s="1326">
        <f t="shared" si="1"/>
        <v>9009.2099999999991</v>
      </c>
      <c r="J31" s="1329">
        <v>0.5</v>
      </c>
      <c r="K31" s="1326">
        <f t="shared" si="2"/>
        <v>0</v>
      </c>
      <c r="L31" s="1329">
        <v>0</v>
      </c>
      <c r="M31" s="1328">
        <f t="shared" si="3"/>
        <v>1</v>
      </c>
    </row>
    <row r="32" spans="1:13">
      <c r="A32" s="1331">
        <f>'RESUMO SEM DESONERAÇÃO'!A30</f>
        <v>14</v>
      </c>
      <c r="B32" s="1330" t="str">
        <f>'RESUMO SEM DESONERAÇÃO'!B30:C30</f>
        <v>APARELHOS E METAIS</v>
      </c>
      <c r="C32" s="1347">
        <f>'RESUMO SEM DESONERAÇÃO'!D30</f>
        <v>10049.040000000001</v>
      </c>
      <c r="D32" s="1325">
        <f t="shared" si="0"/>
        <v>0.46795060769098096</v>
      </c>
      <c r="E32" s="1326">
        <f t="shared" si="4"/>
        <v>0</v>
      </c>
      <c r="F32" s="1329"/>
      <c r="G32" s="1326">
        <f t="shared" si="5"/>
        <v>2009.8080000000002</v>
      </c>
      <c r="H32" s="1329">
        <v>0.2</v>
      </c>
      <c r="I32" s="1326">
        <f t="shared" si="1"/>
        <v>8039.2320000000009</v>
      </c>
      <c r="J32" s="1329">
        <v>0.8</v>
      </c>
      <c r="K32" s="1326">
        <f t="shared" si="2"/>
        <v>0</v>
      </c>
      <c r="L32" s="1329"/>
      <c r="M32" s="1328">
        <f t="shared" si="3"/>
        <v>1</v>
      </c>
    </row>
    <row r="33" spans="1:14">
      <c r="A33" s="1322" t="str">
        <f>'RESUMO SEM DESONERAÇÃO'!A31</f>
        <v>15.1</v>
      </c>
      <c r="B33" s="1330" t="str">
        <f>'RESUMO SEM DESONERAÇÃO'!B31:C31</f>
        <v>SERVIÇOS DE INSTALAÇÕES SANITÁRIAS</v>
      </c>
      <c r="C33" s="1347">
        <f>'RESUMO SEM DESONERAÇÃO'!D31</f>
        <v>7720.29</v>
      </c>
      <c r="D33" s="1325">
        <f t="shared" si="0"/>
        <v>0.35950841046016363</v>
      </c>
      <c r="E33" s="1326">
        <f t="shared" si="4"/>
        <v>0</v>
      </c>
      <c r="F33" s="1329"/>
      <c r="G33" s="1326">
        <f t="shared" si="5"/>
        <v>3860.145</v>
      </c>
      <c r="H33" s="1329">
        <v>0.5</v>
      </c>
      <c r="I33" s="1326">
        <f t="shared" si="1"/>
        <v>3860.145</v>
      </c>
      <c r="J33" s="1329">
        <v>0.5</v>
      </c>
      <c r="K33" s="1326">
        <f t="shared" si="2"/>
        <v>0</v>
      </c>
      <c r="L33" s="1329">
        <v>0</v>
      </c>
      <c r="M33" s="1328">
        <f t="shared" si="3"/>
        <v>1</v>
      </c>
    </row>
    <row r="34" spans="1:14" ht="61.5" customHeight="1">
      <c r="A34" s="1322" t="str">
        <f>'RESUMO SEM DESONERAÇÃO'!A32</f>
        <v>15.2.1</v>
      </c>
      <c r="B34" s="1330" t="str">
        <f>'RESUMO SEM DESONERAÇÃO'!B32:C32</f>
        <v xml:space="preserve">SUMIDOURO CIRCULAR, EM ALVENARIA COM TIJOLOS CERÂMICOS MACIÇOS, DIMENSÕES INTERNAS: DIAMETRO 2,84 M, ALTURA 3,00 M, ÁREA DE INFILTRAÇÃO: 132,40 M² </v>
      </c>
      <c r="C34" s="1347">
        <f>'RESUMO SEM DESONERAÇÃO'!D32</f>
        <v>6913.8</v>
      </c>
      <c r="D34" s="1325">
        <f t="shared" si="0"/>
        <v>0.32195283444527079</v>
      </c>
      <c r="E34" s="1326">
        <f t="shared" si="4"/>
        <v>0</v>
      </c>
      <c r="F34" s="1329"/>
      <c r="G34" s="1326">
        <f t="shared" si="5"/>
        <v>0</v>
      </c>
      <c r="H34" s="1329"/>
      <c r="I34" s="1326">
        <f t="shared" si="1"/>
        <v>6913.8</v>
      </c>
      <c r="J34" s="1329">
        <v>1</v>
      </c>
      <c r="K34" s="1326">
        <f t="shared" si="2"/>
        <v>0</v>
      </c>
      <c r="L34" s="1329"/>
      <c r="M34" s="1328">
        <f t="shared" si="3"/>
        <v>1</v>
      </c>
    </row>
    <row r="35" spans="1:14" ht="36" customHeight="1">
      <c r="A35" s="1322" t="str">
        <f>'RESUMO SEM DESONERAÇÃO'!A33</f>
        <v>15.2.2</v>
      </c>
      <c r="B35" s="1330" t="str">
        <f>'RESUMO SEM DESONERAÇÃO'!B33:C33</f>
        <v>FOSSA SÉPTICA E FILTRO ANAERÓBIO CONJUGADO EM BLOCO DE CONCRETO</v>
      </c>
      <c r="C35" s="1347">
        <f>'RESUMO SEM DESONERAÇÃO'!D33</f>
        <v>9308.7999999999993</v>
      </c>
      <c r="D35" s="1325">
        <f t="shared" si="0"/>
        <v>0.43348007539763028</v>
      </c>
      <c r="E35" s="1326">
        <f t="shared" si="4"/>
        <v>0</v>
      </c>
      <c r="F35" s="1329"/>
      <c r="G35" s="1326">
        <f t="shared" si="5"/>
        <v>0</v>
      </c>
      <c r="H35" s="1329">
        <v>0</v>
      </c>
      <c r="I35" s="1326">
        <f t="shared" si="1"/>
        <v>7447.04</v>
      </c>
      <c r="J35" s="1329">
        <v>0.8</v>
      </c>
      <c r="K35" s="1326">
        <f t="shared" si="2"/>
        <v>1861.76</v>
      </c>
      <c r="L35" s="1329">
        <v>0.2</v>
      </c>
      <c r="M35" s="1328">
        <f t="shared" si="3"/>
        <v>1</v>
      </c>
    </row>
    <row r="36" spans="1:14" ht="25.5">
      <c r="A36" s="1322">
        <f>'RESUMO SEM DESONERAÇÃO'!A34</f>
        <v>16</v>
      </c>
      <c r="B36" s="1330" t="str">
        <f>'RESUMO SEM DESONERAÇÃO'!B34:C34</f>
        <v xml:space="preserve">BANCADAS, RODABANCADAS, DIVISÓRIAS E REQUADRO EM GRANITO </v>
      </c>
      <c r="C36" s="1347">
        <f>'RESUMO SEM DESONERAÇÃO'!D34</f>
        <v>12834.04</v>
      </c>
      <c r="D36" s="1325">
        <f t="shared" si="0"/>
        <v>0.59763886073996686</v>
      </c>
      <c r="E36" s="1326">
        <f t="shared" si="4"/>
        <v>0</v>
      </c>
      <c r="F36" s="1329"/>
      <c r="G36" s="1326">
        <f t="shared" si="5"/>
        <v>0</v>
      </c>
      <c r="H36" s="1329"/>
      <c r="I36" s="1326">
        <f t="shared" si="1"/>
        <v>0</v>
      </c>
      <c r="J36" s="1329"/>
      <c r="K36" s="1326">
        <f t="shared" si="2"/>
        <v>12834.04</v>
      </c>
      <c r="L36" s="1329">
        <v>1</v>
      </c>
      <c r="M36" s="1328">
        <f t="shared" si="3"/>
        <v>1</v>
      </c>
    </row>
    <row r="37" spans="1:14">
      <c r="A37" s="1322">
        <f>'RESUMO SEM DESONERAÇÃO'!A35</f>
        <v>17</v>
      </c>
      <c r="B37" s="1330" t="str">
        <f>'RESUMO SEM DESONERAÇÃO'!B35:C35</f>
        <v>MURETA COM GRADIL</v>
      </c>
      <c r="C37" s="1347">
        <f>'RESUMO SEM DESONERAÇÃO'!D35</f>
        <v>616138.52</v>
      </c>
      <c r="D37" s="1325">
        <f t="shared" si="0"/>
        <v>28.69153619209612</v>
      </c>
      <c r="E37" s="1326">
        <f t="shared" si="4"/>
        <v>0</v>
      </c>
      <c r="F37" s="1329"/>
      <c r="G37" s="1326">
        <f t="shared" si="5"/>
        <v>184841.55600000001</v>
      </c>
      <c r="H37" s="1329">
        <v>0.3</v>
      </c>
      <c r="I37" s="1326">
        <f t="shared" si="1"/>
        <v>369683.11200000002</v>
      </c>
      <c r="J37" s="1329">
        <v>0.6</v>
      </c>
      <c r="K37" s="1326">
        <f t="shared" si="2"/>
        <v>61613.852000000006</v>
      </c>
      <c r="L37" s="1329">
        <v>0.1</v>
      </c>
      <c r="M37" s="1328">
        <f t="shared" si="3"/>
        <v>0.99999999999999989</v>
      </c>
    </row>
    <row r="38" spans="1:14">
      <c r="A38" s="1322">
        <f>'RESUMO SEM DESONERAÇÃO'!A36</f>
        <v>18</v>
      </c>
      <c r="B38" s="1330" t="str">
        <f>'RESUMO SEM DESONERAÇÃO'!B36:C36</f>
        <v>SERVIÇOS CONSTRUTIVOS COMPLEMENTARES</v>
      </c>
      <c r="C38" s="1347">
        <f>'RESUMO SEM DESONERAÇÃO'!D36</f>
        <v>277761.17</v>
      </c>
      <c r="D38" s="1325">
        <f t="shared" si="0"/>
        <v>12.934420431648979</v>
      </c>
      <c r="E38" s="1326">
        <f t="shared" si="4"/>
        <v>0</v>
      </c>
      <c r="F38" s="1329"/>
      <c r="G38" s="1326">
        <f t="shared" si="5"/>
        <v>0</v>
      </c>
      <c r="H38" s="1329">
        <v>0</v>
      </c>
      <c r="I38" s="1326">
        <f t="shared" si="1"/>
        <v>55552.233999999997</v>
      </c>
      <c r="J38" s="1329">
        <v>0.2</v>
      </c>
      <c r="K38" s="1326">
        <f t="shared" si="2"/>
        <v>222208.93599999999</v>
      </c>
      <c r="L38" s="1329">
        <v>0.8</v>
      </c>
      <c r="M38" s="1328">
        <f t="shared" si="3"/>
        <v>1</v>
      </c>
    </row>
    <row r="39" spans="1:14" ht="15.75" thickBot="1">
      <c r="A39" s="1322">
        <f>'RESUMO SEM DESONERAÇÃO'!A37</f>
        <v>19</v>
      </c>
      <c r="B39" s="1330" t="str">
        <f>'RESUMO SEM DESONERAÇÃO'!B37:C37</f>
        <v>LIMPEZA GERAL</v>
      </c>
      <c r="C39" s="1347">
        <f>'RESUMO SEM DESONERAÇÃO'!D37</f>
        <v>2615.9</v>
      </c>
      <c r="D39" s="1325">
        <f t="shared" si="0"/>
        <v>0.12181382447067948</v>
      </c>
      <c r="E39" s="1326">
        <f t="shared" si="4"/>
        <v>0</v>
      </c>
      <c r="F39" s="1329"/>
      <c r="G39" s="1326">
        <f t="shared" si="5"/>
        <v>0</v>
      </c>
      <c r="H39" s="1329"/>
      <c r="I39" s="1326">
        <f t="shared" si="1"/>
        <v>0</v>
      </c>
      <c r="J39" s="1329"/>
      <c r="K39" s="1326">
        <f t="shared" si="2"/>
        <v>2615.9</v>
      </c>
      <c r="L39" s="1329">
        <v>1</v>
      </c>
      <c r="M39" s="1328">
        <f t="shared" si="3"/>
        <v>1</v>
      </c>
    </row>
    <row r="40" spans="1:14">
      <c r="A40" s="1332"/>
      <c r="B40" s="1333" t="s">
        <v>39</v>
      </c>
      <c r="C40" s="1334">
        <f>SUM(C17:C39)</f>
        <v>2147457.41</v>
      </c>
      <c r="D40" s="1335">
        <f>SUM(D17:D39)</f>
        <v>100</v>
      </c>
      <c r="E40" s="1336">
        <f>SUM(E17:E39)</f>
        <v>281899.5932</v>
      </c>
      <c r="F40" s="1337">
        <f>+E40/$C40</f>
        <v>0.13127133133690413</v>
      </c>
      <c r="G40" s="1338">
        <f>SUM(G17:G39)</f>
        <v>581962.94920000015</v>
      </c>
      <c r="H40" s="1337">
        <f>+G40/$C40</f>
        <v>0.27100092718486096</v>
      </c>
      <c r="I40" s="1338">
        <f>SUM(I17:I39)</f>
        <v>824414.87479999987</v>
      </c>
      <c r="J40" s="1337">
        <f>+I40/$C40</f>
        <v>0.38390278240721887</v>
      </c>
      <c r="K40" s="1336">
        <f>SUM(K17:K39)</f>
        <v>459179.99280000007</v>
      </c>
      <c r="L40" s="1337">
        <f>K40/$C40</f>
        <v>0.21382495907101601</v>
      </c>
      <c r="M40" s="1339"/>
    </row>
    <row r="41" spans="1:14" ht="16.5" customHeight="1" thickBot="1">
      <c r="A41" s="1340"/>
      <c r="B41" s="1349" t="s">
        <v>40</v>
      </c>
      <c r="C41" s="1350"/>
      <c r="D41" s="1351"/>
      <c r="E41" s="1352">
        <f>E40</f>
        <v>281899.5932</v>
      </c>
      <c r="F41" s="1353">
        <f>E41/$C40</f>
        <v>0.13127133133690413</v>
      </c>
      <c r="G41" s="1354">
        <f>E41+G40</f>
        <v>863862.54240000015</v>
      </c>
      <c r="H41" s="1353">
        <f>G41/$C40</f>
        <v>0.40227225852176507</v>
      </c>
      <c r="I41" s="1354">
        <f>G41+I40</f>
        <v>1688277.4172</v>
      </c>
      <c r="J41" s="1353">
        <f>I41/$C40</f>
        <v>0.78617504092898394</v>
      </c>
      <c r="K41" s="1354">
        <f>I41+K40</f>
        <v>2147457.41</v>
      </c>
      <c r="L41" s="1353">
        <f>+J41+L40</f>
        <v>1</v>
      </c>
      <c r="M41" s="1355"/>
    </row>
    <row r="42" spans="1:14">
      <c r="A42" s="55"/>
      <c r="B42" s="16"/>
      <c r="C42" s="16"/>
      <c r="D42" s="16"/>
      <c r="E42" s="16"/>
      <c r="F42" s="16"/>
      <c r="G42" s="16"/>
      <c r="H42" s="16"/>
      <c r="I42" s="16"/>
      <c r="J42" s="16"/>
      <c r="K42" s="16"/>
      <c r="L42" s="16"/>
      <c r="M42" s="1831" t="str">
        <f>'RESUMO SEM DESONERAÇÃO'!$E$41</f>
        <v>CUIABÁ-MT, 15 DE MAIO DE 2023.</v>
      </c>
      <c r="N42" s="16"/>
    </row>
    <row r="43" spans="1:14">
      <c r="A43" s="1916" t="str">
        <f>'RESUMO SEM DESONERAÇÃO'!$A$47:$E$47</f>
        <v>_______________________________________</v>
      </c>
      <c r="B43" s="1916"/>
      <c r="C43" s="1916"/>
      <c r="D43" s="1916"/>
      <c r="E43" s="1916"/>
      <c r="F43" s="1916"/>
      <c r="G43" s="1916"/>
      <c r="H43" s="1916"/>
      <c r="I43" s="1916"/>
      <c r="J43" s="1916"/>
      <c r="K43" s="1916"/>
      <c r="L43" s="1916"/>
      <c r="M43" s="1916"/>
    </row>
    <row r="44" spans="1:14">
      <c r="A44" s="1916" t="str">
        <f>'RESUMO SEM DESONERAÇÃO'!$A$48:$E$48</f>
        <v>PAULO PAZETO MEDEIROS</v>
      </c>
      <c r="B44" s="1916"/>
      <c r="C44" s="1916"/>
      <c r="D44" s="1916"/>
      <c r="E44" s="1916"/>
      <c r="F44" s="1916"/>
      <c r="G44" s="1916"/>
      <c r="H44" s="1916"/>
      <c r="I44" s="1916"/>
      <c r="J44" s="1916"/>
      <c r="K44" s="1916"/>
      <c r="L44" s="1916"/>
      <c r="M44" s="1916"/>
    </row>
    <row r="45" spans="1:14">
      <c r="A45" s="1916" t="str">
        <f>'RESUMO SEM DESONERAÇÃO'!$A$49:$E$49</f>
        <v>DIRETOR/ENGENHEIRO CIVIL</v>
      </c>
      <c r="B45" s="1916"/>
      <c r="C45" s="1916"/>
      <c r="D45" s="1916"/>
      <c r="E45" s="1916"/>
      <c r="F45" s="1916"/>
      <c r="G45" s="1916"/>
      <c r="H45" s="1916"/>
      <c r="I45" s="1916"/>
      <c r="J45" s="1916"/>
      <c r="K45" s="1916"/>
      <c r="L45" s="1916"/>
      <c r="M45" s="1916"/>
    </row>
    <row r="46" spans="1:14">
      <c r="A46" s="1916" t="str">
        <f>'RESUMO SEM DESONERAÇÃO'!$A$50:$E$50</f>
        <v>CREA MT034442</v>
      </c>
      <c r="B46" s="1916"/>
      <c r="C46" s="1916"/>
      <c r="D46" s="1916"/>
      <c r="E46" s="1916"/>
      <c r="F46" s="1916"/>
      <c r="G46" s="1916"/>
      <c r="H46" s="1916"/>
      <c r="I46" s="1916"/>
      <c r="J46" s="1916"/>
      <c r="K46" s="1916"/>
      <c r="L46" s="1916"/>
      <c r="M46" s="1916"/>
    </row>
    <row r="47" spans="1:14">
      <c r="A47" s="1916" t="str">
        <f>'RESUMO SEM DESONERAÇÃO'!$A$51:$E$51</f>
        <v>CPF 037.578.081-50</v>
      </c>
      <c r="B47" s="1916"/>
      <c r="C47" s="1916"/>
      <c r="D47" s="1916"/>
      <c r="E47" s="1916"/>
      <c r="F47" s="1916"/>
      <c r="G47" s="1916"/>
      <c r="H47" s="1916"/>
      <c r="I47" s="1916"/>
      <c r="J47" s="1916"/>
      <c r="K47" s="1916"/>
      <c r="L47" s="1916"/>
      <c r="M47" s="1916"/>
    </row>
  </sheetData>
  <mergeCells count="21">
    <mergeCell ref="A43:M43"/>
    <mergeCell ref="A44:M44"/>
    <mergeCell ref="A45:M45"/>
    <mergeCell ref="A46:M46"/>
    <mergeCell ref="A47:M47"/>
    <mergeCell ref="B8:F8"/>
    <mergeCell ref="B9:F9"/>
    <mergeCell ref="B11:F11"/>
    <mergeCell ref="B10:F10"/>
    <mergeCell ref="C4:H4"/>
    <mergeCell ref="C5:I5"/>
    <mergeCell ref="D6:G6"/>
    <mergeCell ref="K15:L15"/>
    <mergeCell ref="G15:H15"/>
    <mergeCell ref="A13:M13"/>
    <mergeCell ref="A14:A16"/>
    <mergeCell ref="B14:B16"/>
    <mergeCell ref="C14:D15"/>
    <mergeCell ref="E14:M14"/>
    <mergeCell ref="E15:F15"/>
    <mergeCell ref="I15:J15"/>
  </mergeCells>
  <printOptions horizontalCentered="1"/>
  <pageMargins left="0.39370078740157483" right="0.39370078740157483" top="0.39370078740157483" bottom="0.39370078740157483" header="0.31496062992125984" footer="0.31496062992125984"/>
  <pageSetup paperSize="9" scale="70" orientation="landscape" r:id="rId1"/>
  <ignoredErrors>
    <ignoredError sqref="D27:D39 D17:D2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view="pageBreakPreview" topLeftCell="A13" zoomScale="115" zoomScaleNormal="100" zoomScaleSheetLayoutView="115" workbookViewId="0">
      <selection activeCell="H16" sqref="H16"/>
    </sheetView>
  </sheetViews>
  <sheetFormatPr defaultRowHeight="15"/>
  <cols>
    <col min="1" max="1" width="40.140625" customWidth="1"/>
    <col min="2" max="2" width="22" customWidth="1"/>
    <col min="3" max="3" width="14" customWidth="1"/>
  </cols>
  <sheetData>
    <row r="1" spans="1:4" ht="15.75">
      <c r="A1" s="2114"/>
      <c r="B1" s="2115"/>
      <c r="C1" s="2115"/>
      <c r="D1" s="16"/>
    </row>
    <row r="2" spans="1:4">
      <c r="A2" s="2116"/>
      <c r="B2" s="2117"/>
      <c r="C2" s="2117"/>
      <c r="D2" s="16"/>
    </row>
    <row r="3" spans="1:4">
      <c r="A3" s="2118"/>
      <c r="B3" s="2119"/>
      <c r="C3" s="2119"/>
      <c r="D3" s="16"/>
    </row>
    <row r="4" spans="1:4" ht="87" customHeight="1" thickBot="1">
      <c r="A4" s="2123"/>
      <c r="B4" s="2124"/>
      <c r="C4" s="2124"/>
      <c r="D4" s="16"/>
    </row>
    <row r="5" spans="1:4" ht="30.75" customHeight="1">
      <c r="A5" s="2120" t="s">
        <v>174</v>
      </c>
      <c r="B5" s="2121"/>
      <c r="C5" s="2122"/>
    </row>
    <row r="6" spans="1:4" ht="15.75">
      <c r="A6" s="135"/>
      <c r="B6" s="136"/>
      <c r="C6" s="137"/>
    </row>
    <row r="7" spans="1:4">
      <c r="A7" s="138"/>
      <c r="B7" s="139"/>
      <c r="C7" s="140"/>
    </row>
    <row r="8" spans="1:4" ht="15.75" thickBot="1">
      <c r="A8" s="138"/>
      <c r="B8" s="141"/>
      <c r="C8" s="140"/>
    </row>
    <row r="9" spans="1:4" ht="15.75" thickBot="1">
      <c r="A9" s="2110" t="s">
        <v>140</v>
      </c>
      <c r="B9" s="2111"/>
      <c r="C9" s="142" t="s">
        <v>31</v>
      </c>
    </row>
    <row r="10" spans="1:4">
      <c r="A10" s="143" t="s">
        <v>141</v>
      </c>
      <c r="B10" s="144"/>
      <c r="C10" s="145">
        <v>0.04</v>
      </c>
    </row>
    <row r="11" spans="1:4">
      <c r="A11" s="146" t="s">
        <v>142</v>
      </c>
      <c r="B11" s="147"/>
      <c r="C11" s="148">
        <v>1.23E-2</v>
      </c>
    </row>
    <row r="12" spans="1:4">
      <c r="A12" s="146" t="s">
        <v>143</v>
      </c>
      <c r="B12" s="147"/>
      <c r="C12" s="148">
        <v>1.2699999999999999E-2</v>
      </c>
    </row>
    <row r="13" spans="1:4" ht="15.75" thickBot="1">
      <c r="A13" s="149" t="s">
        <v>144</v>
      </c>
      <c r="B13" s="150"/>
      <c r="C13" s="151">
        <v>8.0000000000000002E-3</v>
      </c>
    </row>
    <row r="14" spans="1:4" ht="15.75" thickBot="1">
      <c r="A14" s="152"/>
      <c r="B14" s="153" t="s">
        <v>145</v>
      </c>
      <c r="C14" s="154">
        <f>SUM(C10:C13)</f>
        <v>7.3000000000000009E-2</v>
      </c>
    </row>
    <row r="15" spans="1:4" ht="15.75" thickBot="1">
      <c r="A15" s="2110" t="s">
        <v>146</v>
      </c>
      <c r="B15" s="2111"/>
      <c r="C15" s="142" t="s">
        <v>31</v>
      </c>
    </row>
    <row r="16" spans="1:4" ht="15.75" thickBot="1">
      <c r="A16" s="146" t="s">
        <v>147</v>
      </c>
      <c r="B16" s="147"/>
      <c r="C16" s="155">
        <v>7.3999999999999996E-2</v>
      </c>
    </row>
    <row r="17" spans="1:4" ht="15.75" thickBot="1">
      <c r="A17" s="152"/>
      <c r="B17" s="153" t="s">
        <v>145</v>
      </c>
      <c r="C17" s="154">
        <f>SUM(C16)</f>
        <v>7.3999999999999996E-2</v>
      </c>
    </row>
    <row r="18" spans="1:4" ht="15.75" thickBot="1">
      <c r="A18" s="2110"/>
      <c r="B18" s="2111"/>
      <c r="C18" s="154"/>
    </row>
    <row r="19" spans="1:4" ht="15.75" thickBot="1">
      <c r="A19" s="2110" t="s">
        <v>148</v>
      </c>
      <c r="B19" s="2111"/>
      <c r="C19" s="142" t="s">
        <v>31</v>
      </c>
    </row>
    <row r="20" spans="1:4">
      <c r="A20" s="146" t="s">
        <v>149</v>
      </c>
      <c r="B20" s="156"/>
      <c r="C20" s="148">
        <v>6.4999999999999997E-3</v>
      </c>
    </row>
    <row r="21" spans="1:4">
      <c r="A21" s="146" t="s">
        <v>150</v>
      </c>
      <c r="B21" s="156"/>
      <c r="C21" s="148">
        <v>0.03</v>
      </c>
    </row>
    <row r="22" spans="1:4" ht="15.75" thickBot="1">
      <c r="A22" s="146" t="s">
        <v>151</v>
      </c>
      <c r="B22" s="156"/>
      <c r="C22" s="148">
        <v>0.02</v>
      </c>
    </row>
    <row r="23" spans="1:4" ht="15.75" thickBot="1">
      <c r="A23" s="152"/>
      <c r="B23" s="153" t="s">
        <v>145</v>
      </c>
      <c r="C23" s="154">
        <f>SUM(C20:C22)</f>
        <v>5.6499999999999995E-2</v>
      </c>
    </row>
    <row r="24" spans="1:4" ht="15.75" thickBot="1">
      <c r="A24" s="152"/>
      <c r="B24" s="157"/>
      <c r="C24" s="158"/>
    </row>
    <row r="25" spans="1:4">
      <c r="A25" s="2112"/>
      <c r="B25" s="2113"/>
      <c r="C25" s="159"/>
      <c r="D25" s="169">
        <f>(1+C10+C12+C13)*(1+C11)*(1+C16)</f>
        <v>1.15320385914</v>
      </c>
    </row>
    <row r="26" spans="1:4" ht="25.5" customHeight="1" thickBot="1">
      <c r="A26" s="160"/>
      <c r="B26" s="161" t="s">
        <v>152</v>
      </c>
      <c r="C26" s="162">
        <f>(D25/D26)-1</f>
        <v>0.22226164190779008</v>
      </c>
      <c r="D26" s="169">
        <f>(1-C23)</f>
        <v>0.94350000000000001</v>
      </c>
    </row>
    <row r="27" spans="1:4" ht="63.75" customHeight="1" thickBot="1">
      <c r="A27" s="2107" t="s">
        <v>2329</v>
      </c>
      <c r="B27" s="2108"/>
      <c r="C27" s="2109"/>
    </row>
    <row r="29" spans="1:4">
      <c r="C29" s="1828" t="str">
        <f>'RESUMO SEM DESONERAÇÃO'!$E$41</f>
        <v>CUIABÁ-MT, 15 DE MAIO DE 2023.</v>
      </c>
    </row>
    <row r="33" spans="1:3">
      <c r="A33" s="1916" t="str">
        <f>'RESUMO SEM DESONERAÇÃO'!$A$47:$E$47</f>
        <v>_______________________________________</v>
      </c>
      <c r="B33" s="1916"/>
      <c r="C33" s="1916"/>
    </row>
    <row r="34" spans="1:3">
      <c r="A34" s="1916" t="str">
        <f>'RESUMO SEM DESONERAÇÃO'!$A$48:$E$48</f>
        <v>PAULO PAZETO MEDEIROS</v>
      </c>
      <c r="B34" s="1916"/>
      <c r="C34" s="1916"/>
    </row>
    <row r="35" spans="1:3">
      <c r="A35" s="1916" t="str">
        <f>'RESUMO SEM DESONERAÇÃO'!$A$49:$E$49</f>
        <v>DIRETOR/ENGENHEIRO CIVIL</v>
      </c>
      <c r="B35" s="1916"/>
      <c r="C35" s="1916"/>
    </row>
    <row r="36" spans="1:3">
      <c r="A36" s="1916" t="str">
        <f>'RESUMO SEM DESONERAÇÃO'!$A$50:$E$50</f>
        <v>CREA MT034442</v>
      </c>
      <c r="B36" s="1916"/>
      <c r="C36" s="1916"/>
    </row>
    <row r="37" spans="1:3">
      <c r="A37" s="1916" t="str">
        <f>'RESUMO SEM DESONERAÇÃO'!$A$51:$E$51</f>
        <v>CPF 037.578.081-50</v>
      </c>
      <c r="B37" s="1916"/>
      <c r="C37" s="1916"/>
    </row>
  </sheetData>
  <mergeCells count="16">
    <mergeCell ref="A33:C33"/>
    <mergeCell ref="A34:C34"/>
    <mergeCell ref="A35:C35"/>
    <mergeCell ref="A36:C36"/>
    <mergeCell ref="A37:C37"/>
    <mergeCell ref="A27:C27"/>
    <mergeCell ref="A18:B18"/>
    <mergeCell ref="A19:B19"/>
    <mergeCell ref="A25:B25"/>
    <mergeCell ref="A1:C1"/>
    <mergeCell ref="A2:C2"/>
    <mergeCell ref="A3:C3"/>
    <mergeCell ref="A5:C5"/>
    <mergeCell ref="A9:B9"/>
    <mergeCell ref="A15:B15"/>
    <mergeCell ref="A4:C4"/>
  </mergeCells>
  <printOptions horizontalCentered="1"/>
  <pageMargins left="0.39370078740157483" right="0.39370078740157483" top="0.39370078740157483" bottom="0.39370078740157483" header="0.31496062992125984" footer="0.31496062992125984"/>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FD39-F12C-4B2F-B7E3-2A3BE0BC5D7E}">
  <dimension ref="A1:D49"/>
  <sheetViews>
    <sheetView tabSelected="1" view="pageBreakPreview" zoomScaleNormal="100" zoomScaleSheetLayoutView="100" workbookViewId="0">
      <selection activeCell="H16" sqref="H16"/>
    </sheetView>
  </sheetViews>
  <sheetFormatPr defaultRowHeight="15"/>
  <cols>
    <col min="1" max="1" width="14.42578125" bestFit="1" customWidth="1"/>
    <col min="2" max="2" width="41.85546875" customWidth="1"/>
    <col min="3" max="3" width="13.85546875" bestFit="1" customWidth="1"/>
    <col min="4" max="4" width="18.5703125" customWidth="1"/>
  </cols>
  <sheetData>
    <row r="1" spans="1:4" ht="90.75" customHeight="1" thickBot="1">
      <c r="A1" s="2125"/>
      <c r="B1" s="2126"/>
      <c r="C1" s="2126"/>
      <c r="D1" s="2127"/>
    </row>
    <row r="2" spans="1:4" ht="18">
      <c r="A2" s="2128" t="s">
        <v>2778</v>
      </c>
      <c r="B2" s="2129"/>
      <c r="C2" s="2129"/>
      <c r="D2" s="2130"/>
    </row>
    <row r="3" spans="1:4" ht="15.75">
      <c r="A3" s="2131" t="s">
        <v>2779</v>
      </c>
      <c r="B3" s="2132"/>
      <c r="C3" s="2132"/>
      <c r="D3" s="2133"/>
    </row>
    <row r="4" spans="1:4" ht="18">
      <c r="A4" s="2134" t="s">
        <v>2780</v>
      </c>
      <c r="B4" s="2135"/>
      <c r="C4" s="2135"/>
      <c r="D4" s="1810"/>
    </row>
    <row r="5" spans="1:4" ht="17.25" thickBot="1">
      <c r="A5" s="2136"/>
      <c r="B5" s="2137"/>
      <c r="C5" s="2137"/>
      <c r="D5" s="2138"/>
    </row>
    <row r="6" spans="1:4" ht="16.5">
      <c r="A6" s="2139" t="s">
        <v>2399</v>
      </c>
      <c r="B6" s="2141" t="s">
        <v>284</v>
      </c>
      <c r="C6" s="2143" t="s">
        <v>2781</v>
      </c>
      <c r="D6" s="2144"/>
    </row>
    <row r="7" spans="1:4" ht="33">
      <c r="A7" s="2140"/>
      <c r="B7" s="2142"/>
      <c r="C7" s="1811" t="s">
        <v>2782</v>
      </c>
      <c r="D7" s="1812" t="s">
        <v>2783</v>
      </c>
    </row>
    <row r="8" spans="1:4" ht="16.5">
      <c r="A8" s="2145" t="s">
        <v>2784</v>
      </c>
      <c r="B8" s="2146"/>
      <c r="C8" s="2146"/>
      <c r="D8" s="2147"/>
    </row>
    <row r="9" spans="1:4" ht="16.5">
      <c r="A9" s="1813" t="s">
        <v>2785</v>
      </c>
      <c r="B9" s="1814" t="s">
        <v>2786</v>
      </c>
      <c r="C9" s="1815">
        <v>0.2</v>
      </c>
      <c r="D9" s="1816">
        <v>0.2</v>
      </c>
    </row>
    <row r="10" spans="1:4" ht="16.5">
      <c r="A10" s="1813" t="s">
        <v>2787</v>
      </c>
      <c r="B10" s="1814" t="s">
        <v>2788</v>
      </c>
      <c r="C10" s="1815">
        <v>1.4999999999999999E-2</v>
      </c>
      <c r="D10" s="1816">
        <v>1.4999999999999999E-2</v>
      </c>
    </row>
    <row r="11" spans="1:4" ht="16.5">
      <c r="A11" s="1813" t="s">
        <v>2789</v>
      </c>
      <c r="B11" s="1814" t="s">
        <v>2790</v>
      </c>
      <c r="C11" s="1815">
        <v>0.01</v>
      </c>
      <c r="D11" s="1816">
        <v>0.01</v>
      </c>
    </row>
    <row r="12" spans="1:4" ht="16.5">
      <c r="A12" s="1813" t="s">
        <v>2791</v>
      </c>
      <c r="B12" s="1814" t="s">
        <v>2792</v>
      </c>
      <c r="C12" s="1815">
        <v>2E-3</v>
      </c>
      <c r="D12" s="1816">
        <v>2E-3</v>
      </c>
    </row>
    <row r="13" spans="1:4" ht="16.5">
      <c r="A13" s="1813" t="s">
        <v>2793</v>
      </c>
      <c r="B13" s="1814" t="s">
        <v>2794</v>
      </c>
      <c r="C13" s="1815">
        <v>6.0000000000000001E-3</v>
      </c>
      <c r="D13" s="1816">
        <v>6.0000000000000001E-3</v>
      </c>
    </row>
    <row r="14" spans="1:4" ht="16.5">
      <c r="A14" s="1813" t="s">
        <v>2795</v>
      </c>
      <c r="B14" s="1814" t="s">
        <v>2796</v>
      </c>
      <c r="C14" s="1815">
        <v>2.5000000000000001E-2</v>
      </c>
      <c r="D14" s="1816">
        <v>2.5000000000000001E-2</v>
      </c>
    </row>
    <row r="15" spans="1:4" ht="16.5">
      <c r="A15" s="1813" t="s">
        <v>2797</v>
      </c>
      <c r="B15" s="1814" t="s">
        <v>2798</v>
      </c>
      <c r="C15" s="1815">
        <v>0.03</v>
      </c>
      <c r="D15" s="1816">
        <v>0.03</v>
      </c>
    </row>
    <row r="16" spans="1:4" ht="16.5">
      <c r="A16" s="1813" t="s">
        <v>2799</v>
      </c>
      <c r="B16" s="1814" t="s">
        <v>2800</v>
      </c>
      <c r="C16" s="1815">
        <v>0.08</v>
      </c>
      <c r="D16" s="1816">
        <v>0.08</v>
      </c>
    </row>
    <row r="17" spans="1:4" ht="16.5">
      <c r="A17" s="1813" t="s">
        <v>2801</v>
      </c>
      <c r="B17" s="1814" t="s">
        <v>2802</v>
      </c>
      <c r="C17" s="1815">
        <v>0</v>
      </c>
      <c r="D17" s="1816">
        <v>0</v>
      </c>
    </row>
    <row r="18" spans="1:4" ht="16.5">
      <c r="A18" s="1817" t="s">
        <v>2803</v>
      </c>
      <c r="B18" s="1818" t="s">
        <v>37</v>
      </c>
      <c r="C18" s="1819">
        <v>0.36800000000000005</v>
      </c>
      <c r="D18" s="1820">
        <v>0.36800000000000005</v>
      </c>
    </row>
    <row r="19" spans="1:4" ht="16.5">
      <c r="A19" s="1821" t="s">
        <v>2804</v>
      </c>
      <c r="B19" s="1822"/>
      <c r="C19" s="1822"/>
      <c r="D19" s="1823"/>
    </row>
    <row r="20" spans="1:4" ht="16.5">
      <c r="A20" s="1813" t="s">
        <v>2805</v>
      </c>
      <c r="B20" s="1814" t="s">
        <v>2806</v>
      </c>
      <c r="C20" s="1815">
        <v>0.1777</v>
      </c>
      <c r="D20" s="1816" t="s">
        <v>2807</v>
      </c>
    </row>
    <row r="21" spans="1:4" ht="16.5">
      <c r="A21" s="1813" t="s">
        <v>2808</v>
      </c>
      <c r="B21" s="1814" t="s">
        <v>2809</v>
      </c>
      <c r="C21" s="1815">
        <v>3.6700000000000003E-2</v>
      </c>
      <c r="D21" s="1816" t="s">
        <v>2807</v>
      </c>
    </row>
    <row r="22" spans="1:4" ht="16.5">
      <c r="A22" s="1813" t="s">
        <v>2810</v>
      </c>
      <c r="B22" s="1814" t="s">
        <v>2811</v>
      </c>
      <c r="C22" s="1815">
        <v>8.6999999999999994E-3</v>
      </c>
      <c r="D22" s="1816">
        <v>6.6E-3</v>
      </c>
    </row>
    <row r="23" spans="1:4" ht="16.5">
      <c r="A23" s="1813" t="s">
        <v>2812</v>
      </c>
      <c r="B23" s="1814" t="s">
        <v>2813</v>
      </c>
      <c r="C23" s="1815">
        <v>0.11</v>
      </c>
      <c r="D23" s="1816">
        <v>8.3299999999999999E-2</v>
      </c>
    </row>
    <row r="24" spans="1:4" ht="16.5">
      <c r="A24" s="1813" t="s">
        <v>2814</v>
      </c>
      <c r="B24" s="1814" t="s">
        <v>2815</v>
      </c>
      <c r="C24" s="1815">
        <v>7.000000000000001E-4</v>
      </c>
      <c r="D24" s="1816">
        <v>5.9999999999999995E-4</v>
      </c>
    </row>
    <row r="25" spans="1:4" ht="16.5">
      <c r="A25" s="1813" t="s">
        <v>2816</v>
      </c>
      <c r="B25" s="1814" t="s">
        <v>2817</v>
      </c>
      <c r="C25" s="1815">
        <v>7.3000000000000001E-3</v>
      </c>
      <c r="D25" s="1816">
        <v>5.5999999999999999E-3</v>
      </c>
    </row>
    <row r="26" spans="1:4" ht="16.5">
      <c r="A26" s="1813" t="s">
        <v>2818</v>
      </c>
      <c r="B26" s="1814" t="s">
        <v>2819</v>
      </c>
      <c r="C26" s="1815">
        <v>1.17E-2</v>
      </c>
      <c r="D26" s="1816" t="s">
        <v>2807</v>
      </c>
    </row>
    <row r="27" spans="1:4" ht="16.5">
      <c r="A27" s="1813" t="s">
        <v>2820</v>
      </c>
      <c r="B27" s="1814" t="s">
        <v>2821</v>
      </c>
      <c r="C27" s="1815">
        <v>1.1000000000000001E-3</v>
      </c>
      <c r="D27" s="1816">
        <v>8.0000000000000004E-4</v>
      </c>
    </row>
    <row r="28" spans="1:4" ht="16.5">
      <c r="A28" s="1813" t="s">
        <v>2822</v>
      </c>
      <c r="B28" s="1814" t="s">
        <v>2823</v>
      </c>
      <c r="C28" s="1815">
        <v>0.12670000000000001</v>
      </c>
      <c r="D28" s="1816">
        <v>9.6000000000000002E-2</v>
      </c>
    </row>
    <row r="29" spans="1:4" ht="16.5">
      <c r="A29" s="1813" t="s">
        <v>2824</v>
      </c>
      <c r="B29" s="1814" t="s">
        <v>2825</v>
      </c>
      <c r="C29" s="1815">
        <v>2.9999999999999997E-4</v>
      </c>
      <c r="D29" s="1816">
        <v>2.0000000000000001E-4</v>
      </c>
    </row>
    <row r="30" spans="1:4" ht="16.5">
      <c r="A30" s="1817" t="s">
        <v>2826</v>
      </c>
      <c r="B30" s="1818" t="s">
        <v>37</v>
      </c>
      <c r="C30" s="1819">
        <v>0.48089999999999994</v>
      </c>
      <c r="D30" s="1820">
        <v>0.19309999999999999</v>
      </c>
    </row>
    <row r="31" spans="1:4" ht="16.5">
      <c r="A31" s="1821" t="s">
        <v>2827</v>
      </c>
      <c r="B31" s="1822"/>
      <c r="C31" s="1822"/>
      <c r="D31" s="1823"/>
    </row>
    <row r="32" spans="1:4" ht="16.5">
      <c r="A32" s="1813" t="s">
        <v>2828</v>
      </c>
      <c r="B32" s="1814" t="s">
        <v>2829</v>
      </c>
      <c r="C32" s="1815">
        <v>0.06</v>
      </c>
      <c r="D32" s="1816">
        <v>4.5499999999999999E-2</v>
      </c>
    </row>
    <row r="33" spans="1:4" ht="16.5">
      <c r="A33" s="1813" t="s">
        <v>2830</v>
      </c>
      <c r="B33" s="1814" t="s">
        <v>2831</v>
      </c>
      <c r="C33" s="1815">
        <v>1.4E-3</v>
      </c>
      <c r="D33" s="1816">
        <v>1.1000000000000001E-3</v>
      </c>
    </row>
    <row r="34" spans="1:4" ht="16.5">
      <c r="A34" s="1813" t="s">
        <v>2832</v>
      </c>
      <c r="B34" s="1814" t="s">
        <v>2833</v>
      </c>
      <c r="C34" s="1815">
        <v>1.6500000000000001E-2</v>
      </c>
      <c r="D34" s="1816">
        <v>1.2500000000000001E-2</v>
      </c>
    </row>
    <row r="35" spans="1:4" ht="16.5">
      <c r="A35" s="1813" t="s">
        <v>2834</v>
      </c>
      <c r="B35" s="1814" t="s">
        <v>2835</v>
      </c>
      <c r="C35" s="1815">
        <v>3.0300000000000001E-2</v>
      </c>
      <c r="D35" s="1816">
        <v>2.3E-2</v>
      </c>
    </row>
    <row r="36" spans="1:4" ht="16.5">
      <c r="A36" s="1813" t="s">
        <v>2836</v>
      </c>
      <c r="B36" s="1814" t="s">
        <v>2837</v>
      </c>
      <c r="C36" s="1815">
        <v>5.1000000000000004E-3</v>
      </c>
      <c r="D36" s="1816">
        <v>3.8E-3</v>
      </c>
    </row>
    <row r="37" spans="1:4" ht="16.5">
      <c r="A37" s="1817" t="s">
        <v>2838</v>
      </c>
      <c r="B37" s="1818" t="s">
        <v>37</v>
      </c>
      <c r="C37" s="1819">
        <v>0.11329999999999998</v>
      </c>
      <c r="D37" s="1820">
        <v>8.5900000000000004E-2</v>
      </c>
    </row>
    <row r="38" spans="1:4" ht="16.5">
      <c r="A38" s="1821" t="s">
        <v>2839</v>
      </c>
      <c r="B38" s="1822"/>
      <c r="C38" s="1822"/>
      <c r="D38" s="1823"/>
    </row>
    <row r="39" spans="1:4" ht="16.5">
      <c r="A39" s="1813" t="s">
        <v>2840</v>
      </c>
      <c r="B39" s="1814" t="s">
        <v>2841</v>
      </c>
      <c r="C39" s="1815">
        <v>0.17699999999999999</v>
      </c>
      <c r="D39" s="1816">
        <v>7.1099999999999997E-2</v>
      </c>
    </row>
    <row r="40" spans="1:4" ht="49.5">
      <c r="A40" s="1813" t="s">
        <v>2842</v>
      </c>
      <c r="B40" s="1814" t="s">
        <v>2843</v>
      </c>
      <c r="C40" s="1815">
        <v>5.3E-3</v>
      </c>
      <c r="D40" s="1816">
        <v>4.0000000000000001E-3</v>
      </c>
    </row>
    <row r="41" spans="1:4" ht="16.5">
      <c r="A41" s="1817" t="s">
        <v>2844</v>
      </c>
      <c r="B41" s="1818" t="s">
        <v>37</v>
      </c>
      <c r="C41" s="1819">
        <v>0.18229999999999999</v>
      </c>
      <c r="D41" s="1820">
        <v>7.51E-2</v>
      </c>
    </row>
    <row r="42" spans="1:4" ht="17.25" thickBot="1">
      <c r="A42" s="1824" t="s">
        <v>2845</v>
      </c>
      <c r="B42" s="1825"/>
      <c r="C42" s="1826">
        <v>1.1445000000000001</v>
      </c>
      <c r="D42" s="1827">
        <v>0.72209999999999996</v>
      </c>
    </row>
    <row r="44" spans="1:4">
      <c r="D44" s="1828" t="str">
        <f>'RESUMO SEM DESONERAÇÃO'!$E$41</f>
        <v>CUIABÁ-MT, 15 DE MAIO DE 2023.</v>
      </c>
    </row>
    <row r="45" spans="1:4">
      <c r="A45" s="1916" t="s">
        <v>2846</v>
      </c>
      <c r="B45" s="1916"/>
      <c r="C45" s="1916"/>
      <c r="D45" s="1916"/>
    </row>
    <row r="46" spans="1:4">
      <c r="A46" s="1916" t="str">
        <f>'RESUMO SEM DESONERAÇÃO'!$A$48:$E$48</f>
        <v>PAULO PAZETO MEDEIROS</v>
      </c>
      <c r="B46" s="1916"/>
      <c r="C46" s="1916"/>
      <c r="D46" s="1916"/>
    </row>
    <row r="47" spans="1:4">
      <c r="A47" s="1916" t="str">
        <f>'RESUMO SEM DESONERAÇÃO'!$A$49:$E$49</f>
        <v>DIRETOR/ENGENHEIRO CIVIL</v>
      </c>
      <c r="B47" s="1916"/>
      <c r="C47" s="1916"/>
      <c r="D47" s="1916"/>
    </row>
    <row r="48" spans="1:4">
      <c r="A48" s="1916" t="str">
        <f>'RESUMO SEM DESONERAÇÃO'!$A$50:$E$50</f>
        <v>CREA MT034442</v>
      </c>
      <c r="B48" s="1916"/>
      <c r="C48" s="1916"/>
      <c r="D48" s="1916"/>
    </row>
    <row r="49" spans="1:4">
      <c r="A49" s="1916" t="str">
        <f>'RESUMO SEM DESONERAÇÃO'!$A$51:$E$51</f>
        <v>CPF 037.578.081-50</v>
      </c>
      <c r="B49" s="1916"/>
      <c r="C49" s="1916"/>
      <c r="D49" s="1916"/>
    </row>
  </sheetData>
  <mergeCells count="14">
    <mergeCell ref="A49:D49"/>
    <mergeCell ref="A1:D1"/>
    <mergeCell ref="A2:D2"/>
    <mergeCell ref="A3:D3"/>
    <mergeCell ref="A4:C4"/>
    <mergeCell ref="A5:D5"/>
    <mergeCell ref="A6:A7"/>
    <mergeCell ref="B6:B7"/>
    <mergeCell ref="C6:D6"/>
    <mergeCell ref="A8:D8"/>
    <mergeCell ref="A45:D45"/>
    <mergeCell ref="A46:D46"/>
    <mergeCell ref="A47:D47"/>
    <mergeCell ref="A48:D48"/>
  </mergeCells>
  <conditionalFormatting sqref="A9:D17">
    <cfRule type="expression" dxfId="7" priority="7">
      <formula>EVEN(ROW())=ROW()</formula>
    </cfRule>
  </conditionalFormatting>
  <conditionalFormatting sqref="A20:D29">
    <cfRule type="expression" dxfId="6" priority="6">
      <formula>EVEN(ROW())=ROW()</formula>
    </cfRule>
  </conditionalFormatting>
  <conditionalFormatting sqref="A32:D36">
    <cfRule type="expression" dxfId="5" priority="5">
      <formula>EVEN(ROW())=ROW()</formula>
    </cfRule>
  </conditionalFormatting>
  <conditionalFormatting sqref="A39:D41">
    <cfRule type="expression" dxfId="4" priority="4">
      <formula>EVEN(ROW())=ROW()</formula>
    </cfRule>
  </conditionalFormatting>
  <conditionalFormatting sqref="A37:D37">
    <cfRule type="expression" dxfId="3" priority="3">
      <formula>EVEN(ROW())=ROW()</formula>
    </cfRule>
  </conditionalFormatting>
  <conditionalFormatting sqref="A30:D30">
    <cfRule type="expression" dxfId="2" priority="2">
      <formula>EVEN(ROW())=ROW()</formula>
    </cfRule>
  </conditionalFormatting>
  <conditionalFormatting sqref="A18:D18">
    <cfRule type="expression" dxfId="1" priority="1">
      <formula>EVEN(ROW())=ROW()</formula>
    </cfRule>
  </conditionalFormatting>
  <printOptions horizontalCentered="1"/>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444"/>
  <sheetViews>
    <sheetView workbookViewId="0">
      <selection activeCell="G7" sqref="G7"/>
    </sheetView>
  </sheetViews>
  <sheetFormatPr defaultRowHeight="15"/>
  <cols>
    <col min="1" max="1" width="19.85546875" customWidth="1"/>
    <col min="2" max="2" width="22.42578125" customWidth="1"/>
    <col min="3" max="3" width="14.140625" customWidth="1"/>
    <col min="4" max="4" width="13.7109375" customWidth="1"/>
    <col min="5" max="6" width="13.140625" customWidth="1"/>
    <col min="7" max="7" width="15.85546875" customWidth="1"/>
    <col min="9" max="9" width="11.85546875" customWidth="1"/>
    <col min="10" max="10" width="12.28515625" customWidth="1"/>
    <col min="11" max="11" width="11.28515625" customWidth="1"/>
  </cols>
  <sheetData>
    <row r="1" spans="1:13">
      <c r="A1" s="2412" t="s">
        <v>130</v>
      </c>
      <c r="B1" s="2413"/>
      <c r="C1" s="2413"/>
      <c r="D1" s="2413"/>
      <c r="E1" s="2413"/>
      <c r="F1" s="2413"/>
      <c r="G1" s="2414"/>
      <c r="H1" s="652"/>
      <c r="I1" s="652"/>
      <c r="J1" s="652"/>
      <c r="K1" s="652"/>
      <c r="L1" s="652"/>
      <c r="M1" s="652"/>
    </row>
    <row r="2" spans="1:13">
      <c r="A2" s="2415" t="s">
        <v>270</v>
      </c>
      <c r="B2" s="2416"/>
      <c r="C2" s="2416"/>
      <c r="D2" s="2416"/>
      <c r="E2" s="2416"/>
      <c r="F2" s="2416"/>
      <c r="G2" s="2204"/>
      <c r="H2" s="652"/>
      <c r="I2" s="652"/>
      <c r="J2" s="652"/>
      <c r="K2" s="652"/>
      <c r="L2" s="652"/>
      <c r="M2" s="652"/>
    </row>
    <row r="3" spans="1:13">
      <c r="A3" s="2415" t="s">
        <v>255</v>
      </c>
      <c r="B3" s="2416"/>
      <c r="C3" s="2416"/>
      <c r="D3" s="2416"/>
      <c r="E3" s="2416"/>
      <c r="F3" s="2416"/>
      <c r="G3" s="2204"/>
      <c r="H3" s="652"/>
      <c r="I3" s="652"/>
      <c r="J3" s="652"/>
      <c r="K3" s="652"/>
      <c r="L3" s="652"/>
      <c r="M3" s="652"/>
    </row>
    <row r="4" spans="1:13">
      <c r="A4" s="653"/>
      <c r="B4" s="654"/>
      <c r="C4" s="654"/>
      <c r="D4" s="654"/>
      <c r="E4" s="654"/>
      <c r="F4" s="654"/>
      <c r="G4" s="655"/>
      <c r="H4" s="652"/>
      <c r="I4" s="652"/>
      <c r="J4" s="652"/>
      <c r="K4" s="652"/>
      <c r="L4" s="652"/>
      <c r="M4" s="652"/>
    </row>
    <row r="5" spans="1:13">
      <c r="A5" s="656" t="s">
        <v>271</v>
      </c>
      <c r="B5" s="2417" t="s">
        <v>597</v>
      </c>
      <c r="C5" s="2417"/>
      <c r="D5" s="2417"/>
      <c r="E5" s="2417"/>
      <c r="F5" s="2417"/>
      <c r="G5" s="657"/>
      <c r="H5" s="652"/>
      <c r="I5" s="652"/>
      <c r="J5" s="652"/>
      <c r="K5" s="652"/>
      <c r="L5" s="652"/>
      <c r="M5" s="652"/>
    </row>
    <row r="6" spans="1:13">
      <c r="A6" s="656" t="s">
        <v>272</v>
      </c>
      <c r="B6" s="2418" t="s">
        <v>598</v>
      </c>
      <c r="C6" s="2418"/>
      <c r="D6" s="2418"/>
      <c r="E6" s="2418"/>
      <c r="F6" s="658" t="s">
        <v>273</v>
      </c>
      <c r="G6" s="659"/>
      <c r="H6" s="652"/>
      <c r="I6" s="652"/>
      <c r="J6" s="652"/>
      <c r="K6" s="652"/>
      <c r="L6" s="652"/>
      <c r="M6" s="652"/>
    </row>
    <row r="7" spans="1:13">
      <c r="A7" s="660" t="s">
        <v>274</v>
      </c>
      <c r="B7" s="661" t="s">
        <v>599</v>
      </c>
      <c r="C7" s="661"/>
      <c r="D7" s="661"/>
      <c r="E7" s="661"/>
      <c r="F7" s="662" t="s">
        <v>275</v>
      </c>
      <c r="G7" s="663" t="s">
        <v>600</v>
      </c>
      <c r="H7" s="652"/>
      <c r="I7" s="652"/>
      <c r="J7" s="652"/>
      <c r="K7" s="652"/>
      <c r="L7" s="652"/>
      <c r="M7" s="652"/>
    </row>
    <row r="8" spans="1:13" ht="15.75" thickBot="1">
      <c r="A8" s="957" t="s">
        <v>276</v>
      </c>
      <c r="B8" s="898" t="s">
        <v>589</v>
      </c>
      <c r="C8" s="898"/>
      <c r="D8" s="898"/>
      <c r="E8" s="898"/>
      <c r="F8" s="958"/>
      <c r="G8" s="959"/>
      <c r="H8" s="652"/>
      <c r="I8" s="652"/>
      <c r="J8" s="652"/>
      <c r="K8" s="652"/>
      <c r="L8" s="652"/>
      <c r="M8" s="652"/>
    </row>
    <row r="9" spans="1:13" ht="15.75" thickBot="1">
      <c r="A9" s="2419" t="s">
        <v>601</v>
      </c>
      <c r="B9" s="2420"/>
      <c r="C9" s="2420"/>
      <c r="D9" s="2420"/>
      <c r="E9" s="2420"/>
      <c r="F9" s="2420"/>
      <c r="G9" s="2421"/>
      <c r="H9" s="652"/>
      <c r="I9" s="652"/>
      <c r="J9" s="652"/>
      <c r="K9" s="652"/>
      <c r="L9" s="652"/>
      <c r="M9" s="652"/>
    </row>
    <row r="10" spans="1:13" ht="15.75" thickBot="1">
      <c r="A10" s="666" t="s">
        <v>253</v>
      </c>
      <c r="B10" s="2163" t="s">
        <v>277</v>
      </c>
      <c r="C10" s="2164"/>
      <c r="D10" s="2164"/>
      <c r="E10" s="2164"/>
      <c r="F10" s="2164"/>
      <c r="G10" s="2165"/>
      <c r="H10" s="652"/>
      <c r="I10" s="667" t="s">
        <v>426</v>
      </c>
      <c r="J10" s="652"/>
      <c r="K10" s="652"/>
      <c r="L10" s="652"/>
      <c r="M10" s="652"/>
    </row>
    <row r="11" spans="1:13" ht="15.75" thickBot="1">
      <c r="A11" s="668"/>
      <c r="B11" s="669"/>
      <c r="C11" s="669"/>
      <c r="D11" s="669"/>
      <c r="E11" s="669"/>
      <c r="F11" s="669"/>
      <c r="G11" s="670"/>
      <c r="H11" s="652"/>
      <c r="I11" s="652"/>
      <c r="J11" s="652"/>
      <c r="K11" s="652"/>
      <c r="L11" s="652"/>
      <c r="M11" s="652"/>
    </row>
    <row r="12" spans="1:13" ht="15.75" thickBot="1">
      <c r="A12" s="666" t="s">
        <v>14</v>
      </c>
      <c r="B12" s="2163" t="s">
        <v>120</v>
      </c>
      <c r="C12" s="2164"/>
      <c r="D12" s="2164"/>
      <c r="E12" s="2164"/>
      <c r="F12" s="2164"/>
      <c r="G12" s="2165"/>
      <c r="H12" s="652"/>
      <c r="I12" s="667" t="s">
        <v>426</v>
      </c>
      <c r="J12" s="652"/>
      <c r="K12" s="652"/>
      <c r="L12" s="652"/>
      <c r="M12" s="652"/>
    </row>
    <row r="13" spans="1:13" ht="15.75" thickBot="1">
      <c r="A13" s="671"/>
      <c r="B13" s="672"/>
      <c r="C13" s="672"/>
      <c r="D13" s="672"/>
      <c r="E13" s="672"/>
      <c r="F13" s="672"/>
      <c r="G13" s="673"/>
      <c r="H13" s="652"/>
      <c r="I13" s="652"/>
      <c r="J13" s="652"/>
      <c r="K13" s="652"/>
      <c r="L13" s="652"/>
      <c r="M13" s="652"/>
    </row>
    <row r="14" spans="1:13" ht="15.75" thickBot="1">
      <c r="A14" s="666" t="s">
        <v>175</v>
      </c>
      <c r="B14" s="2163" t="s">
        <v>278</v>
      </c>
      <c r="C14" s="2164"/>
      <c r="D14" s="2164"/>
      <c r="E14" s="2164"/>
      <c r="F14" s="2164"/>
      <c r="G14" s="2165"/>
      <c r="H14" s="652"/>
      <c r="I14" s="652"/>
      <c r="J14" s="652"/>
      <c r="K14" s="652"/>
      <c r="L14" s="652"/>
      <c r="M14" s="652"/>
    </row>
    <row r="15" spans="1:13">
      <c r="A15" s="2166" t="s">
        <v>279</v>
      </c>
      <c r="B15" s="2167"/>
      <c r="C15" s="2167"/>
      <c r="D15" s="2167"/>
      <c r="E15" s="2167"/>
      <c r="F15" s="2167"/>
      <c r="G15" s="2168"/>
      <c r="H15" s="652"/>
      <c r="I15" s="652"/>
      <c r="J15" s="652"/>
      <c r="K15" s="652"/>
      <c r="L15" s="652"/>
      <c r="M15" s="652"/>
    </row>
    <row r="16" spans="1:13">
      <c r="A16" s="2247" t="s">
        <v>280</v>
      </c>
      <c r="B16" s="2403"/>
      <c r="C16" s="2403"/>
      <c r="D16" s="2403"/>
      <c r="E16" s="2403"/>
      <c r="F16" s="2403"/>
      <c r="G16" s="2404"/>
      <c r="H16" s="652"/>
      <c r="I16" s="652"/>
      <c r="J16" s="652"/>
      <c r="K16" s="652"/>
      <c r="L16" s="652"/>
      <c r="M16" s="652"/>
    </row>
    <row r="17" spans="1:13">
      <c r="A17" s="2405"/>
      <c r="B17" s="2406"/>
      <c r="C17" s="674" t="s">
        <v>281</v>
      </c>
      <c r="D17" s="2407" t="s">
        <v>282</v>
      </c>
      <c r="E17" s="2407"/>
      <c r="F17" s="2407"/>
      <c r="G17" s="2408"/>
      <c r="H17" s="652"/>
      <c r="I17" s="652"/>
      <c r="J17" s="652"/>
      <c r="K17" s="652"/>
      <c r="L17" s="652"/>
      <c r="M17" s="652"/>
    </row>
    <row r="18" spans="1:13" ht="27.75" customHeight="1">
      <c r="A18" s="2405"/>
      <c r="B18" s="2406"/>
      <c r="C18" s="675">
        <f>2.5*5</f>
        <v>12.5</v>
      </c>
      <c r="D18" s="2409" t="s">
        <v>602</v>
      </c>
      <c r="E18" s="2409"/>
      <c r="F18" s="2409"/>
      <c r="G18" s="2410"/>
      <c r="H18" s="652"/>
      <c r="I18" s="652"/>
      <c r="J18" s="652"/>
      <c r="K18" s="652"/>
      <c r="L18" s="652"/>
      <c r="M18" s="652"/>
    </row>
    <row r="19" spans="1:13" ht="15.75" thickBot="1">
      <c r="A19" s="2426" t="s">
        <v>283</v>
      </c>
      <c r="B19" s="2427"/>
      <c r="C19" s="676">
        <f>SUM(C18:C18)</f>
        <v>12.5</v>
      </c>
      <c r="D19" s="2428"/>
      <c r="E19" s="2429"/>
      <c r="F19" s="2429"/>
      <c r="G19" s="2430"/>
      <c r="H19" s="652"/>
      <c r="I19" s="652"/>
      <c r="J19" s="652"/>
      <c r="K19" s="652"/>
      <c r="L19" s="652"/>
      <c r="M19" s="652"/>
    </row>
    <row r="20" spans="1:13" ht="15.75" thickBot="1">
      <c r="A20" s="671"/>
      <c r="B20" s="677"/>
      <c r="C20" s="678"/>
      <c r="D20" s="679"/>
      <c r="E20" s="679"/>
      <c r="F20" s="679"/>
      <c r="G20" s="680"/>
      <c r="H20" s="652"/>
      <c r="I20" s="652"/>
      <c r="J20" s="652"/>
      <c r="K20" s="652"/>
      <c r="L20" s="652"/>
      <c r="M20" s="652"/>
    </row>
    <row r="21" spans="1:13" ht="15.75" thickBot="1">
      <c r="A21" s="666" t="s">
        <v>176</v>
      </c>
      <c r="B21" s="2163" t="s">
        <v>603</v>
      </c>
      <c r="C21" s="2164"/>
      <c r="D21" s="2164"/>
      <c r="E21" s="2164"/>
      <c r="F21" s="2164"/>
      <c r="G21" s="2165"/>
      <c r="H21" s="652"/>
      <c r="I21" s="667" t="s">
        <v>426</v>
      </c>
      <c r="J21" s="652"/>
      <c r="K21" s="652"/>
      <c r="L21" s="652"/>
      <c r="M21" s="652"/>
    </row>
    <row r="22" spans="1:13">
      <c r="A22" s="2249" t="s">
        <v>279</v>
      </c>
      <c r="B22" s="2431"/>
      <c r="C22" s="2431"/>
      <c r="D22" s="2431"/>
      <c r="E22" s="2431"/>
      <c r="F22" s="2431"/>
      <c r="G22" s="2432"/>
      <c r="H22" s="652"/>
      <c r="I22" s="652"/>
      <c r="J22" s="652"/>
      <c r="K22" s="652"/>
      <c r="L22" s="652"/>
      <c r="M22" s="652"/>
    </row>
    <row r="23" spans="1:13">
      <c r="A23" s="2433" t="s">
        <v>604</v>
      </c>
      <c r="B23" s="2434"/>
      <c r="C23" s="2434"/>
      <c r="D23" s="2434"/>
      <c r="E23" s="2434"/>
      <c r="F23" s="2434"/>
      <c r="G23" s="2435"/>
      <c r="H23" s="652"/>
      <c r="I23" s="652"/>
      <c r="J23" s="652"/>
      <c r="K23" s="652"/>
      <c r="L23" s="652"/>
      <c r="M23" s="652"/>
    </row>
    <row r="24" spans="1:13">
      <c r="A24" s="681" t="s">
        <v>298</v>
      </c>
      <c r="B24" s="682" t="s">
        <v>605</v>
      </c>
      <c r="C24" s="683" t="s">
        <v>338</v>
      </c>
      <c r="D24" s="682" t="s">
        <v>286</v>
      </c>
      <c r="E24" s="2174" t="s">
        <v>282</v>
      </c>
      <c r="F24" s="2175"/>
      <c r="G24" s="2176"/>
      <c r="H24" s="652"/>
      <c r="I24" s="652"/>
      <c r="J24" s="652"/>
      <c r="K24" s="652"/>
      <c r="L24" s="652"/>
      <c r="M24" s="652"/>
    </row>
    <row r="25" spans="1:13" ht="24">
      <c r="A25" s="684" t="s">
        <v>606</v>
      </c>
      <c r="B25" s="685">
        <f>25.29+44.8+73.76+38.45</f>
        <v>182.3</v>
      </c>
      <c r="C25" s="686">
        <v>2</v>
      </c>
      <c r="D25" s="685">
        <f>B25*C25</f>
        <v>364.6</v>
      </c>
      <c r="E25" s="2170" t="s">
        <v>607</v>
      </c>
      <c r="F25" s="2170"/>
      <c r="G25" s="2171"/>
      <c r="H25" s="652"/>
      <c r="I25" s="652"/>
      <c r="J25" s="652"/>
      <c r="K25" s="652"/>
      <c r="L25" s="652"/>
      <c r="M25" s="652"/>
    </row>
    <row r="26" spans="1:13" ht="15.75" thickBot="1">
      <c r="A26" s="2396" t="s">
        <v>283</v>
      </c>
      <c r="B26" s="2308"/>
      <c r="C26" s="2397"/>
      <c r="D26" s="687">
        <f>D25</f>
        <v>364.6</v>
      </c>
      <c r="E26" s="687"/>
      <c r="F26" s="687"/>
      <c r="G26" s="688"/>
      <c r="H26" s="652"/>
      <c r="I26" s="652"/>
      <c r="J26" s="652"/>
      <c r="K26" s="652"/>
      <c r="L26" s="652"/>
      <c r="M26" s="652"/>
    </row>
    <row r="27" spans="1:13" ht="15.75" thickBot="1">
      <c r="A27" s="689"/>
      <c r="B27" s="690"/>
      <c r="C27" s="690"/>
      <c r="D27" s="691"/>
      <c r="E27" s="691"/>
      <c r="F27" s="691"/>
      <c r="G27" s="692"/>
      <c r="H27" s="652"/>
      <c r="I27" s="652"/>
      <c r="J27" s="652"/>
      <c r="K27" s="652"/>
      <c r="L27" s="652"/>
      <c r="M27" s="652"/>
    </row>
    <row r="28" spans="1:13" ht="29.25" customHeight="1" thickBot="1">
      <c r="A28" s="693" t="s">
        <v>177</v>
      </c>
      <c r="B28" s="2398" t="s">
        <v>608</v>
      </c>
      <c r="C28" s="2399"/>
      <c r="D28" s="2399"/>
      <c r="E28" s="2399"/>
      <c r="F28" s="2399"/>
      <c r="G28" s="2400"/>
      <c r="H28" s="652"/>
      <c r="I28" s="667" t="s">
        <v>426</v>
      </c>
      <c r="J28" s="652"/>
      <c r="K28" s="652"/>
      <c r="L28" s="652"/>
      <c r="M28" s="652"/>
    </row>
    <row r="29" spans="1:13">
      <c r="A29" s="2182" t="s">
        <v>279</v>
      </c>
      <c r="B29" s="2183"/>
      <c r="C29" s="2183"/>
      <c r="D29" s="2183"/>
      <c r="E29" s="2183"/>
      <c r="F29" s="2183"/>
      <c r="G29" s="2184"/>
      <c r="H29" s="652"/>
      <c r="I29" s="652"/>
      <c r="J29" s="652"/>
      <c r="K29" s="652"/>
      <c r="L29" s="652"/>
      <c r="M29" s="652"/>
    </row>
    <row r="30" spans="1:13">
      <c r="A30" s="2383" t="s">
        <v>604</v>
      </c>
      <c r="B30" s="2384"/>
      <c r="C30" s="2384"/>
      <c r="D30" s="2384"/>
      <c r="E30" s="2384"/>
      <c r="F30" s="2384"/>
      <c r="G30" s="2385"/>
      <c r="H30" s="652"/>
      <c r="I30" s="652"/>
      <c r="J30" s="652"/>
      <c r="K30" s="652"/>
      <c r="L30" s="652"/>
      <c r="M30" s="652"/>
    </row>
    <row r="31" spans="1:13">
      <c r="A31" s="694" t="s">
        <v>284</v>
      </c>
      <c r="B31" s="2386" t="s">
        <v>285</v>
      </c>
      <c r="C31" s="2387"/>
      <c r="D31" s="695" t="s">
        <v>286</v>
      </c>
      <c r="E31" s="2386" t="s">
        <v>282</v>
      </c>
      <c r="F31" s="2388"/>
      <c r="G31" s="2389"/>
      <c r="H31" s="652"/>
      <c r="I31" s="652"/>
      <c r="J31" s="652"/>
      <c r="K31" s="652"/>
      <c r="L31" s="652"/>
      <c r="M31" s="652"/>
    </row>
    <row r="32" spans="1:13">
      <c r="A32" s="696" t="s">
        <v>609</v>
      </c>
      <c r="B32" s="2179" t="s">
        <v>610</v>
      </c>
      <c r="C32" s="2153"/>
      <c r="D32" s="697">
        <f>4.25*3.2</f>
        <v>13.600000000000001</v>
      </c>
      <c r="E32" s="2258" t="s">
        <v>287</v>
      </c>
      <c r="F32" s="2259"/>
      <c r="G32" s="2260"/>
      <c r="H32" s="698"/>
      <c r="I32" s="652"/>
      <c r="J32" s="652"/>
      <c r="K32" s="652"/>
      <c r="L32" s="652"/>
      <c r="M32" s="652"/>
    </row>
    <row r="33" spans="1:13">
      <c r="A33" s="699" t="s">
        <v>611</v>
      </c>
      <c r="B33" s="2237" t="s">
        <v>612</v>
      </c>
      <c r="C33" s="2425"/>
      <c r="D33" s="700">
        <f>3*3</f>
        <v>9</v>
      </c>
      <c r="E33" s="2261"/>
      <c r="F33" s="2262"/>
      <c r="G33" s="2263"/>
      <c r="H33" s="698"/>
      <c r="I33" s="652"/>
      <c r="J33" s="652"/>
      <c r="K33" s="652"/>
      <c r="L33" s="652"/>
      <c r="M33" s="652"/>
    </row>
    <row r="34" spans="1:13">
      <c r="A34" s="699" t="s">
        <v>613</v>
      </c>
      <c r="B34" s="2237" t="s">
        <v>614</v>
      </c>
      <c r="C34" s="2425"/>
      <c r="D34" s="700">
        <f>(4.25*5.5)</f>
        <v>23.375</v>
      </c>
      <c r="E34" s="2261"/>
      <c r="F34" s="2262"/>
      <c r="G34" s="2263"/>
      <c r="H34" s="698"/>
      <c r="I34" s="652"/>
      <c r="J34" s="652"/>
      <c r="K34" s="652"/>
      <c r="L34" s="652"/>
      <c r="M34" s="652"/>
    </row>
    <row r="35" spans="1:13">
      <c r="A35" s="699" t="s">
        <v>615</v>
      </c>
      <c r="B35" s="2237" t="s">
        <v>288</v>
      </c>
      <c r="C35" s="2425"/>
      <c r="D35" s="700">
        <f>(4.25*5.5)</f>
        <v>23.375</v>
      </c>
      <c r="E35" s="2422"/>
      <c r="F35" s="2423"/>
      <c r="G35" s="2424"/>
      <c r="H35" s="698"/>
      <c r="I35" s="652"/>
      <c r="J35" s="652"/>
      <c r="K35" s="652"/>
      <c r="L35" s="652"/>
      <c r="M35" s="652"/>
    </row>
    <row r="36" spans="1:13" ht="15.75" thickBot="1">
      <c r="A36" s="701"/>
      <c r="B36" s="702"/>
      <c r="C36" s="703" t="s">
        <v>283</v>
      </c>
      <c r="D36" s="704">
        <f>SUM(D32:D35)</f>
        <v>69.349999999999994</v>
      </c>
      <c r="E36" s="705"/>
      <c r="F36" s="706"/>
      <c r="G36" s="707"/>
      <c r="H36" s="652"/>
      <c r="I36" s="652"/>
      <c r="J36" s="652"/>
      <c r="K36" s="652"/>
      <c r="L36" s="652"/>
      <c r="M36" s="652"/>
    </row>
    <row r="37" spans="1:13" ht="15.75" thickBot="1">
      <c r="A37" s="708"/>
      <c r="B37" s="709"/>
      <c r="C37" s="710"/>
      <c r="D37" s="711"/>
      <c r="E37" s="711"/>
      <c r="F37" s="711"/>
      <c r="G37" s="712"/>
      <c r="H37" s="652"/>
      <c r="I37" s="652"/>
      <c r="J37" s="652"/>
      <c r="K37" s="652"/>
      <c r="L37" s="652"/>
      <c r="M37" s="652"/>
    </row>
    <row r="38" spans="1:13" ht="15.75" thickBot="1">
      <c r="A38" s="666" t="s">
        <v>178</v>
      </c>
      <c r="B38" s="2163" t="s">
        <v>289</v>
      </c>
      <c r="C38" s="2164"/>
      <c r="D38" s="2164"/>
      <c r="E38" s="2164"/>
      <c r="F38" s="2164"/>
      <c r="G38" s="2165"/>
      <c r="H38" s="652"/>
      <c r="I38" s="667" t="s">
        <v>426</v>
      </c>
      <c r="J38" s="652"/>
      <c r="K38" s="652"/>
      <c r="L38" s="652"/>
      <c r="M38" s="652"/>
    </row>
    <row r="39" spans="1:13">
      <c r="A39" s="2182" t="s">
        <v>279</v>
      </c>
      <c r="B39" s="2183"/>
      <c r="C39" s="2183"/>
      <c r="D39" s="2183"/>
      <c r="E39" s="2183"/>
      <c r="F39" s="2183"/>
      <c r="G39" s="2184"/>
      <c r="H39" s="652"/>
      <c r="I39" s="652"/>
      <c r="J39" s="652"/>
      <c r="K39" s="652"/>
      <c r="L39" s="652"/>
      <c r="M39" s="652"/>
    </row>
    <row r="40" spans="1:13" ht="15.75" thickBot="1">
      <c r="A40" s="2349" t="s">
        <v>290</v>
      </c>
      <c r="B40" s="2350"/>
      <c r="C40" s="2350"/>
      <c r="D40" s="2350"/>
      <c r="E40" s="2350"/>
      <c r="F40" s="2350"/>
      <c r="G40" s="2351"/>
      <c r="H40" s="652"/>
      <c r="I40" s="652"/>
      <c r="J40" s="652"/>
      <c r="K40" s="652"/>
      <c r="L40" s="652"/>
      <c r="M40" s="652"/>
    </row>
    <row r="41" spans="1:13" ht="15.75" thickBot="1">
      <c r="A41" s="708"/>
      <c r="B41" s="709"/>
      <c r="C41" s="710"/>
      <c r="D41" s="711"/>
      <c r="E41" s="711"/>
      <c r="F41" s="711"/>
      <c r="G41" s="712"/>
      <c r="H41" s="652"/>
      <c r="I41" s="652"/>
      <c r="J41" s="652"/>
      <c r="K41" s="652"/>
      <c r="L41" s="652"/>
      <c r="M41" s="652"/>
    </row>
    <row r="42" spans="1:13" ht="15.75" thickBot="1">
      <c r="A42" s="666" t="s">
        <v>179</v>
      </c>
      <c r="B42" s="2163" t="s">
        <v>291</v>
      </c>
      <c r="C42" s="2164"/>
      <c r="D42" s="2164"/>
      <c r="E42" s="2164"/>
      <c r="F42" s="2164"/>
      <c r="G42" s="2165"/>
      <c r="H42" s="652"/>
      <c r="I42" s="667" t="s">
        <v>426</v>
      </c>
      <c r="J42" s="652"/>
      <c r="K42" s="652"/>
      <c r="L42" s="652"/>
      <c r="M42" s="652"/>
    </row>
    <row r="43" spans="1:13">
      <c r="A43" s="2182" t="s">
        <v>279</v>
      </c>
      <c r="B43" s="2183"/>
      <c r="C43" s="2183"/>
      <c r="D43" s="2183"/>
      <c r="E43" s="2183"/>
      <c r="F43" s="2183"/>
      <c r="G43" s="2184"/>
      <c r="H43" s="652"/>
      <c r="I43" s="652"/>
      <c r="J43" s="652"/>
      <c r="K43" s="652"/>
      <c r="L43" s="652"/>
      <c r="M43" s="652"/>
    </row>
    <row r="44" spans="1:13" ht="15.75" thickBot="1">
      <c r="A44" s="2349" t="s">
        <v>290</v>
      </c>
      <c r="B44" s="2350"/>
      <c r="C44" s="2350"/>
      <c r="D44" s="2350"/>
      <c r="E44" s="2350"/>
      <c r="F44" s="2350"/>
      <c r="G44" s="2351"/>
      <c r="H44" s="652"/>
      <c r="I44" s="652"/>
      <c r="J44" s="652"/>
      <c r="K44" s="652"/>
      <c r="L44" s="652"/>
      <c r="M44" s="652"/>
    </row>
    <row r="45" spans="1:13" ht="15.75" thickBot="1">
      <c r="A45" s="708"/>
      <c r="B45" s="709"/>
      <c r="C45" s="710"/>
      <c r="D45" s="711"/>
      <c r="E45" s="711"/>
      <c r="F45" s="711"/>
      <c r="G45" s="712"/>
      <c r="H45" s="652"/>
      <c r="I45" s="652"/>
      <c r="J45" s="652"/>
      <c r="K45" s="652"/>
      <c r="L45" s="652"/>
      <c r="M45" s="652"/>
    </row>
    <row r="46" spans="1:13" ht="15.75" thickBot="1">
      <c r="A46" s="666" t="s">
        <v>180</v>
      </c>
      <c r="B46" s="2163" t="s">
        <v>198</v>
      </c>
      <c r="C46" s="2164"/>
      <c r="D46" s="2164"/>
      <c r="E46" s="2164"/>
      <c r="F46" s="2164"/>
      <c r="G46" s="2165"/>
      <c r="H46" s="652"/>
      <c r="I46" s="652"/>
      <c r="J46" s="652"/>
      <c r="K46" s="652"/>
      <c r="L46" s="652"/>
      <c r="M46" s="652"/>
    </row>
    <row r="47" spans="1:13">
      <c r="A47" s="2205" t="s">
        <v>279</v>
      </c>
      <c r="B47" s="2206"/>
      <c r="C47" s="2206"/>
      <c r="D47" s="2206"/>
      <c r="E47" s="2206"/>
      <c r="F47" s="2206"/>
      <c r="G47" s="2207"/>
      <c r="H47" s="652"/>
      <c r="I47" s="652"/>
      <c r="J47" s="652"/>
      <c r="K47" s="652"/>
      <c r="L47" s="652"/>
      <c r="M47" s="652"/>
    </row>
    <row r="48" spans="1:13">
      <c r="A48" s="2383" t="s">
        <v>604</v>
      </c>
      <c r="B48" s="2384"/>
      <c r="C48" s="2384"/>
      <c r="D48" s="2384"/>
      <c r="E48" s="2384"/>
      <c r="F48" s="2384"/>
      <c r="G48" s="2385"/>
      <c r="H48" s="652"/>
      <c r="I48" s="652"/>
      <c r="J48" s="652">
        <f>D50*0.2</f>
        <v>299.83800000000002</v>
      </c>
      <c r="K48" s="652"/>
      <c r="L48" s="652"/>
      <c r="M48" s="652"/>
    </row>
    <row r="49" spans="1:13">
      <c r="A49" s="694" t="s">
        <v>298</v>
      </c>
      <c r="B49" s="2386" t="s">
        <v>605</v>
      </c>
      <c r="C49" s="2387"/>
      <c r="D49" s="695" t="s">
        <v>286</v>
      </c>
      <c r="E49" s="2386" t="s">
        <v>282</v>
      </c>
      <c r="F49" s="2388"/>
      <c r="G49" s="2389"/>
      <c r="H49" s="652"/>
      <c r="I49" s="652"/>
      <c r="J49" s="652"/>
      <c r="K49" s="652"/>
      <c r="L49" s="652"/>
      <c r="M49" s="652"/>
    </row>
    <row r="50" spans="1:13">
      <c r="A50" s="713" t="s">
        <v>606</v>
      </c>
      <c r="B50" s="2228">
        <f>25.29+44.8+73.76+38.45</f>
        <v>182.3</v>
      </c>
      <c r="C50" s="2229"/>
      <c r="D50" s="685">
        <v>1499.19</v>
      </c>
      <c r="E50" s="2170" t="s">
        <v>292</v>
      </c>
      <c r="F50" s="2170"/>
      <c r="G50" s="2171"/>
      <c r="H50" s="652"/>
      <c r="I50" s="2402" t="s">
        <v>2026</v>
      </c>
      <c r="J50" s="2402"/>
      <c r="K50" s="652"/>
      <c r="L50" s="652"/>
      <c r="M50" s="652"/>
    </row>
    <row r="51" spans="1:13" ht="15.75" thickBot="1">
      <c r="A51" s="714"/>
      <c r="B51" s="715"/>
      <c r="C51" s="715"/>
      <c r="D51" s="715"/>
      <c r="E51" s="715"/>
      <c r="F51" s="715"/>
      <c r="G51" s="716"/>
      <c r="H51" s="652"/>
      <c r="I51" s="652"/>
      <c r="J51" s="652"/>
      <c r="K51" s="652"/>
      <c r="L51" s="652"/>
      <c r="M51" s="652"/>
    </row>
    <row r="52" spans="1:13" ht="15.75" thickBot="1">
      <c r="A52" s="666" t="s">
        <v>181</v>
      </c>
      <c r="B52" s="2163" t="s">
        <v>293</v>
      </c>
      <c r="C52" s="2164"/>
      <c r="D52" s="2164"/>
      <c r="E52" s="2164"/>
      <c r="F52" s="2164"/>
      <c r="G52" s="2165"/>
      <c r="H52" s="652"/>
      <c r="I52" s="667" t="s">
        <v>426</v>
      </c>
      <c r="J52" s="652"/>
      <c r="K52" s="652"/>
      <c r="L52" s="652"/>
      <c r="M52" s="652"/>
    </row>
    <row r="53" spans="1:13">
      <c r="A53" s="2182" t="s">
        <v>279</v>
      </c>
      <c r="B53" s="2183"/>
      <c r="C53" s="2183"/>
      <c r="D53" s="2183"/>
      <c r="E53" s="2183"/>
      <c r="F53" s="2183"/>
      <c r="G53" s="2184"/>
      <c r="H53" s="652"/>
      <c r="I53" s="2401" t="s">
        <v>1421</v>
      </c>
      <c r="J53" s="2401"/>
      <c r="K53" s="2401"/>
      <c r="L53" s="2401"/>
      <c r="M53" s="2401"/>
    </row>
    <row r="54" spans="1:13" ht="15.75" thickBot="1">
      <c r="A54" s="2349" t="s">
        <v>294</v>
      </c>
      <c r="B54" s="2350"/>
      <c r="C54" s="2350"/>
      <c r="D54" s="2350"/>
      <c r="E54" s="2350"/>
      <c r="F54" s="2350"/>
      <c r="G54" s="2351"/>
      <c r="H54" s="652"/>
      <c r="I54" s="2401"/>
      <c r="J54" s="2401"/>
      <c r="K54" s="2401"/>
      <c r="L54" s="2401"/>
      <c r="M54" s="2401"/>
    </row>
    <row r="55" spans="1:13" ht="15.75" thickBot="1">
      <c r="A55" s="717"/>
      <c r="B55" s="664"/>
      <c r="C55" s="710"/>
      <c r="D55" s="711"/>
      <c r="E55" s="711"/>
      <c r="F55" s="711"/>
      <c r="G55" s="712"/>
      <c r="H55" s="652"/>
      <c r="I55" s="652"/>
      <c r="J55" s="652"/>
      <c r="K55" s="652"/>
      <c r="L55" s="652"/>
      <c r="M55" s="652"/>
    </row>
    <row r="56" spans="1:13" ht="15.75" thickBot="1">
      <c r="A56" s="666" t="s">
        <v>182</v>
      </c>
      <c r="B56" s="2163" t="s">
        <v>295</v>
      </c>
      <c r="C56" s="2164"/>
      <c r="D56" s="2164"/>
      <c r="E56" s="2164"/>
      <c r="F56" s="2164"/>
      <c r="G56" s="2165"/>
      <c r="H56" s="652"/>
      <c r="I56" s="667" t="s">
        <v>426</v>
      </c>
      <c r="J56" s="652"/>
      <c r="K56" s="652"/>
      <c r="L56" s="652"/>
      <c r="M56" s="652"/>
    </row>
    <row r="57" spans="1:13">
      <c r="A57" s="2182" t="s">
        <v>279</v>
      </c>
      <c r="B57" s="2183"/>
      <c r="C57" s="2183"/>
      <c r="D57" s="2183"/>
      <c r="E57" s="2183"/>
      <c r="F57" s="2183"/>
      <c r="G57" s="2184"/>
      <c r="H57" s="652"/>
      <c r="I57" s="652"/>
      <c r="J57" s="652"/>
      <c r="K57" s="652"/>
      <c r="L57" s="652"/>
      <c r="M57" s="652"/>
    </row>
    <row r="58" spans="1:13">
      <c r="A58" s="2169" t="s">
        <v>296</v>
      </c>
      <c r="B58" s="2170"/>
      <c r="C58" s="2170"/>
      <c r="D58" s="2170"/>
      <c r="E58" s="2170"/>
      <c r="F58" s="2170"/>
      <c r="G58" s="2171"/>
      <c r="H58" s="652"/>
      <c r="I58" s="652"/>
      <c r="J58" s="652"/>
      <c r="K58" s="652"/>
      <c r="L58" s="652"/>
      <c r="M58" s="652"/>
    </row>
    <row r="59" spans="1:13">
      <c r="A59" s="717"/>
      <c r="B59" s="664"/>
      <c r="C59" s="710"/>
      <c r="D59" s="711"/>
      <c r="E59" s="711"/>
      <c r="F59" s="711"/>
      <c r="G59" s="712"/>
      <c r="H59" s="652"/>
      <c r="I59" s="652"/>
      <c r="J59" s="652"/>
      <c r="K59" s="652"/>
      <c r="L59" s="652"/>
      <c r="M59" s="652"/>
    </row>
    <row r="60" spans="1:13">
      <c r="A60" s="717"/>
      <c r="B60" s="664"/>
      <c r="C60" s="710"/>
      <c r="D60" s="711"/>
      <c r="E60" s="711"/>
      <c r="F60" s="711"/>
      <c r="G60" s="712"/>
      <c r="H60" s="652"/>
      <c r="I60" s="652"/>
      <c r="J60" s="652"/>
      <c r="K60" s="652"/>
      <c r="L60" s="652"/>
      <c r="M60" s="652"/>
    </row>
    <row r="61" spans="1:13">
      <c r="A61" s="717"/>
      <c r="B61" s="664"/>
      <c r="C61" s="710"/>
      <c r="D61" s="711"/>
      <c r="E61" s="711"/>
      <c r="F61" s="711"/>
      <c r="G61" s="712"/>
      <c r="H61" s="652"/>
      <c r="I61" s="652"/>
      <c r="J61" s="652"/>
      <c r="K61" s="652"/>
      <c r="L61" s="652"/>
      <c r="M61" s="652"/>
    </row>
    <row r="62" spans="1:13">
      <c r="A62" s="717"/>
      <c r="B62" s="664"/>
      <c r="C62" s="710"/>
      <c r="D62" s="711"/>
      <c r="E62" s="711"/>
      <c r="F62" s="711"/>
      <c r="G62" s="712"/>
      <c r="H62" s="652"/>
      <c r="I62" s="652"/>
      <c r="J62" s="652"/>
      <c r="K62" s="652"/>
      <c r="L62" s="652"/>
      <c r="M62" s="652"/>
    </row>
    <row r="63" spans="1:13">
      <c r="A63" s="717"/>
      <c r="B63" s="664"/>
      <c r="C63" s="710"/>
      <c r="D63" s="711"/>
      <c r="E63" s="711"/>
      <c r="F63" s="711"/>
      <c r="G63" s="712"/>
      <c r="H63" s="652"/>
      <c r="I63" s="652"/>
      <c r="J63" s="652"/>
      <c r="K63" s="652"/>
      <c r="L63" s="652"/>
      <c r="M63" s="652"/>
    </row>
    <row r="64" spans="1:13">
      <c r="A64" s="717"/>
      <c r="B64" s="664"/>
      <c r="C64" s="710"/>
      <c r="D64" s="711"/>
      <c r="E64" s="711"/>
      <c r="F64" s="711"/>
      <c r="G64" s="712"/>
      <c r="H64" s="652"/>
      <c r="I64" s="652"/>
      <c r="J64" s="652"/>
      <c r="K64" s="652"/>
      <c r="L64" s="652"/>
      <c r="M64" s="652"/>
    </row>
    <row r="65" spans="1:13">
      <c r="A65" s="717"/>
      <c r="B65" s="664"/>
      <c r="C65" s="710"/>
      <c r="D65" s="711"/>
      <c r="E65" s="711"/>
      <c r="F65" s="711"/>
      <c r="G65" s="712"/>
      <c r="H65" s="652"/>
      <c r="I65" s="652"/>
      <c r="J65" s="652"/>
      <c r="K65" s="652"/>
      <c r="L65" s="652"/>
      <c r="M65" s="652"/>
    </row>
    <row r="66" spans="1:13">
      <c r="A66" s="717"/>
      <c r="B66" s="664"/>
      <c r="C66" s="710"/>
      <c r="D66" s="711"/>
      <c r="E66" s="711"/>
      <c r="F66" s="711"/>
      <c r="G66" s="712"/>
      <c r="H66" s="652"/>
      <c r="I66" s="652"/>
      <c r="J66" s="652"/>
      <c r="K66" s="652"/>
      <c r="L66" s="652"/>
      <c r="M66" s="652"/>
    </row>
    <row r="67" spans="1:13">
      <c r="A67" s="717"/>
      <c r="B67" s="664"/>
      <c r="C67" s="710"/>
      <c r="D67" s="711"/>
      <c r="E67" s="711"/>
      <c r="F67" s="711"/>
      <c r="G67" s="712"/>
      <c r="H67" s="652"/>
      <c r="I67" s="652"/>
      <c r="J67" s="652"/>
      <c r="K67" s="652"/>
      <c r="L67" s="652"/>
      <c r="M67" s="652"/>
    </row>
    <row r="68" spans="1:13">
      <c r="A68" s="717"/>
      <c r="B68" s="664"/>
      <c r="C68" s="710"/>
      <c r="D68" s="711"/>
      <c r="E68" s="2243" t="s">
        <v>297</v>
      </c>
      <c r="F68" s="2243"/>
      <c r="G68" s="712"/>
      <c r="H68" s="652"/>
      <c r="I68" s="652"/>
      <c r="J68" s="652"/>
      <c r="K68" s="652"/>
      <c r="L68" s="652"/>
      <c r="M68" s="652"/>
    </row>
    <row r="69" spans="1:13" ht="24">
      <c r="A69" s="681" t="s">
        <v>284</v>
      </c>
      <c r="B69" s="2174" t="s">
        <v>298</v>
      </c>
      <c r="C69" s="2173"/>
      <c r="D69" s="682" t="s">
        <v>299</v>
      </c>
      <c r="E69" s="2174" t="s">
        <v>282</v>
      </c>
      <c r="F69" s="2175"/>
      <c r="G69" s="2176"/>
      <c r="H69" s="652"/>
      <c r="I69" s="652"/>
      <c r="J69" s="652"/>
      <c r="K69" s="652"/>
      <c r="L69" s="652"/>
      <c r="M69" s="652"/>
    </row>
    <row r="70" spans="1:13" ht="30.75" customHeight="1">
      <c r="A70" s="696" t="s">
        <v>616</v>
      </c>
      <c r="B70" s="2179" t="s">
        <v>617</v>
      </c>
      <c r="C70" s="2153"/>
      <c r="D70" s="718">
        <f>17.25+7.8+7.5+8.75+9.65+1.35+4.15+5+3.35+2.35+3.65+1.45+4.65+1.35</f>
        <v>78.25</v>
      </c>
      <c r="E70" s="2258" t="s">
        <v>618</v>
      </c>
      <c r="F70" s="2259"/>
      <c r="G70" s="2260"/>
      <c r="H70" s="652"/>
      <c r="I70" s="652"/>
      <c r="J70" s="652"/>
      <c r="K70" s="652"/>
      <c r="L70" s="652"/>
      <c r="M70" s="652"/>
    </row>
    <row r="71" spans="1:13" ht="15.75" thickBot="1">
      <c r="A71" s="719"/>
      <c r="B71" s="720"/>
      <c r="C71" s="721" t="s">
        <v>283</v>
      </c>
      <c r="D71" s="722">
        <f>ROUNDUP(D70,2)</f>
        <v>78.25</v>
      </c>
      <c r="E71" s="723"/>
      <c r="F71" s="724"/>
      <c r="G71" s="725"/>
      <c r="H71" s="652"/>
      <c r="I71" s="652"/>
      <c r="J71" s="652"/>
      <c r="K71" s="652"/>
      <c r="L71" s="652"/>
      <c r="M71" s="652"/>
    </row>
    <row r="72" spans="1:13" ht="15.75" thickBot="1">
      <c r="A72" s="726"/>
      <c r="B72" s="727"/>
      <c r="C72" s="728"/>
      <c r="D72" s="729"/>
      <c r="E72" s="730"/>
      <c r="F72" s="730"/>
      <c r="G72" s="731"/>
      <c r="H72" s="652"/>
      <c r="I72" s="652"/>
      <c r="J72" s="652"/>
      <c r="K72" s="652"/>
      <c r="L72" s="652"/>
      <c r="M72" s="652"/>
    </row>
    <row r="73" spans="1:13" ht="15.75" thickBot="1">
      <c r="A73" s="666" t="s">
        <v>254</v>
      </c>
      <c r="B73" s="2163" t="s">
        <v>195</v>
      </c>
      <c r="C73" s="2164"/>
      <c r="D73" s="2164"/>
      <c r="E73" s="2164"/>
      <c r="F73" s="2164"/>
      <c r="G73" s="2165"/>
      <c r="H73" s="652"/>
      <c r="I73" s="667" t="s">
        <v>426</v>
      </c>
      <c r="J73" s="652"/>
      <c r="K73" s="652"/>
      <c r="L73" s="652"/>
      <c r="M73" s="652"/>
    </row>
    <row r="74" spans="1:13" ht="15.75" thickBot="1">
      <c r="A74" s="732"/>
      <c r="B74" s="664"/>
      <c r="C74" s="710"/>
      <c r="D74" s="733"/>
      <c r="E74" s="734"/>
      <c r="F74" s="734"/>
      <c r="G74" s="735"/>
      <c r="H74" s="652"/>
      <c r="I74" s="652"/>
      <c r="J74" s="652"/>
      <c r="K74" s="652"/>
      <c r="L74" s="652"/>
      <c r="M74" s="652"/>
    </row>
    <row r="75" spans="1:13" ht="15.75" thickBot="1">
      <c r="A75" s="666" t="s">
        <v>300</v>
      </c>
      <c r="B75" s="2163" t="s">
        <v>301</v>
      </c>
      <c r="C75" s="2164"/>
      <c r="D75" s="2164"/>
      <c r="E75" s="2164"/>
      <c r="F75" s="2164"/>
      <c r="G75" s="2165"/>
      <c r="H75" s="652"/>
      <c r="I75" s="667" t="s">
        <v>426</v>
      </c>
      <c r="J75" s="652"/>
      <c r="K75" s="652"/>
      <c r="L75" s="652"/>
      <c r="M75" s="652"/>
    </row>
    <row r="76" spans="1:13" ht="15.75" thickBot="1">
      <c r="A76" s="732"/>
      <c r="B76" s="664"/>
      <c r="C76" s="710"/>
      <c r="D76" s="733"/>
      <c r="E76" s="734"/>
      <c r="F76" s="734"/>
      <c r="G76" s="735"/>
      <c r="H76" s="652"/>
      <c r="I76" s="652"/>
      <c r="J76" s="652"/>
      <c r="K76" s="652"/>
      <c r="L76" s="652"/>
      <c r="M76" s="652"/>
    </row>
    <row r="77" spans="1:13" ht="15.75" thickBot="1">
      <c r="A77" s="666" t="s">
        <v>302</v>
      </c>
      <c r="B77" s="2163" t="s">
        <v>303</v>
      </c>
      <c r="C77" s="2164"/>
      <c r="D77" s="2164"/>
      <c r="E77" s="2164"/>
      <c r="F77" s="2164"/>
      <c r="G77" s="2165"/>
      <c r="H77" s="652"/>
      <c r="I77" s="667" t="s">
        <v>426</v>
      </c>
      <c r="J77" s="652"/>
      <c r="K77" s="652"/>
      <c r="L77" s="652"/>
      <c r="M77" s="652"/>
    </row>
    <row r="78" spans="1:13" ht="15.75" thickBot="1">
      <c r="A78" s="732"/>
      <c r="B78" s="664"/>
      <c r="C78" s="710"/>
      <c r="D78" s="733"/>
      <c r="E78" s="734"/>
      <c r="F78" s="734"/>
      <c r="G78" s="735"/>
      <c r="H78" s="652"/>
      <c r="I78" s="652"/>
      <c r="J78" s="652"/>
      <c r="K78" s="652"/>
      <c r="L78" s="652"/>
      <c r="M78" s="652"/>
    </row>
    <row r="79" spans="1:13" ht="15.75" thickBot="1">
      <c r="A79" s="666" t="s">
        <v>304</v>
      </c>
      <c r="B79" s="2163" t="s">
        <v>305</v>
      </c>
      <c r="C79" s="2164"/>
      <c r="D79" s="2164"/>
      <c r="E79" s="2164"/>
      <c r="F79" s="2164"/>
      <c r="G79" s="2165"/>
      <c r="H79" s="652"/>
      <c r="I79" s="667" t="s">
        <v>426</v>
      </c>
      <c r="J79" s="652"/>
      <c r="K79" s="652"/>
      <c r="L79" s="652"/>
      <c r="M79" s="652"/>
    </row>
    <row r="80" spans="1:13" ht="15.75" thickBot="1">
      <c r="A80" s="732"/>
      <c r="B80" s="664"/>
      <c r="C80" s="710"/>
      <c r="D80" s="733"/>
      <c r="E80" s="734"/>
      <c r="F80" s="734"/>
      <c r="G80" s="735"/>
      <c r="H80" s="652"/>
      <c r="I80" s="652"/>
      <c r="J80" s="652"/>
      <c r="K80" s="652"/>
      <c r="L80" s="652"/>
      <c r="M80" s="652"/>
    </row>
    <row r="81" spans="1:13" ht="15.75" thickBot="1">
      <c r="A81" s="666" t="s">
        <v>306</v>
      </c>
      <c r="B81" s="2163" t="s">
        <v>307</v>
      </c>
      <c r="C81" s="2164"/>
      <c r="D81" s="2164"/>
      <c r="E81" s="2164"/>
      <c r="F81" s="2164"/>
      <c r="G81" s="2165"/>
      <c r="H81" s="652"/>
      <c r="I81" s="652"/>
      <c r="J81" s="652"/>
      <c r="K81" s="652"/>
      <c r="L81" s="652"/>
      <c r="M81" s="652"/>
    </row>
    <row r="82" spans="1:13" ht="15.75" thickBot="1">
      <c r="A82" s="666" t="s">
        <v>67</v>
      </c>
      <c r="B82" s="2163" t="s">
        <v>619</v>
      </c>
      <c r="C82" s="2164"/>
      <c r="D82" s="2164"/>
      <c r="E82" s="2164"/>
      <c r="F82" s="2164"/>
      <c r="G82" s="2165"/>
      <c r="H82" s="652"/>
      <c r="I82" s="667" t="s">
        <v>426</v>
      </c>
      <c r="J82" s="652"/>
      <c r="K82" s="652"/>
      <c r="L82" s="652"/>
      <c r="M82" s="652"/>
    </row>
    <row r="83" spans="1:13">
      <c r="A83" s="2436"/>
      <c r="B83" s="2437"/>
      <c r="C83" s="2437"/>
      <c r="D83" s="2437"/>
      <c r="E83" s="2437"/>
      <c r="F83" s="2437"/>
      <c r="G83" s="2438"/>
      <c r="H83" s="736"/>
      <c r="I83" s="652"/>
      <c r="J83" s="652"/>
      <c r="K83" s="652"/>
      <c r="L83" s="652"/>
      <c r="M83" s="652"/>
    </row>
    <row r="84" spans="1:13">
      <c r="A84" s="737"/>
      <c r="B84" s="738"/>
      <c r="C84" s="738"/>
      <c r="D84" s="738"/>
      <c r="E84" s="738"/>
      <c r="F84" s="738"/>
      <c r="G84" s="739"/>
      <c r="H84" s="736"/>
      <c r="I84" s="652"/>
      <c r="J84" s="652"/>
      <c r="K84" s="652"/>
      <c r="L84" s="652"/>
      <c r="M84" s="652"/>
    </row>
    <row r="85" spans="1:13">
      <c r="A85" s="737"/>
      <c r="B85" s="738"/>
      <c r="C85" s="738"/>
      <c r="D85" s="738"/>
      <c r="E85" s="738"/>
      <c r="F85" s="738"/>
      <c r="G85" s="739"/>
      <c r="H85" s="736"/>
      <c r="I85" s="652"/>
      <c r="J85" s="652"/>
      <c r="K85" s="652"/>
      <c r="L85" s="652"/>
      <c r="M85" s="652"/>
    </row>
    <row r="86" spans="1:13">
      <c r="A86" s="737"/>
      <c r="B86" s="738"/>
      <c r="C86" s="738"/>
      <c r="D86" s="738"/>
      <c r="E86" s="738"/>
      <c r="F86" s="738"/>
      <c r="G86" s="739"/>
      <c r="H86" s="736"/>
      <c r="I86" s="652"/>
      <c r="J86" s="652"/>
      <c r="K86" s="652"/>
      <c r="L86" s="652"/>
      <c r="M86" s="652"/>
    </row>
    <row r="87" spans="1:13">
      <c r="A87" s="737"/>
      <c r="B87" s="738"/>
      <c r="C87" s="738"/>
      <c r="D87" s="738"/>
      <c r="E87" s="738"/>
      <c r="F87" s="738"/>
      <c r="G87" s="739"/>
      <c r="H87" s="736"/>
      <c r="I87" s="652"/>
      <c r="J87" s="652"/>
      <c r="K87" s="652"/>
      <c r="L87" s="652"/>
      <c r="M87" s="652"/>
    </row>
    <row r="88" spans="1:13">
      <c r="A88" s="737"/>
      <c r="B88" s="738"/>
      <c r="C88" s="738"/>
      <c r="D88" s="738"/>
      <c r="E88" s="738"/>
      <c r="F88" s="738"/>
      <c r="G88" s="739"/>
      <c r="H88" s="736"/>
      <c r="I88" s="652"/>
      <c r="J88" s="652"/>
      <c r="K88" s="652"/>
      <c r="L88" s="652"/>
      <c r="M88" s="652"/>
    </row>
    <row r="89" spans="1:13">
      <c r="A89" s="737"/>
      <c r="B89" s="738"/>
      <c r="C89" s="738"/>
      <c r="D89" s="738"/>
      <c r="E89" s="738"/>
      <c r="F89" s="738"/>
      <c r="G89" s="739"/>
      <c r="H89" s="736"/>
      <c r="I89" s="652"/>
      <c r="J89" s="652"/>
      <c r="K89" s="652"/>
      <c r="L89" s="652"/>
      <c r="M89" s="652"/>
    </row>
    <row r="90" spans="1:13">
      <c r="A90" s="737"/>
      <c r="B90" s="738"/>
      <c r="C90" s="738"/>
      <c r="D90" s="738"/>
      <c r="E90" s="738"/>
      <c r="F90" s="738"/>
      <c r="G90" s="739"/>
      <c r="H90" s="736"/>
      <c r="I90" s="652"/>
      <c r="J90" s="652"/>
      <c r="K90" s="652"/>
      <c r="L90" s="652"/>
      <c r="M90" s="652"/>
    </row>
    <row r="91" spans="1:13">
      <c r="A91" s="737"/>
      <c r="B91" s="738"/>
      <c r="C91" s="738"/>
      <c r="D91" s="738"/>
      <c r="E91" s="738"/>
      <c r="F91" s="738"/>
      <c r="G91" s="739"/>
      <c r="H91" s="736"/>
      <c r="I91" s="652"/>
      <c r="J91" s="652"/>
      <c r="K91" s="652"/>
      <c r="L91" s="652"/>
      <c r="M91" s="652"/>
    </row>
    <row r="92" spans="1:13">
      <c r="A92" s="737"/>
      <c r="B92" s="738"/>
      <c r="C92" s="738"/>
      <c r="D92" s="738"/>
      <c r="E92" s="738"/>
      <c r="F92" s="738"/>
      <c r="G92" s="739"/>
      <c r="H92" s="736"/>
      <c r="I92" s="652"/>
      <c r="J92" s="652"/>
      <c r="K92" s="652"/>
      <c r="L92" s="652"/>
      <c r="M92" s="652"/>
    </row>
    <row r="93" spans="1:13">
      <c r="A93" s="737"/>
      <c r="B93" s="738"/>
      <c r="C93" s="738"/>
      <c r="D93" s="738"/>
      <c r="E93" s="738"/>
      <c r="F93" s="738"/>
      <c r="G93" s="739"/>
      <c r="H93" s="736"/>
      <c r="I93" s="652"/>
      <c r="J93" s="652"/>
      <c r="K93" s="652"/>
      <c r="L93" s="652"/>
      <c r="M93" s="652"/>
    </row>
    <row r="94" spans="1:13">
      <c r="A94" s="737"/>
      <c r="B94" s="738"/>
      <c r="C94" s="738"/>
      <c r="D94" s="738"/>
      <c r="E94" s="2243" t="s">
        <v>297</v>
      </c>
      <c r="F94" s="2243"/>
      <c r="G94" s="739"/>
      <c r="H94" s="736"/>
      <c r="I94" s="652"/>
      <c r="J94" s="652"/>
      <c r="K94" s="652"/>
      <c r="L94" s="652"/>
      <c r="M94" s="652"/>
    </row>
    <row r="95" spans="1:13">
      <c r="A95" s="2395" t="s">
        <v>371</v>
      </c>
      <c r="B95" s="2388"/>
      <c r="C95" s="2388"/>
      <c r="D95" s="2388"/>
      <c r="E95" s="2388"/>
      <c r="F95" s="2388"/>
      <c r="G95" s="2389"/>
      <c r="H95" s="736"/>
      <c r="I95" s="652"/>
      <c r="J95" s="652"/>
      <c r="K95" s="652"/>
      <c r="L95" s="652"/>
      <c r="M95" s="652"/>
    </row>
    <row r="96" spans="1:13">
      <c r="A96" s="681" t="s">
        <v>298</v>
      </c>
      <c r="B96" s="682" t="s">
        <v>298</v>
      </c>
      <c r="C96" s="682" t="s">
        <v>308</v>
      </c>
      <c r="D96" s="682" t="s">
        <v>309</v>
      </c>
      <c r="E96" s="682" t="s">
        <v>310</v>
      </c>
      <c r="F96" s="682" t="s">
        <v>311</v>
      </c>
      <c r="G96" s="740" t="s">
        <v>312</v>
      </c>
      <c r="H96" s="736"/>
      <c r="I96" s="652"/>
      <c r="J96" s="652"/>
      <c r="K96" s="652"/>
      <c r="L96" s="652"/>
      <c r="M96" s="652"/>
    </row>
    <row r="97" spans="1:13">
      <c r="A97" s="2288" t="s">
        <v>620</v>
      </c>
      <c r="B97" s="2289"/>
      <c r="C97" s="2289"/>
      <c r="D97" s="2289"/>
      <c r="E97" s="2289"/>
      <c r="F97" s="2289"/>
      <c r="G97" s="2290"/>
      <c r="H97" s="736"/>
      <c r="I97" s="652"/>
      <c r="J97" s="652"/>
      <c r="K97" s="652"/>
      <c r="L97" s="652"/>
      <c r="M97" s="652"/>
    </row>
    <row r="98" spans="1:13">
      <c r="A98" s="741">
        <v>7.5</v>
      </c>
      <c r="B98" s="718">
        <v>7.5</v>
      </c>
      <c r="C98" s="718">
        <v>3</v>
      </c>
      <c r="D98" s="718">
        <f>ROUNDUP(B98*C98,2)</f>
        <v>22.5</v>
      </c>
      <c r="E98" s="742" t="s">
        <v>621</v>
      </c>
      <c r="F98" s="718">
        <f>1.6*2.1</f>
        <v>3.3600000000000003</v>
      </c>
      <c r="G98" s="743">
        <f t="shared" ref="G98:G107" si="0">ROUNDUP(D98-F98,2)</f>
        <v>19.14</v>
      </c>
      <c r="H98" s="736"/>
      <c r="I98" s="652"/>
      <c r="J98" s="652"/>
      <c r="K98" s="652"/>
      <c r="L98" s="652"/>
      <c r="M98" s="652"/>
    </row>
    <row r="99" spans="1:13">
      <c r="A99" s="741">
        <v>3.35</v>
      </c>
      <c r="B99" s="718">
        <f>A99</f>
        <v>3.35</v>
      </c>
      <c r="C99" s="718">
        <v>3</v>
      </c>
      <c r="D99" s="718">
        <f>B99*C99</f>
        <v>10.050000000000001</v>
      </c>
      <c r="E99" s="742" t="s">
        <v>622</v>
      </c>
      <c r="F99" s="718">
        <f>(0.8*2.1)</f>
        <v>1.6800000000000002</v>
      </c>
      <c r="G99" s="743">
        <f t="shared" si="0"/>
        <v>8.3699999999999992</v>
      </c>
      <c r="H99" s="736"/>
      <c r="I99" s="652"/>
      <c r="J99" s="652"/>
      <c r="K99" s="652"/>
      <c r="L99" s="652"/>
      <c r="M99" s="652"/>
    </row>
    <row r="100" spans="1:13" ht="36">
      <c r="A100" s="741">
        <v>17.25</v>
      </c>
      <c r="B100" s="718">
        <v>17.25</v>
      </c>
      <c r="C100" s="718">
        <v>3</v>
      </c>
      <c r="D100" s="718">
        <f t="shared" ref="D100:D107" si="1">ROUNDUP(B100*C100,2)</f>
        <v>51.75</v>
      </c>
      <c r="E100" s="742" t="s">
        <v>623</v>
      </c>
      <c r="F100" s="718">
        <f>(2.3*1.1*3)+(1.1*1*2)</f>
        <v>9.7899999999999991</v>
      </c>
      <c r="G100" s="744">
        <f t="shared" si="0"/>
        <v>41.96</v>
      </c>
      <c r="H100" s="736"/>
      <c r="I100" s="652"/>
      <c r="J100" s="652"/>
      <c r="K100" s="652"/>
      <c r="L100" s="652"/>
      <c r="M100" s="652"/>
    </row>
    <row r="101" spans="1:13" ht="60">
      <c r="A101" s="741">
        <v>19.600000000000001</v>
      </c>
      <c r="B101" s="718">
        <v>19.600000000000001</v>
      </c>
      <c r="C101" s="718">
        <v>3.2</v>
      </c>
      <c r="D101" s="718">
        <f t="shared" si="1"/>
        <v>62.72</v>
      </c>
      <c r="E101" s="742" t="s">
        <v>624</v>
      </c>
      <c r="F101" s="718">
        <f>(1*0.6*3)+(2.3*1.1*2)+(0.8*2.1)+(1.3*2.1)</f>
        <v>11.27</v>
      </c>
      <c r="G101" s="743">
        <f t="shared" si="0"/>
        <v>51.45</v>
      </c>
      <c r="H101" s="736"/>
      <c r="I101" s="652"/>
      <c r="J101" s="652"/>
      <c r="K101" s="652"/>
      <c r="L101" s="652"/>
      <c r="M101" s="652"/>
    </row>
    <row r="102" spans="1:13">
      <c r="A102" s="741">
        <v>5.8</v>
      </c>
      <c r="B102" s="718">
        <v>5.8</v>
      </c>
      <c r="C102" s="718">
        <v>3</v>
      </c>
      <c r="D102" s="718">
        <f t="shared" si="1"/>
        <v>17.399999999999999</v>
      </c>
      <c r="E102" s="742" t="s">
        <v>625</v>
      </c>
      <c r="F102" s="718">
        <f>2.2*1.1</f>
        <v>2.4200000000000004</v>
      </c>
      <c r="G102" s="743">
        <f t="shared" si="0"/>
        <v>14.98</v>
      </c>
      <c r="H102" s="736"/>
      <c r="I102" s="652"/>
      <c r="J102" s="652"/>
      <c r="K102" s="652"/>
      <c r="L102" s="652"/>
      <c r="M102" s="652"/>
    </row>
    <row r="103" spans="1:13">
      <c r="A103" s="741">
        <v>3.65</v>
      </c>
      <c r="B103" s="718">
        <v>3.65</v>
      </c>
      <c r="C103" s="718">
        <v>3</v>
      </c>
      <c r="D103" s="718">
        <f t="shared" si="1"/>
        <v>10.95</v>
      </c>
      <c r="E103" s="742" t="s">
        <v>625</v>
      </c>
      <c r="F103" s="718">
        <f>2.2*1.1</f>
        <v>2.4200000000000004</v>
      </c>
      <c r="G103" s="743">
        <f t="shared" si="0"/>
        <v>8.5299999999999994</v>
      </c>
      <c r="H103" s="736"/>
      <c r="I103" s="652"/>
      <c r="J103" s="652"/>
      <c r="K103" s="652"/>
      <c r="L103" s="652"/>
      <c r="M103" s="652"/>
    </row>
    <row r="104" spans="1:13" ht="24">
      <c r="A104" s="741">
        <v>4.1500000000000004</v>
      </c>
      <c r="B104" s="718">
        <v>4.1500000000000004</v>
      </c>
      <c r="C104" s="718">
        <v>3</v>
      </c>
      <c r="D104" s="718">
        <f t="shared" si="1"/>
        <v>12.45</v>
      </c>
      <c r="E104" s="742" t="s">
        <v>626</v>
      </c>
      <c r="F104" s="718">
        <f>(0.8*2.1)+(2.3*1.1)</f>
        <v>4.21</v>
      </c>
      <c r="G104" s="743">
        <f t="shared" si="0"/>
        <v>8.24</v>
      </c>
      <c r="H104" s="736"/>
      <c r="I104" s="652"/>
      <c r="J104" s="652"/>
      <c r="K104" s="652"/>
      <c r="L104" s="652"/>
      <c r="M104" s="652"/>
    </row>
    <row r="105" spans="1:13">
      <c r="A105" s="741">
        <v>5.8</v>
      </c>
      <c r="B105" s="718">
        <v>5.8</v>
      </c>
      <c r="C105" s="718">
        <v>3</v>
      </c>
      <c r="D105" s="718">
        <f t="shared" si="1"/>
        <v>17.399999999999999</v>
      </c>
      <c r="E105" s="742" t="s">
        <v>627</v>
      </c>
      <c r="F105" s="718">
        <f>2.2*1.1</f>
        <v>2.4200000000000004</v>
      </c>
      <c r="G105" s="743">
        <f t="shared" si="0"/>
        <v>14.98</v>
      </c>
      <c r="H105" s="736"/>
      <c r="I105" s="652"/>
      <c r="J105" s="652"/>
      <c r="K105" s="652"/>
      <c r="L105" s="652"/>
      <c r="M105" s="652"/>
    </row>
    <row r="106" spans="1:13" ht="24">
      <c r="A106" s="741">
        <v>9.8000000000000007</v>
      </c>
      <c r="B106" s="718">
        <v>9.8000000000000007</v>
      </c>
      <c r="C106" s="718">
        <v>3</v>
      </c>
      <c r="D106" s="718">
        <f t="shared" si="1"/>
        <v>29.4</v>
      </c>
      <c r="E106" s="742" t="s">
        <v>628</v>
      </c>
      <c r="F106" s="718">
        <f>(0.6*1.1*6)</f>
        <v>3.96</v>
      </c>
      <c r="G106" s="743">
        <f t="shared" si="0"/>
        <v>25.44</v>
      </c>
      <c r="H106" s="736"/>
      <c r="I106" s="652"/>
      <c r="J106" s="652"/>
      <c r="K106" s="652"/>
      <c r="L106" s="652"/>
      <c r="M106" s="652"/>
    </row>
    <row r="107" spans="1:13" ht="24">
      <c r="A107" s="741">
        <v>6.15</v>
      </c>
      <c r="B107" s="718">
        <v>6.15</v>
      </c>
      <c r="C107" s="718">
        <v>3</v>
      </c>
      <c r="D107" s="718">
        <f t="shared" si="1"/>
        <v>18.45</v>
      </c>
      <c r="E107" s="742" t="s">
        <v>629</v>
      </c>
      <c r="F107" s="718">
        <f>(0.8*2.1*4)</f>
        <v>6.7200000000000006</v>
      </c>
      <c r="G107" s="743">
        <f t="shared" si="0"/>
        <v>11.73</v>
      </c>
      <c r="H107" s="736"/>
      <c r="I107" s="745">
        <f>SUM(G98:G107)</f>
        <v>204.82</v>
      </c>
      <c r="J107" s="652"/>
      <c r="K107" s="652"/>
      <c r="L107" s="652"/>
      <c r="M107" s="652"/>
    </row>
    <row r="108" spans="1:13">
      <c r="A108" s="2288" t="s">
        <v>315</v>
      </c>
      <c r="B108" s="2289"/>
      <c r="C108" s="2289"/>
      <c r="D108" s="2289"/>
      <c r="E108" s="2289"/>
      <c r="F108" s="2289"/>
      <c r="G108" s="2290"/>
      <c r="H108" s="736"/>
      <c r="I108" s="652"/>
      <c r="J108" s="652"/>
      <c r="K108" s="652"/>
      <c r="L108" s="652"/>
      <c r="M108" s="652"/>
    </row>
    <row r="109" spans="1:13" ht="24">
      <c r="A109" s="696" t="s">
        <v>630</v>
      </c>
      <c r="B109" s="718">
        <f>1.35+1.354+(1.85*4)+1.95</f>
        <v>12.054</v>
      </c>
      <c r="C109" s="718">
        <v>3</v>
      </c>
      <c r="D109" s="718">
        <f>ROUNDUP(B109*C109,2)</f>
        <v>36.169999999999995</v>
      </c>
      <c r="E109" s="718"/>
      <c r="F109" s="718"/>
      <c r="G109" s="743">
        <f>ROUNDUP(D109-F109,2)</f>
        <v>36.17</v>
      </c>
      <c r="H109" s="736"/>
      <c r="I109" s="652"/>
      <c r="J109" s="652"/>
      <c r="K109" s="652"/>
      <c r="L109" s="652"/>
      <c r="M109" s="652"/>
    </row>
    <row r="110" spans="1:13" ht="36">
      <c r="A110" s="696" t="s">
        <v>631</v>
      </c>
      <c r="B110" s="718">
        <f>4.15+1.5+4.8+3.65+1.65+4.3+4</f>
        <v>24.05</v>
      </c>
      <c r="C110" s="718">
        <v>1.22</v>
      </c>
      <c r="D110" s="718">
        <f>B110*C110</f>
        <v>29.341000000000001</v>
      </c>
      <c r="E110" s="718"/>
      <c r="F110" s="718"/>
      <c r="G110" s="743">
        <f>ROUNDUP(D110-F110,2)</f>
        <v>29.35</v>
      </c>
      <c r="H110" s="736"/>
      <c r="I110" s="652"/>
      <c r="J110" s="652"/>
      <c r="K110" s="652"/>
      <c r="L110" s="652"/>
      <c r="M110" s="652"/>
    </row>
    <row r="111" spans="1:13">
      <c r="A111" s="746" t="s">
        <v>632</v>
      </c>
      <c r="B111" s="718">
        <v>3.55</v>
      </c>
      <c r="C111" s="747">
        <v>1.22</v>
      </c>
      <c r="D111" s="718">
        <f>B111*C111</f>
        <v>4.3309999999999995</v>
      </c>
      <c r="E111" s="747"/>
      <c r="F111" s="718"/>
      <c r="G111" s="743">
        <f>ROUNDUP(D111-F111,2)</f>
        <v>4.34</v>
      </c>
      <c r="H111" s="736"/>
      <c r="I111" s="745">
        <f>SUM(G109:G111)</f>
        <v>69.860000000000014</v>
      </c>
      <c r="J111" s="652"/>
      <c r="K111" s="652"/>
      <c r="L111" s="652"/>
      <c r="M111" s="652"/>
    </row>
    <row r="112" spans="1:13">
      <c r="A112" s="2288" t="s">
        <v>313</v>
      </c>
      <c r="B112" s="2289"/>
      <c r="C112" s="2289"/>
      <c r="D112" s="2289"/>
      <c r="E112" s="2289"/>
      <c r="F112" s="2289"/>
      <c r="G112" s="2290"/>
      <c r="H112" s="736"/>
      <c r="I112" s="652"/>
      <c r="J112" s="652"/>
      <c r="K112" s="652"/>
      <c r="L112" s="652"/>
      <c r="M112" s="652"/>
    </row>
    <row r="113" spans="1:13" ht="36">
      <c r="A113" s="696" t="s">
        <v>633</v>
      </c>
      <c r="B113" s="718">
        <f>7.5+4+3.35+4+4.5+5+(3.85*4)+3.75</f>
        <v>47.5</v>
      </c>
      <c r="C113" s="718">
        <v>3</v>
      </c>
      <c r="D113" s="718">
        <f>ROUNDUP(B113*C113,2)</f>
        <v>142.5</v>
      </c>
      <c r="E113" s="718"/>
      <c r="F113" s="718"/>
      <c r="G113" s="743">
        <f>ROUNDUP(D113-F113,2)</f>
        <v>142.5</v>
      </c>
      <c r="H113" s="736"/>
      <c r="I113" s="652"/>
      <c r="J113" s="652"/>
      <c r="K113" s="652"/>
      <c r="L113" s="652"/>
      <c r="M113" s="652"/>
    </row>
    <row r="114" spans="1:13">
      <c r="A114" s="696" t="s">
        <v>634</v>
      </c>
      <c r="B114" s="718">
        <v>5.3</v>
      </c>
      <c r="C114" s="718">
        <v>1.22</v>
      </c>
      <c r="D114" s="718">
        <f>ROUNDUP(B114*C114,2)</f>
        <v>6.47</v>
      </c>
      <c r="E114" s="718"/>
      <c r="F114" s="718"/>
      <c r="G114" s="743">
        <f>ROUNDUP(D114-F114,2)</f>
        <v>6.47</v>
      </c>
      <c r="H114" s="652"/>
      <c r="I114" s="652"/>
      <c r="J114" s="652"/>
      <c r="K114" s="652"/>
      <c r="L114" s="652"/>
      <c r="M114" s="652"/>
    </row>
    <row r="115" spans="1:13" ht="24">
      <c r="A115" s="696" t="s">
        <v>635</v>
      </c>
      <c r="B115" s="718">
        <f>17.25+7.5+7.65</f>
        <v>32.4</v>
      </c>
      <c r="C115" s="718">
        <v>1.22</v>
      </c>
      <c r="D115" s="718">
        <f>ROUNDUP(B115*C115,2)</f>
        <v>39.53</v>
      </c>
      <c r="E115" s="718"/>
      <c r="F115" s="718"/>
      <c r="G115" s="743">
        <f>ROUNDUP(D115-F115,2)</f>
        <v>39.53</v>
      </c>
      <c r="H115" s="652"/>
      <c r="I115" s="652"/>
      <c r="J115" s="652"/>
      <c r="K115" s="652"/>
      <c r="L115" s="652"/>
      <c r="M115" s="652"/>
    </row>
    <row r="116" spans="1:13" ht="24">
      <c r="A116" s="696" t="s">
        <v>636</v>
      </c>
      <c r="B116" s="718">
        <f>4.6*2+(9.8)</f>
        <v>19</v>
      </c>
      <c r="C116" s="718">
        <v>1.8</v>
      </c>
      <c r="D116" s="718">
        <f>ROUNDUP(B116*C116,2)</f>
        <v>34.200000000000003</v>
      </c>
      <c r="E116" s="718"/>
      <c r="F116" s="718"/>
      <c r="G116" s="743">
        <f>ROUNDUP(D116-F116,2)</f>
        <v>34.200000000000003</v>
      </c>
      <c r="H116" s="652"/>
      <c r="I116" s="652"/>
      <c r="J116" s="652"/>
      <c r="K116" s="652"/>
      <c r="L116" s="652"/>
      <c r="M116" s="652"/>
    </row>
    <row r="117" spans="1:13" ht="24">
      <c r="A117" s="696" t="s">
        <v>637</v>
      </c>
      <c r="B117" s="718">
        <f>4*2+(9.8)</f>
        <v>17.8</v>
      </c>
      <c r="C117" s="718">
        <v>2.2799999999999998</v>
      </c>
      <c r="D117" s="718">
        <f>ROUNDUP(B117*C117,2)</f>
        <v>40.589999999999996</v>
      </c>
      <c r="E117" s="718"/>
      <c r="F117" s="718"/>
      <c r="G117" s="743">
        <f>ROUNDUP(D117-F117,2)</f>
        <v>40.590000000000003</v>
      </c>
      <c r="H117" s="652"/>
      <c r="I117" s="745">
        <f>SUM(G113:G117)</f>
        <v>263.28999999999996</v>
      </c>
      <c r="J117" s="652"/>
      <c r="K117" s="652"/>
      <c r="L117" s="652"/>
      <c r="M117" s="652"/>
    </row>
    <row r="118" spans="1:13">
      <c r="A118" s="2288" t="s">
        <v>638</v>
      </c>
      <c r="B118" s="2289"/>
      <c r="C118" s="2289"/>
      <c r="D118" s="2289"/>
      <c r="E118" s="2289"/>
      <c r="F118" s="2289"/>
      <c r="G118" s="2290"/>
      <c r="H118" s="652"/>
      <c r="I118" s="652"/>
      <c r="J118" s="652"/>
      <c r="K118" s="652"/>
      <c r="L118" s="652"/>
      <c r="M118" s="652"/>
    </row>
    <row r="119" spans="1:13">
      <c r="A119" s="741">
        <v>2.2999999999999998</v>
      </c>
      <c r="B119" s="718">
        <v>2.2999999999999998</v>
      </c>
      <c r="C119" s="718">
        <v>3</v>
      </c>
      <c r="D119" s="718">
        <f>ROUNDUP(B119*C119,2)</f>
        <v>6.9</v>
      </c>
      <c r="E119" s="742" t="s">
        <v>639</v>
      </c>
      <c r="F119" s="718">
        <f>(1.2*1.1)</f>
        <v>1.32</v>
      </c>
      <c r="G119" s="743">
        <f>ROUNDUP(D119-F119,2)</f>
        <v>5.58</v>
      </c>
      <c r="H119" s="652"/>
      <c r="I119" s="652"/>
      <c r="J119" s="652"/>
      <c r="K119" s="652"/>
      <c r="L119" s="652"/>
      <c r="M119" s="652"/>
    </row>
    <row r="120" spans="1:13">
      <c r="A120" s="741">
        <v>1.95</v>
      </c>
      <c r="B120" s="718">
        <v>1.95</v>
      </c>
      <c r="C120" s="718">
        <v>3</v>
      </c>
      <c r="D120" s="718">
        <f>B120*C120</f>
        <v>5.85</v>
      </c>
      <c r="E120" s="742" t="s">
        <v>640</v>
      </c>
      <c r="F120" s="718">
        <f>(0.8*2.1)</f>
        <v>1.6800000000000002</v>
      </c>
      <c r="G120" s="743">
        <f>ROUNDUP(D120-F120,2)</f>
        <v>4.17</v>
      </c>
      <c r="H120" s="652"/>
      <c r="I120" s="652"/>
      <c r="J120" s="652"/>
      <c r="K120" s="652"/>
      <c r="L120" s="652"/>
      <c r="M120" s="652"/>
    </row>
    <row r="121" spans="1:13">
      <c r="A121" s="741">
        <v>1.35</v>
      </c>
      <c r="B121" s="718">
        <v>1.35</v>
      </c>
      <c r="C121" s="718">
        <v>3</v>
      </c>
      <c r="D121" s="718">
        <f>ROUNDUP(B121*C121,2)</f>
        <v>4.05</v>
      </c>
      <c r="E121" s="742" t="s">
        <v>641</v>
      </c>
      <c r="F121" s="718">
        <f>(0.8*2.1)</f>
        <v>1.6800000000000002</v>
      </c>
      <c r="G121" s="743">
        <f>ROUNDUP(D121-F121,2)</f>
        <v>2.37</v>
      </c>
      <c r="H121" s="652"/>
      <c r="I121" s="652"/>
      <c r="J121" s="652"/>
      <c r="K121" s="652"/>
      <c r="L121" s="652"/>
      <c r="M121" s="652"/>
    </row>
    <row r="122" spans="1:13">
      <c r="A122" s="741">
        <v>2.5</v>
      </c>
      <c r="B122" s="718">
        <v>2.5</v>
      </c>
      <c r="C122" s="718">
        <v>3</v>
      </c>
      <c r="D122" s="718">
        <f>B122*C122</f>
        <v>7.5</v>
      </c>
      <c r="E122" s="742" t="s">
        <v>642</v>
      </c>
      <c r="F122" s="718">
        <f>(1*2.1)</f>
        <v>2.1</v>
      </c>
      <c r="G122" s="743">
        <f>ROUNDUP(D122-F122,2)</f>
        <v>5.4</v>
      </c>
      <c r="H122" s="652"/>
      <c r="I122" s="745">
        <f>SUM(G119:G122)</f>
        <v>17.520000000000003</v>
      </c>
      <c r="J122" s="652"/>
      <c r="K122" s="652"/>
      <c r="L122" s="652"/>
      <c r="M122" s="652"/>
    </row>
    <row r="123" spans="1:13">
      <c r="A123" s="2172" t="s">
        <v>282</v>
      </c>
      <c r="B123" s="2173"/>
      <c r="C123" s="2174" t="s">
        <v>643</v>
      </c>
      <c r="D123" s="2175"/>
      <c r="E123" s="2175"/>
      <c r="F123" s="2175"/>
      <c r="G123" s="2176"/>
      <c r="H123" s="652"/>
      <c r="I123" s="652"/>
      <c r="J123" s="652"/>
      <c r="K123" s="652"/>
      <c r="L123" s="652"/>
      <c r="M123" s="652"/>
    </row>
    <row r="124" spans="1:13">
      <c r="A124" s="2390"/>
      <c r="B124" s="2391"/>
      <c r="C124" s="2282" t="s">
        <v>620</v>
      </c>
      <c r="D124" s="2283"/>
      <c r="E124" s="2283"/>
      <c r="F124" s="2284"/>
      <c r="G124" s="743"/>
      <c r="H124" s="652"/>
      <c r="I124" s="652"/>
      <c r="J124" s="652"/>
      <c r="K124" s="652"/>
      <c r="L124" s="652"/>
      <c r="M124" s="652"/>
    </row>
    <row r="125" spans="1:13">
      <c r="A125" s="2392"/>
      <c r="B125" s="2393"/>
      <c r="C125" s="2285" t="s">
        <v>283</v>
      </c>
      <c r="D125" s="2286"/>
      <c r="E125" s="2286"/>
      <c r="F125" s="2287"/>
      <c r="G125" s="750">
        <f>G98+G99+G100+G101+G102+G103+G104+G105+G106+G107</f>
        <v>204.82</v>
      </c>
      <c r="H125" s="652"/>
      <c r="I125" s="748">
        <v>204.82</v>
      </c>
      <c r="J125" s="652"/>
      <c r="K125" s="652"/>
      <c r="L125" s="652"/>
      <c r="M125" s="652"/>
    </row>
    <row r="126" spans="1:13">
      <c r="A126" s="2392"/>
      <c r="B126" s="2393"/>
      <c r="C126" s="2282" t="s">
        <v>315</v>
      </c>
      <c r="D126" s="2283"/>
      <c r="E126" s="2283"/>
      <c r="F126" s="2284"/>
      <c r="G126" s="749"/>
      <c r="H126" s="652"/>
      <c r="I126" s="652"/>
      <c r="J126" s="652"/>
      <c r="K126" s="652"/>
      <c r="L126" s="652"/>
      <c r="M126" s="652"/>
    </row>
    <row r="127" spans="1:13">
      <c r="A127" s="2392"/>
      <c r="B127" s="2393"/>
      <c r="C127" s="2285" t="s">
        <v>283</v>
      </c>
      <c r="D127" s="2286"/>
      <c r="E127" s="2286"/>
      <c r="F127" s="2287"/>
      <c r="G127" s="750">
        <f>G109+G110+G111</f>
        <v>69.860000000000014</v>
      </c>
      <c r="H127" s="652"/>
      <c r="I127" s="652"/>
      <c r="J127" s="652"/>
      <c r="K127" s="652"/>
      <c r="L127" s="652"/>
      <c r="M127" s="652"/>
    </row>
    <row r="128" spans="1:13">
      <c r="A128" s="2392"/>
      <c r="B128" s="2393"/>
      <c r="C128" s="2282" t="s">
        <v>644</v>
      </c>
      <c r="D128" s="2283"/>
      <c r="E128" s="2283"/>
      <c r="F128" s="2284"/>
      <c r="G128" s="751"/>
      <c r="H128" s="652"/>
      <c r="I128" s="652"/>
      <c r="J128" s="652"/>
      <c r="K128" s="652"/>
      <c r="L128" s="652"/>
      <c r="M128" s="652"/>
    </row>
    <row r="129" spans="1:13">
      <c r="A129" s="2392"/>
      <c r="B129" s="2393"/>
      <c r="C129" s="2285" t="s">
        <v>283</v>
      </c>
      <c r="D129" s="2286"/>
      <c r="E129" s="2286"/>
      <c r="F129" s="2287"/>
      <c r="G129" s="750">
        <f>G113+G114+G115+G116+G117</f>
        <v>263.28999999999996</v>
      </c>
      <c r="H129" s="652"/>
      <c r="I129" s="652"/>
      <c r="J129" s="652"/>
      <c r="K129" s="652"/>
      <c r="L129" s="652"/>
      <c r="M129" s="652"/>
    </row>
    <row r="130" spans="1:13">
      <c r="A130" s="2392"/>
      <c r="B130" s="2393"/>
      <c r="C130" s="2282" t="s">
        <v>314</v>
      </c>
      <c r="D130" s="2283"/>
      <c r="E130" s="2283"/>
      <c r="F130" s="2284"/>
      <c r="G130" s="743"/>
      <c r="H130" s="652"/>
      <c r="I130" s="652"/>
      <c r="J130" s="652"/>
      <c r="K130" s="652"/>
      <c r="L130" s="652"/>
      <c r="M130" s="652"/>
    </row>
    <row r="131" spans="1:13">
      <c r="A131" s="2166"/>
      <c r="B131" s="2394"/>
      <c r="C131" s="2285" t="s">
        <v>283</v>
      </c>
      <c r="D131" s="2286"/>
      <c r="E131" s="2286"/>
      <c r="F131" s="2287"/>
      <c r="G131" s="752">
        <f>G121+G119+G120+G122</f>
        <v>17.520000000000003</v>
      </c>
      <c r="H131" s="652"/>
      <c r="I131" s="652"/>
      <c r="J131" s="652"/>
      <c r="K131" s="652"/>
      <c r="L131" s="652"/>
      <c r="M131" s="652"/>
    </row>
    <row r="132" spans="1:13" ht="15.75" thickBot="1">
      <c r="A132" s="2356"/>
      <c r="B132" s="2357"/>
      <c r="C132" s="2358" t="s">
        <v>316</v>
      </c>
      <c r="D132" s="2158"/>
      <c r="E132" s="2158"/>
      <c r="F132" s="2159"/>
      <c r="G132" s="753">
        <f>G125+G127+G129+G131</f>
        <v>555.49</v>
      </c>
      <c r="H132" s="652"/>
      <c r="I132" s="652"/>
      <c r="J132" s="652"/>
      <c r="K132" s="652"/>
      <c r="L132" s="652"/>
      <c r="M132" s="652"/>
    </row>
    <row r="133" spans="1:13" ht="15.75" thickBot="1">
      <c r="A133" s="717"/>
      <c r="B133" s="754"/>
      <c r="C133" s="755"/>
      <c r="D133" s="755"/>
      <c r="E133" s="755"/>
      <c r="F133" s="755"/>
      <c r="G133" s="756"/>
      <c r="H133" s="652"/>
      <c r="I133" s="652"/>
      <c r="J133" s="652"/>
      <c r="K133" s="652"/>
      <c r="L133" s="652"/>
      <c r="M133" s="652"/>
    </row>
    <row r="134" spans="1:13" ht="15.75" thickBot="1">
      <c r="A134" s="666" t="s">
        <v>645</v>
      </c>
      <c r="B134" s="2163" t="s">
        <v>646</v>
      </c>
      <c r="C134" s="2164"/>
      <c r="D134" s="2164"/>
      <c r="E134" s="2164"/>
      <c r="F134" s="2164"/>
      <c r="G134" s="2165"/>
      <c r="H134" s="652"/>
      <c r="I134" s="667" t="s">
        <v>426</v>
      </c>
      <c r="J134" s="652"/>
      <c r="K134" s="652"/>
      <c r="L134" s="652"/>
      <c r="M134" s="652"/>
    </row>
    <row r="135" spans="1:13">
      <c r="A135" s="2205" t="s">
        <v>279</v>
      </c>
      <c r="B135" s="2206"/>
      <c r="C135" s="2206"/>
      <c r="D135" s="2206"/>
      <c r="E135" s="2206"/>
      <c r="F135" s="2206"/>
      <c r="G135" s="2207"/>
      <c r="H135" s="652"/>
      <c r="I135" s="652"/>
      <c r="J135" s="652"/>
      <c r="K135" s="652"/>
      <c r="L135" s="652"/>
      <c r="M135" s="652"/>
    </row>
    <row r="136" spans="1:13">
      <c r="A136" s="2169" t="s">
        <v>319</v>
      </c>
      <c r="B136" s="2170"/>
      <c r="C136" s="2170"/>
      <c r="D136" s="2170"/>
      <c r="E136" s="2170"/>
      <c r="F136" s="2170"/>
      <c r="G136" s="2171"/>
      <c r="H136" s="652"/>
      <c r="I136" s="652"/>
      <c r="J136" s="652"/>
      <c r="K136" s="652"/>
      <c r="L136" s="652"/>
      <c r="M136" s="652"/>
    </row>
    <row r="137" spans="1:13" ht="24">
      <c r="A137" s="681" t="s">
        <v>298</v>
      </c>
      <c r="B137" s="682" t="s">
        <v>647</v>
      </c>
      <c r="C137" s="682" t="s">
        <v>648</v>
      </c>
      <c r="D137" s="682" t="s">
        <v>358</v>
      </c>
      <c r="E137" s="2174" t="s">
        <v>282</v>
      </c>
      <c r="F137" s="2175"/>
      <c r="G137" s="2176"/>
      <c r="H137" s="652"/>
      <c r="I137" s="652"/>
      <c r="J137" s="652"/>
      <c r="K137" s="652"/>
      <c r="L137" s="652"/>
      <c r="M137" s="652"/>
    </row>
    <row r="138" spans="1:13">
      <c r="A138" s="2373">
        <v>4.5999999999999996</v>
      </c>
      <c r="B138" s="2376">
        <v>2.7</v>
      </c>
      <c r="C138" s="2379" t="s">
        <v>649</v>
      </c>
      <c r="D138" s="2376">
        <f>A138*B138-(0.9*2.1)</f>
        <v>10.53</v>
      </c>
      <c r="E138" s="2344"/>
      <c r="F138" s="2382"/>
      <c r="G138" s="2345"/>
      <c r="H138" s="652"/>
      <c r="I138" s="652"/>
      <c r="J138" s="652"/>
      <c r="K138" s="652"/>
      <c r="L138" s="652"/>
      <c r="M138" s="652"/>
    </row>
    <row r="139" spans="1:13">
      <c r="A139" s="2374"/>
      <c r="B139" s="2377"/>
      <c r="C139" s="2380"/>
      <c r="D139" s="2377"/>
      <c r="E139" s="2346"/>
      <c r="F139" s="2370"/>
      <c r="G139" s="2347"/>
      <c r="H139" s="652"/>
      <c r="I139" s="652"/>
      <c r="J139" s="652"/>
      <c r="K139" s="652"/>
      <c r="L139" s="652"/>
      <c r="M139" s="652"/>
    </row>
    <row r="140" spans="1:13">
      <c r="A140" s="2374"/>
      <c r="B140" s="2377"/>
      <c r="C140" s="2380"/>
      <c r="D140" s="2377"/>
      <c r="E140" s="2346"/>
      <c r="F140" s="2370"/>
      <c r="G140" s="2347"/>
      <c r="H140" s="652"/>
      <c r="I140" s="652"/>
      <c r="J140" s="652"/>
      <c r="K140" s="652"/>
      <c r="L140" s="652"/>
      <c r="M140" s="652"/>
    </row>
    <row r="141" spans="1:13" ht="30.75" customHeight="1">
      <c r="A141" s="2375"/>
      <c r="B141" s="2378"/>
      <c r="C141" s="2381"/>
      <c r="D141" s="2378"/>
      <c r="E141" s="2346"/>
      <c r="F141" s="2370"/>
      <c r="G141" s="2347"/>
      <c r="H141" s="652"/>
      <c r="I141" s="652"/>
      <c r="J141" s="652"/>
      <c r="K141" s="652"/>
      <c r="L141" s="652"/>
      <c r="M141" s="652"/>
    </row>
    <row r="142" spans="1:13" ht="15.75" thickBot="1">
      <c r="A142" s="2371"/>
      <c r="B142" s="2372"/>
      <c r="C142" s="757" t="s">
        <v>283</v>
      </c>
      <c r="D142" s="758">
        <f>SUM(D138:D141)</f>
        <v>10.53</v>
      </c>
      <c r="E142" s="2244"/>
      <c r="F142" s="2245"/>
      <c r="G142" s="2246"/>
      <c r="H142" s="652"/>
      <c r="I142" s="652"/>
      <c r="J142" s="652"/>
      <c r="K142" s="652"/>
      <c r="L142" s="652"/>
      <c r="M142" s="652"/>
    </row>
    <row r="143" spans="1:13" ht="15.75" thickBot="1">
      <c r="A143" s="759"/>
      <c r="B143" s="760"/>
      <c r="C143" s="761"/>
      <c r="D143" s="762"/>
      <c r="E143" s="763"/>
      <c r="F143" s="763"/>
      <c r="G143" s="764"/>
      <c r="H143" s="652"/>
      <c r="I143" s="652"/>
      <c r="J143" s="652"/>
      <c r="K143" s="652"/>
      <c r="L143" s="652"/>
      <c r="M143" s="652"/>
    </row>
    <row r="144" spans="1:13" ht="15.75" thickBot="1">
      <c r="A144" s="666" t="s">
        <v>317</v>
      </c>
      <c r="B144" s="2163" t="s">
        <v>318</v>
      </c>
      <c r="C144" s="2164"/>
      <c r="D144" s="2164"/>
      <c r="E144" s="2164"/>
      <c r="F144" s="2164"/>
      <c r="G144" s="2165"/>
      <c r="H144" s="652"/>
      <c r="I144" s="667" t="s">
        <v>426</v>
      </c>
      <c r="J144" s="652"/>
      <c r="K144" s="652"/>
      <c r="L144" s="652"/>
      <c r="M144" s="652"/>
    </row>
    <row r="145" spans="1:13">
      <c r="A145" s="2205" t="s">
        <v>279</v>
      </c>
      <c r="B145" s="2206"/>
      <c r="C145" s="2206"/>
      <c r="D145" s="2206"/>
      <c r="E145" s="2206"/>
      <c r="F145" s="2206"/>
      <c r="G145" s="2207"/>
      <c r="H145" s="652"/>
      <c r="I145" s="652"/>
      <c r="J145" s="652"/>
      <c r="K145" s="652"/>
      <c r="L145" s="652"/>
      <c r="M145" s="652"/>
    </row>
    <row r="146" spans="1:13">
      <c r="A146" s="2169" t="s">
        <v>319</v>
      </c>
      <c r="B146" s="2170"/>
      <c r="C146" s="2170"/>
      <c r="D146" s="2170"/>
      <c r="E146" s="2170"/>
      <c r="F146" s="2170"/>
      <c r="G146" s="2171"/>
      <c r="H146" s="652"/>
      <c r="I146" s="652"/>
      <c r="J146" s="652"/>
      <c r="K146" s="652"/>
      <c r="L146" s="652"/>
      <c r="M146" s="652"/>
    </row>
    <row r="147" spans="1:13" ht="24">
      <c r="A147" s="681" t="s">
        <v>320</v>
      </c>
      <c r="B147" s="682" t="s">
        <v>321</v>
      </c>
      <c r="C147" s="682" t="s">
        <v>322</v>
      </c>
      <c r="D147" s="682" t="s">
        <v>323</v>
      </c>
      <c r="E147" s="2174" t="s">
        <v>282</v>
      </c>
      <c r="F147" s="2175"/>
      <c r="G147" s="2176"/>
      <c r="H147" s="652"/>
      <c r="I147" s="652"/>
      <c r="J147" s="652"/>
      <c r="K147" s="652"/>
      <c r="L147" s="652"/>
      <c r="M147" s="652"/>
    </row>
    <row r="148" spans="1:13">
      <c r="A148" s="765" t="s">
        <v>650</v>
      </c>
      <c r="B148" s="685">
        <v>1.1000000000000001</v>
      </c>
      <c r="C148" s="766" t="s">
        <v>324</v>
      </c>
      <c r="D148" s="767">
        <f>(1.1+0.6)*11</f>
        <v>18.700000000000003</v>
      </c>
      <c r="E148" s="768"/>
      <c r="F148" s="769"/>
      <c r="G148" s="770"/>
      <c r="H148" s="652"/>
      <c r="I148" s="652"/>
      <c r="J148" s="652"/>
      <c r="K148" s="652"/>
      <c r="L148" s="652"/>
      <c r="M148" s="652"/>
    </row>
    <row r="149" spans="1:13">
      <c r="A149" s="765" t="s">
        <v>651</v>
      </c>
      <c r="B149" s="685">
        <v>2.2999999999999998</v>
      </c>
      <c r="C149" s="766" t="s">
        <v>324</v>
      </c>
      <c r="D149" s="767">
        <f>(2.3+0.6)*6</f>
        <v>17.399999999999999</v>
      </c>
      <c r="E149" s="2346"/>
      <c r="F149" s="2370"/>
      <c r="G149" s="2347"/>
      <c r="H149" s="652"/>
      <c r="I149" s="698">
        <f>D149+D150</f>
        <v>23</v>
      </c>
      <c r="J149" s="652"/>
      <c r="K149" s="652"/>
      <c r="L149" s="652"/>
      <c r="M149" s="652"/>
    </row>
    <row r="150" spans="1:13">
      <c r="A150" s="765" t="s">
        <v>652</v>
      </c>
      <c r="B150" s="685">
        <v>2.2000000000000002</v>
      </c>
      <c r="C150" s="766" t="s">
        <v>324</v>
      </c>
      <c r="D150" s="767">
        <f>(2.2+0.6)*2</f>
        <v>5.6000000000000005</v>
      </c>
      <c r="E150" s="2346"/>
      <c r="F150" s="2370"/>
      <c r="G150" s="2347"/>
      <c r="H150" s="652"/>
      <c r="I150" s="652"/>
      <c r="J150" s="652"/>
      <c r="K150" s="652"/>
      <c r="L150" s="652"/>
      <c r="M150" s="652"/>
    </row>
    <row r="151" spans="1:13">
      <c r="A151" s="765" t="s">
        <v>653</v>
      </c>
      <c r="B151" s="685">
        <v>1.2</v>
      </c>
      <c r="C151" s="766" t="s">
        <v>324</v>
      </c>
      <c r="D151" s="767">
        <f>(2+0.6)*6</f>
        <v>15.600000000000001</v>
      </c>
      <c r="E151" s="2346"/>
      <c r="F151" s="2370"/>
      <c r="G151" s="2347"/>
      <c r="H151" s="652"/>
      <c r="I151" s="652"/>
      <c r="J151" s="652"/>
      <c r="K151" s="652"/>
      <c r="L151" s="652"/>
      <c r="M151" s="652"/>
    </row>
    <row r="152" spans="1:13" ht="15.75" thickBot="1">
      <c r="A152" s="2371"/>
      <c r="B152" s="2372"/>
      <c r="C152" s="757" t="s">
        <v>283</v>
      </c>
      <c r="D152" s="758">
        <f>SUM(D148:D151)</f>
        <v>57.300000000000004</v>
      </c>
      <c r="E152" s="2244"/>
      <c r="F152" s="2245"/>
      <c r="G152" s="2246"/>
      <c r="H152" s="652"/>
      <c r="I152" s="698">
        <f>D152-D150-D149</f>
        <v>34.300000000000004</v>
      </c>
      <c r="J152" s="652"/>
      <c r="K152" s="652"/>
      <c r="L152" s="652"/>
      <c r="M152" s="652"/>
    </row>
    <row r="153" spans="1:13" ht="15.75" thickBot="1">
      <c r="A153" s="771"/>
      <c r="B153" s="772"/>
      <c r="C153" s="773"/>
      <c r="D153" s="773"/>
      <c r="E153" s="773"/>
      <c r="F153" s="773"/>
      <c r="G153" s="774"/>
      <c r="H153" s="652"/>
      <c r="I153" s="652"/>
      <c r="J153" s="652"/>
      <c r="K153" s="652"/>
      <c r="L153" s="652"/>
      <c r="M153" s="652"/>
    </row>
    <row r="154" spans="1:13" ht="15.75" thickBot="1">
      <c r="A154" s="666" t="s">
        <v>325</v>
      </c>
      <c r="B154" s="2163" t="s">
        <v>326</v>
      </c>
      <c r="C154" s="2164"/>
      <c r="D154" s="2164"/>
      <c r="E154" s="2164"/>
      <c r="F154" s="2164"/>
      <c r="G154" s="2165"/>
      <c r="H154" s="652"/>
      <c r="I154" s="667" t="s">
        <v>426</v>
      </c>
      <c r="J154" s="652"/>
      <c r="K154" s="652"/>
      <c r="L154" s="652"/>
      <c r="M154" s="652"/>
    </row>
    <row r="155" spans="1:13">
      <c r="A155" s="2182" t="s">
        <v>279</v>
      </c>
      <c r="B155" s="2183"/>
      <c r="C155" s="2183"/>
      <c r="D155" s="2183"/>
      <c r="E155" s="2183"/>
      <c r="F155" s="2183"/>
      <c r="G155" s="2184"/>
      <c r="H155" s="652"/>
      <c r="I155" s="652"/>
      <c r="J155" s="652"/>
      <c r="K155" s="652"/>
      <c r="L155" s="652"/>
      <c r="M155" s="652"/>
    </row>
    <row r="156" spans="1:13">
      <c r="A156" s="2169" t="s">
        <v>319</v>
      </c>
      <c r="B156" s="2170"/>
      <c r="C156" s="2170"/>
      <c r="D156" s="2170"/>
      <c r="E156" s="2170"/>
      <c r="F156" s="2170"/>
      <c r="G156" s="2171"/>
      <c r="H156" s="652"/>
      <c r="I156" s="652"/>
      <c r="J156" s="652"/>
      <c r="K156" s="652"/>
      <c r="L156" s="652"/>
      <c r="M156" s="652"/>
    </row>
    <row r="157" spans="1:13" ht="24">
      <c r="A157" s="681" t="s">
        <v>320</v>
      </c>
      <c r="B157" s="682" t="s">
        <v>321</v>
      </c>
      <c r="C157" s="682" t="s">
        <v>322</v>
      </c>
      <c r="D157" s="682" t="s">
        <v>323</v>
      </c>
      <c r="E157" s="2174" t="s">
        <v>282</v>
      </c>
      <c r="F157" s="2175"/>
      <c r="G157" s="2176"/>
      <c r="H157" s="652"/>
      <c r="I157" s="652"/>
      <c r="J157" s="652"/>
      <c r="K157" s="652"/>
      <c r="L157" s="652"/>
      <c r="M157" s="652"/>
    </row>
    <row r="158" spans="1:13">
      <c r="A158" s="765" t="s">
        <v>654</v>
      </c>
      <c r="B158" s="685">
        <v>1.6</v>
      </c>
      <c r="C158" s="766" t="s">
        <v>324</v>
      </c>
      <c r="D158" s="767">
        <f>(1.6*2.1)*1</f>
        <v>3.3600000000000003</v>
      </c>
      <c r="E158" s="2346"/>
      <c r="F158" s="2370"/>
      <c r="G158" s="2347"/>
      <c r="H158" s="652"/>
      <c r="I158" s="652"/>
      <c r="J158" s="652"/>
      <c r="K158" s="652"/>
      <c r="L158" s="652"/>
      <c r="M158" s="652"/>
    </row>
    <row r="159" spans="1:13">
      <c r="A159" s="765" t="s">
        <v>655</v>
      </c>
      <c r="B159" s="685">
        <v>1.3</v>
      </c>
      <c r="C159" s="766" t="s">
        <v>324</v>
      </c>
      <c r="D159" s="767">
        <f>1.3*2.1*1</f>
        <v>2.7300000000000004</v>
      </c>
      <c r="E159" s="2346"/>
      <c r="F159" s="2370"/>
      <c r="G159" s="2347"/>
      <c r="H159" s="652"/>
      <c r="I159" s="652"/>
      <c r="J159" s="652"/>
      <c r="K159" s="652"/>
      <c r="L159" s="652"/>
      <c r="M159" s="652"/>
    </row>
    <row r="160" spans="1:13">
      <c r="A160" s="765" t="s">
        <v>656</v>
      </c>
      <c r="B160" s="685">
        <v>0.8</v>
      </c>
      <c r="C160" s="766" t="s">
        <v>324</v>
      </c>
      <c r="D160" s="767">
        <f>0.8*2.1*3</f>
        <v>5.0400000000000009</v>
      </c>
      <c r="E160" s="2346"/>
      <c r="F160" s="2370"/>
      <c r="G160" s="2347"/>
      <c r="H160" s="652"/>
      <c r="I160" s="652"/>
      <c r="J160" s="652"/>
      <c r="K160" s="652"/>
      <c r="L160" s="652"/>
      <c r="M160" s="652"/>
    </row>
    <row r="161" spans="1:13">
      <c r="A161" s="765" t="s">
        <v>657</v>
      </c>
      <c r="B161" s="685">
        <v>1</v>
      </c>
      <c r="C161" s="766" t="s">
        <v>324</v>
      </c>
      <c r="D161" s="767">
        <f>1*2.1*1</f>
        <v>2.1</v>
      </c>
      <c r="E161" s="2346"/>
      <c r="F161" s="2370"/>
      <c r="G161" s="2347"/>
      <c r="H161" s="652"/>
      <c r="I161" s="652"/>
      <c r="J161" s="652"/>
      <c r="K161" s="652"/>
      <c r="L161" s="652"/>
      <c r="M161" s="652"/>
    </row>
    <row r="162" spans="1:13">
      <c r="A162" s="765" t="s">
        <v>658</v>
      </c>
      <c r="B162" s="685">
        <v>1.3</v>
      </c>
      <c r="C162" s="766" t="s">
        <v>324</v>
      </c>
      <c r="D162" s="767">
        <f>(1.3*2.1)*1</f>
        <v>2.7300000000000004</v>
      </c>
      <c r="E162" s="2346"/>
      <c r="F162" s="2370"/>
      <c r="G162" s="2347"/>
      <c r="H162" s="652"/>
      <c r="I162" s="652"/>
      <c r="J162" s="652"/>
      <c r="K162" s="652"/>
      <c r="L162" s="652"/>
      <c r="M162" s="652"/>
    </row>
    <row r="163" spans="1:13">
      <c r="A163" s="765" t="s">
        <v>659</v>
      </c>
      <c r="B163" s="685">
        <v>0.8</v>
      </c>
      <c r="C163" s="766" t="s">
        <v>324</v>
      </c>
      <c r="D163" s="767">
        <f>(0.8+2.1)*1</f>
        <v>2.9000000000000004</v>
      </c>
      <c r="E163" s="2346"/>
      <c r="F163" s="2370"/>
      <c r="G163" s="2347"/>
      <c r="H163" s="652"/>
      <c r="I163" s="652"/>
      <c r="J163" s="652"/>
      <c r="K163" s="652"/>
      <c r="L163" s="652"/>
      <c r="M163" s="652"/>
    </row>
    <row r="164" spans="1:13">
      <c r="A164" s="775" t="s">
        <v>660</v>
      </c>
      <c r="B164" s="685">
        <v>0.8</v>
      </c>
      <c r="C164" s="766" t="s">
        <v>324</v>
      </c>
      <c r="D164" s="767">
        <f>(0.8+2.1)*5</f>
        <v>14.500000000000002</v>
      </c>
      <c r="E164" s="776"/>
      <c r="F164" s="711"/>
      <c r="G164" s="712"/>
      <c r="H164" s="652"/>
      <c r="I164" s="652"/>
      <c r="J164" s="652"/>
      <c r="K164" s="652"/>
      <c r="L164" s="652"/>
      <c r="M164" s="652"/>
    </row>
    <row r="165" spans="1:13" ht="15.75" thickBot="1">
      <c r="A165" s="2371"/>
      <c r="B165" s="2372"/>
      <c r="C165" s="757" t="s">
        <v>283</v>
      </c>
      <c r="D165" s="758">
        <f>SUM(D158:D164)</f>
        <v>33.360000000000007</v>
      </c>
      <c r="E165" s="2244"/>
      <c r="F165" s="2245"/>
      <c r="G165" s="2246"/>
      <c r="H165" s="652"/>
      <c r="I165" s="698">
        <f>D165-D158</f>
        <v>30.000000000000007</v>
      </c>
      <c r="J165" s="652"/>
      <c r="K165" s="652"/>
      <c r="L165" s="652"/>
      <c r="M165" s="652"/>
    </row>
    <row r="166" spans="1:13" ht="15.75" thickBot="1">
      <c r="A166" s="717"/>
      <c r="B166" s="754"/>
      <c r="C166" s="755"/>
      <c r="D166" s="755"/>
      <c r="E166" s="755"/>
      <c r="F166" s="755"/>
      <c r="G166" s="756"/>
      <c r="H166" s="652"/>
      <c r="I166" s="652"/>
      <c r="J166" s="652"/>
      <c r="K166" s="652"/>
      <c r="L166" s="652"/>
      <c r="M166" s="652"/>
    </row>
    <row r="167" spans="1:13" ht="15.75" thickBot="1">
      <c r="A167" s="666" t="s">
        <v>327</v>
      </c>
      <c r="B167" s="2163" t="s">
        <v>328</v>
      </c>
      <c r="C167" s="2164"/>
      <c r="D167" s="2164"/>
      <c r="E167" s="2164"/>
      <c r="F167" s="2164"/>
      <c r="G167" s="2165"/>
      <c r="H167" s="652"/>
      <c r="I167" s="667" t="s">
        <v>426</v>
      </c>
      <c r="J167" s="652"/>
      <c r="K167" s="652"/>
      <c r="L167" s="652"/>
      <c r="M167" s="652"/>
    </row>
    <row r="168" spans="1:13">
      <c r="A168" s="2182" t="s">
        <v>279</v>
      </c>
      <c r="B168" s="2183"/>
      <c r="C168" s="2183"/>
      <c r="D168" s="2183"/>
      <c r="E168" s="2183"/>
      <c r="F168" s="2183"/>
      <c r="G168" s="2184"/>
      <c r="H168" s="652"/>
      <c r="I168" s="652"/>
      <c r="J168" s="652"/>
      <c r="K168" s="652"/>
      <c r="L168" s="652"/>
      <c r="M168" s="652"/>
    </row>
    <row r="169" spans="1:13">
      <c r="A169" s="2169" t="s">
        <v>319</v>
      </c>
      <c r="B169" s="2170"/>
      <c r="C169" s="2170"/>
      <c r="D169" s="2170"/>
      <c r="E169" s="2170"/>
      <c r="F169" s="2170"/>
      <c r="G169" s="2171"/>
      <c r="H169" s="652"/>
      <c r="I169" s="652"/>
      <c r="J169" s="652"/>
      <c r="K169" s="652"/>
      <c r="L169" s="652"/>
      <c r="M169" s="652"/>
    </row>
    <row r="170" spans="1:13" ht="24">
      <c r="A170" s="681" t="s">
        <v>320</v>
      </c>
      <c r="B170" s="682" t="s">
        <v>321</v>
      </c>
      <c r="C170" s="682" t="s">
        <v>322</v>
      </c>
      <c r="D170" s="682" t="s">
        <v>323</v>
      </c>
      <c r="E170" s="2174" t="s">
        <v>282</v>
      </c>
      <c r="F170" s="2175"/>
      <c r="G170" s="2176"/>
      <c r="H170" s="652"/>
      <c r="I170" s="652"/>
      <c r="J170" s="652"/>
      <c r="K170" s="652"/>
      <c r="L170" s="652"/>
      <c r="M170" s="652"/>
    </row>
    <row r="171" spans="1:13">
      <c r="A171" s="765" t="s">
        <v>650</v>
      </c>
      <c r="B171" s="685">
        <v>1.1000000000000001</v>
      </c>
      <c r="C171" s="766" t="s">
        <v>324</v>
      </c>
      <c r="D171" s="767">
        <f>(1.1+0.6)*11</f>
        <v>18.700000000000003</v>
      </c>
      <c r="E171" s="768"/>
      <c r="F171" s="769"/>
      <c r="G171" s="770"/>
      <c r="H171" s="652"/>
      <c r="I171" s="652"/>
      <c r="J171" s="652"/>
      <c r="K171" s="652"/>
      <c r="L171" s="652"/>
      <c r="M171" s="652"/>
    </row>
    <row r="172" spans="1:13">
      <c r="A172" s="765" t="s">
        <v>651</v>
      </c>
      <c r="B172" s="685">
        <v>2.2999999999999998</v>
      </c>
      <c r="C172" s="766" t="s">
        <v>324</v>
      </c>
      <c r="D172" s="767">
        <f>(2.3+0.6)*6</f>
        <v>17.399999999999999</v>
      </c>
      <c r="E172" s="2346"/>
      <c r="F172" s="2370"/>
      <c r="G172" s="2347"/>
      <c r="H172" s="652"/>
      <c r="I172" s="652"/>
      <c r="J172" s="652"/>
      <c r="K172" s="652"/>
      <c r="L172" s="652"/>
      <c r="M172" s="652"/>
    </row>
    <row r="173" spans="1:13">
      <c r="A173" s="765" t="s">
        <v>652</v>
      </c>
      <c r="B173" s="685">
        <v>2.2000000000000002</v>
      </c>
      <c r="C173" s="766" t="s">
        <v>324</v>
      </c>
      <c r="D173" s="767">
        <f>(2.2+0.6)*2</f>
        <v>5.6000000000000005</v>
      </c>
      <c r="E173" s="2346"/>
      <c r="F173" s="2370"/>
      <c r="G173" s="2347"/>
      <c r="H173" s="652"/>
      <c r="I173" s="652"/>
      <c r="J173" s="652"/>
      <c r="K173" s="652"/>
      <c r="L173" s="652"/>
      <c r="M173" s="652"/>
    </row>
    <row r="174" spans="1:13">
      <c r="A174" s="765" t="s">
        <v>653</v>
      </c>
      <c r="B174" s="685">
        <v>1.2</v>
      </c>
      <c r="C174" s="766" t="s">
        <v>324</v>
      </c>
      <c r="D174" s="767">
        <f>(2+0.6)*6</f>
        <v>15.600000000000001</v>
      </c>
      <c r="E174" s="2346"/>
      <c r="F174" s="2370"/>
      <c r="G174" s="2347"/>
      <c r="H174" s="652"/>
      <c r="I174" s="652"/>
      <c r="J174" s="652"/>
      <c r="K174" s="652"/>
      <c r="L174" s="652"/>
      <c r="M174" s="652"/>
    </row>
    <row r="175" spans="1:13" ht="15.75" thickBot="1">
      <c r="A175" s="2371"/>
      <c r="B175" s="2372"/>
      <c r="C175" s="757" t="s">
        <v>283</v>
      </c>
      <c r="D175" s="758">
        <f>SUM(D171:D174)</f>
        <v>57.300000000000004</v>
      </c>
      <c r="E175" s="2244"/>
      <c r="F175" s="2245"/>
      <c r="G175" s="2246"/>
      <c r="H175" s="652"/>
      <c r="I175" s="698">
        <f>D175-D173-D172</f>
        <v>34.300000000000004</v>
      </c>
      <c r="J175" s="652"/>
      <c r="K175" s="652"/>
      <c r="L175" s="652"/>
      <c r="M175" s="652"/>
    </row>
    <row r="176" spans="1:13" ht="15.75" thickBot="1">
      <c r="A176" s="771"/>
      <c r="B176" s="772"/>
      <c r="C176" s="773"/>
      <c r="D176" s="773"/>
      <c r="E176" s="773"/>
      <c r="F176" s="773"/>
      <c r="G176" s="774"/>
      <c r="H176" s="652"/>
      <c r="I176" s="652"/>
      <c r="J176" s="652"/>
      <c r="K176" s="652"/>
      <c r="L176" s="652"/>
      <c r="M176" s="652"/>
    </row>
    <row r="177" spans="1:13" ht="15.75" thickBot="1">
      <c r="A177" s="666" t="s">
        <v>329</v>
      </c>
      <c r="B177" s="2163" t="s">
        <v>330</v>
      </c>
      <c r="C177" s="2164"/>
      <c r="D177" s="2164"/>
      <c r="E177" s="2164"/>
      <c r="F177" s="2164"/>
      <c r="G177" s="2165"/>
      <c r="H177" s="652"/>
      <c r="I177" s="652"/>
      <c r="J177" s="652"/>
      <c r="K177" s="652"/>
      <c r="L177" s="652"/>
      <c r="M177" s="652"/>
    </row>
    <row r="178" spans="1:13" ht="15.75" thickBot="1">
      <c r="A178" s="666" t="s">
        <v>44</v>
      </c>
      <c r="B178" s="2163" t="s">
        <v>661</v>
      </c>
      <c r="C178" s="2164"/>
      <c r="D178" s="2164"/>
      <c r="E178" s="2164"/>
      <c r="F178" s="2164"/>
      <c r="G178" s="2165"/>
      <c r="H178" s="652"/>
      <c r="I178" s="777"/>
      <c r="J178" s="652"/>
      <c r="K178" s="652"/>
      <c r="L178" s="652"/>
      <c r="M178" s="652"/>
    </row>
    <row r="179" spans="1:13">
      <c r="A179" s="2166" t="s">
        <v>279</v>
      </c>
      <c r="B179" s="2167"/>
      <c r="C179" s="2167"/>
      <c r="D179" s="2167"/>
      <c r="E179" s="2167"/>
      <c r="F179" s="2167"/>
      <c r="G179" s="2168"/>
      <c r="H179" s="652"/>
      <c r="I179" s="652"/>
      <c r="J179" s="652"/>
      <c r="K179" s="652"/>
      <c r="L179" s="652"/>
      <c r="M179" s="652"/>
    </row>
    <row r="180" spans="1:13">
      <c r="A180" s="2320" t="s">
        <v>333</v>
      </c>
      <c r="B180" s="2321"/>
      <c r="C180" s="2321"/>
      <c r="D180" s="2321"/>
      <c r="E180" s="2321"/>
      <c r="F180" s="2321"/>
      <c r="G180" s="2322"/>
      <c r="H180" s="652"/>
      <c r="I180" s="652"/>
      <c r="J180" s="652"/>
      <c r="K180" s="652"/>
      <c r="L180" s="652"/>
      <c r="M180" s="652"/>
    </row>
    <row r="181" spans="1:13">
      <c r="A181" s="2172" t="s">
        <v>284</v>
      </c>
      <c r="B181" s="2173"/>
      <c r="C181" s="2174" t="s">
        <v>334</v>
      </c>
      <c r="D181" s="2173"/>
      <c r="E181" s="2174" t="s">
        <v>282</v>
      </c>
      <c r="F181" s="2175"/>
      <c r="G181" s="2176"/>
      <c r="H181" s="652"/>
      <c r="I181" s="652"/>
      <c r="J181" s="652"/>
      <c r="K181" s="652"/>
      <c r="L181" s="652"/>
      <c r="M181" s="652"/>
    </row>
    <row r="182" spans="1:13" ht="21.75" customHeight="1" thickBot="1">
      <c r="A182" s="2364" t="s">
        <v>662</v>
      </c>
      <c r="B182" s="2365"/>
      <c r="C182" s="2366">
        <v>246.01</v>
      </c>
      <c r="D182" s="2367"/>
      <c r="E182" s="2366" t="s">
        <v>332</v>
      </c>
      <c r="F182" s="2368"/>
      <c r="G182" s="2369"/>
      <c r="H182" s="652"/>
      <c r="I182" s="652"/>
      <c r="J182" s="652"/>
      <c r="K182" s="652"/>
      <c r="L182" s="652"/>
      <c r="M182" s="652"/>
    </row>
    <row r="183" spans="1:13" ht="15.75" thickBot="1">
      <c r="A183" s="759"/>
      <c r="B183" s="760"/>
      <c r="C183" s="1043"/>
      <c r="D183" s="1043"/>
      <c r="E183" s="1043"/>
      <c r="F183" s="1043"/>
      <c r="G183" s="1044"/>
      <c r="H183" s="652"/>
      <c r="I183" s="652"/>
      <c r="J183" s="652"/>
      <c r="K183" s="652"/>
      <c r="L183" s="652"/>
      <c r="M183" s="652"/>
    </row>
    <row r="184" spans="1:13" ht="15.75" thickBot="1">
      <c r="A184" s="666" t="s">
        <v>72</v>
      </c>
      <c r="B184" s="2163" t="s">
        <v>663</v>
      </c>
      <c r="C184" s="2164"/>
      <c r="D184" s="2164"/>
      <c r="E184" s="2164"/>
      <c r="F184" s="2164"/>
      <c r="G184" s="2165"/>
      <c r="H184" s="652"/>
      <c r="I184" s="667" t="s">
        <v>426</v>
      </c>
      <c r="J184" s="652"/>
      <c r="K184" s="652"/>
      <c r="L184" s="652"/>
      <c r="M184" s="652"/>
    </row>
    <row r="185" spans="1:13">
      <c r="A185" s="2166" t="s">
        <v>279</v>
      </c>
      <c r="B185" s="2167"/>
      <c r="C185" s="2167"/>
      <c r="D185" s="2167"/>
      <c r="E185" s="2167"/>
      <c r="F185" s="2167"/>
      <c r="G185" s="2168"/>
      <c r="H185" s="652"/>
      <c r="I185" s="652"/>
      <c r="J185" s="652"/>
      <c r="K185" s="652"/>
      <c r="L185" s="652"/>
      <c r="M185" s="652"/>
    </row>
    <row r="186" spans="1:13">
      <c r="A186" s="2320" t="s">
        <v>333</v>
      </c>
      <c r="B186" s="2321"/>
      <c r="C186" s="2321"/>
      <c r="D186" s="2321"/>
      <c r="E186" s="2321"/>
      <c r="F186" s="2321"/>
      <c r="G186" s="2322"/>
      <c r="H186" s="652"/>
      <c r="I186" s="652"/>
      <c r="J186" s="652"/>
      <c r="K186" s="652"/>
      <c r="L186" s="652"/>
      <c r="M186" s="652"/>
    </row>
    <row r="187" spans="1:13">
      <c r="A187" s="2172" t="s">
        <v>284</v>
      </c>
      <c r="B187" s="2173"/>
      <c r="C187" s="2174" t="s">
        <v>334</v>
      </c>
      <c r="D187" s="2173"/>
      <c r="E187" s="2174" t="s">
        <v>282</v>
      </c>
      <c r="F187" s="2175"/>
      <c r="G187" s="2176"/>
      <c r="H187" s="652"/>
      <c r="I187" s="652"/>
      <c r="J187" s="652"/>
      <c r="K187" s="652"/>
      <c r="L187" s="652"/>
      <c r="M187" s="652"/>
    </row>
    <row r="188" spans="1:13" ht="24" customHeight="1">
      <c r="A188" s="2182" t="s">
        <v>662</v>
      </c>
      <c r="B188" s="2362"/>
      <c r="C188" s="2211">
        <f>C182</f>
        <v>246.01</v>
      </c>
      <c r="D188" s="2363"/>
      <c r="E188" s="2154" t="s">
        <v>332</v>
      </c>
      <c r="F188" s="2155"/>
      <c r="G188" s="2156"/>
      <c r="H188" s="652"/>
      <c r="I188" s="652"/>
      <c r="J188" s="652"/>
      <c r="K188" s="652"/>
      <c r="L188" s="652"/>
      <c r="M188" s="652"/>
    </row>
    <row r="189" spans="1:13" ht="15.75" thickBot="1">
      <c r="A189" s="2303"/>
      <c r="B189" s="2245"/>
      <c r="C189" s="2245"/>
      <c r="D189" s="2245"/>
      <c r="E189" s="2245"/>
      <c r="F189" s="2245"/>
      <c r="G189" s="2246"/>
      <c r="H189" s="652"/>
      <c r="I189" s="652"/>
      <c r="J189" s="652"/>
      <c r="K189" s="652"/>
      <c r="L189" s="652"/>
      <c r="M189" s="652"/>
    </row>
    <row r="190" spans="1:13" ht="15.75" thickBot="1">
      <c r="A190" s="778"/>
      <c r="B190" s="710"/>
      <c r="C190" s="710"/>
      <c r="D190" s="710"/>
      <c r="E190" s="710"/>
      <c r="F190" s="710"/>
      <c r="G190" s="756"/>
      <c r="H190" s="652"/>
      <c r="I190" s="652"/>
      <c r="J190" s="652"/>
      <c r="K190" s="652"/>
      <c r="L190" s="652"/>
      <c r="M190" s="652"/>
    </row>
    <row r="191" spans="1:13" ht="15.75" thickBot="1">
      <c r="A191" s="666" t="s">
        <v>73</v>
      </c>
      <c r="B191" s="2163" t="s">
        <v>664</v>
      </c>
      <c r="C191" s="2164"/>
      <c r="D191" s="2164"/>
      <c r="E191" s="2164"/>
      <c r="F191" s="2164"/>
      <c r="G191" s="2165"/>
      <c r="H191" s="652"/>
      <c r="I191" s="652"/>
      <c r="J191" s="652"/>
      <c r="K191" s="652"/>
      <c r="L191" s="652"/>
      <c r="M191" s="652"/>
    </row>
    <row r="192" spans="1:13">
      <c r="A192" s="2166" t="s">
        <v>279</v>
      </c>
      <c r="B192" s="2167"/>
      <c r="C192" s="2167"/>
      <c r="D192" s="2167"/>
      <c r="E192" s="2167"/>
      <c r="F192" s="2167"/>
      <c r="G192" s="2168"/>
      <c r="H192" s="652"/>
      <c r="I192" s="652"/>
      <c r="J192" s="652"/>
      <c r="K192" s="652"/>
      <c r="L192" s="652"/>
      <c r="M192" s="652"/>
    </row>
    <row r="193" spans="1:13">
      <c r="A193" s="2320" t="s">
        <v>333</v>
      </c>
      <c r="B193" s="2321"/>
      <c r="C193" s="2321"/>
      <c r="D193" s="2321"/>
      <c r="E193" s="2321"/>
      <c r="F193" s="2321"/>
      <c r="G193" s="2322"/>
      <c r="H193" s="652"/>
      <c r="I193" s="652"/>
      <c r="J193" s="652"/>
      <c r="K193" s="652"/>
      <c r="L193" s="652"/>
      <c r="M193" s="652"/>
    </row>
    <row r="194" spans="1:13">
      <c r="A194" s="2359" t="s">
        <v>367</v>
      </c>
      <c r="B194" s="2173"/>
      <c r="C194" s="1048" t="s">
        <v>298</v>
      </c>
      <c r="D194" s="1048" t="s">
        <v>281</v>
      </c>
      <c r="E194" s="2174" t="s">
        <v>282</v>
      </c>
      <c r="F194" s="2175"/>
      <c r="G194" s="2176"/>
      <c r="H194" s="652"/>
      <c r="I194" s="652"/>
      <c r="J194" s="652"/>
      <c r="K194" s="652"/>
      <c r="L194" s="652"/>
      <c r="M194" s="652"/>
    </row>
    <row r="195" spans="1:13">
      <c r="A195" s="2256" t="s">
        <v>665</v>
      </c>
      <c r="B195" s="2257"/>
      <c r="C195" s="1045">
        <v>36.450000000000003</v>
      </c>
      <c r="D195" s="1042">
        <v>33.979999999999997</v>
      </c>
      <c r="E195" s="2211"/>
      <c r="F195" s="2212"/>
      <c r="G195" s="2213"/>
      <c r="H195" s="652"/>
      <c r="I195" s="652"/>
      <c r="J195" s="652"/>
      <c r="K195" s="652"/>
      <c r="L195" s="652"/>
      <c r="M195" s="652"/>
    </row>
    <row r="196" spans="1:13" ht="15.75" thickBot="1">
      <c r="A196" s="781"/>
      <c r="B196" s="1049"/>
      <c r="C196" s="1050" t="s">
        <v>283</v>
      </c>
      <c r="D196" s="1046">
        <f>SUM(D195:D195)</f>
        <v>33.979999999999997</v>
      </c>
      <c r="E196" s="2270"/>
      <c r="F196" s="2271"/>
      <c r="G196" s="2272"/>
      <c r="H196" s="652"/>
      <c r="I196" s="652"/>
      <c r="J196" s="652"/>
      <c r="K196" s="652"/>
      <c r="L196" s="652"/>
      <c r="M196" s="652"/>
    </row>
    <row r="197" spans="1:13" ht="15.75" thickBot="1">
      <c r="A197" s="778"/>
      <c r="B197" s="710"/>
      <c r="C197" s="710"/>
      <c r="D197" s="710"/>
      <c r="E197" s="710"/>
      <c r="F197" s="710"/>
      <c r="G197" s="756"/>
      <c r="H197" s="652"/>
      <c r="I197" s="652"/>
      <c r="J197" s="652"/>
      <c r="K197" s="652"/>
      <c r="L197" s="652"/>
      <c r="M197" s="652"/>
    </row>
    <row r="198" spans="1:13" ht="15.75" thickBot="1">
      <c r="A198" s="666" t="s">
        <v>335</v>
      </c>
      <c r="B198" s="2163" t="s">
        <v>71</v>
      </c>
      <c r="C198" s="2164"/>
      <c r="D198" s="2164"/>
      <c r="E198" s="2164"/>
      <c r="F198" s="2164"/>
      <c r="G198" s="2165"/>
      <c r="H198" s="652"/>
      <c r="I198" s="667" t="s">
        <v>426</v>
      </c>
      <c r="J198" s="652"/>
      <c r="K198" s="652"/>
      <c r="L198" s="652"/>
      <c r="M198" s="652"/>
    </row>
    <row r="199" spans="1:13" ht="21" customHeight="1">
      <c r="A199" s="785"/>
      <c r="B199" s="786"/>
      <c r="C199" s="786"/>
      <c r="D199" s="786"/>
      <c r="E199" s="786"/>
      <c r="F199" s="786"/>
      <c r="G199" s="787"/>
      <c r="H199" s="652"/>
      <c r="I199" s="652"/>
      <c r="J199" s="652"/>
      <c r="K199" s="652"/>
      <c r="L199" s="652"/>
      <c r="M199" s="652"/>
    </row>
    <row r="200" spans="1:13" ht="20.25" customHeight="1">
      <c r="A200" s="788"/>
      <c r="B200" s="789"/>
      <c r="C200" s="733"/>
      <c r="D200" s="733"/>
      <c r="E200" s="733"/>
      <c r="F200" s="733"/>
      <c r="G200" s="756"/>
      <c r="H200" s="652"/>
      <c r="I200" s="652"/>
      <c r="J200" s="652"/>
      <c r="K200" s="652"/>
      <c r="L200" s="652"/>
      <c r="M200" s="652"/>
    </row>
    <row r="201" spans="1:13" ht="23.25" customHeight="1">
      <c r="A201" s="788"/>
      <c r="B201" s="789"/>
      <c r="C201" s="733"/>
      <c r="D201" s="733"/>
      <c r="E201" s="733"/>
      <c r="F201" s="733"/>
      <c r="G201" s="756"/>
      <c r="H201" s="652"/>
      <c r="I201" s="652"/>
      <c r="J201" s="652"/>
      <c r="K201" s="652"/>
      <c r="L201" s="652"/>
      <c r="M201" s="652"/>
    </row>
    <row r="202" spans="1:13" ht="18" customHeight="1">
      <c r="A202" s="788"/>
      <c r="B202" s="789"/>
      <c r="C202" s="733"/>
      <c r="D202" s="733"/>
      <c r="E202" s="733"/>
      <c r="F202" s="733"/>
      <c r="G202" s="756"/>
      <c r="H202" s="652"/>
      <c r="I202" s="652"/>
      <c r="J202" s="652"/>
      <c r="K202" s="652"/>
      <c r="L202" s="652"/>
      <c r="M202" s="652"/>
    </row>
    <row r="203" spans="1:13" ht="21" customHeight="1">
      <c r="A203" s="788"/>
      <c r="B203" s="789"/>
      <c r="C203" s="733"/>
      <c r="D203" s="733"/>
      <c r="E203" s="733"/>
      <c r="F203" s="733"/>
      <c r="G203" s="756"/>
      <c r="H203" s="652"/>
      <c r="I203" s="652"/>
      <c r="J203" s="652"/>
      <c r="K203" s="652"/>
      <c r="L203" s="652"/>
      <c r="M203" s="652"/>
    </row>
    <row r="204" spans="1:13" ht="21.75" customHeight="1">
      <c r="A204" s="788"/>
      <c r="B204" s="789"/>
      <c r="C204" s="733"/>
      <c r="D204" s="733"/>
      <c r="E204" s="733"/>
      <c r="F204" s="733"/>
      <c r="G204" s="756"/>
      <c r="H204" s="652"/>
      <c r="I204" s="652"/>
      <c r="J204" s="652"/>
      <c r="K204" s="652"/>
      <c r="L204" s="652"/>
      <c r="M204" s="652"/>
    </row>
    <row r="205" spans="1:13" ht="18" customHeight="1">
      <c r="A205" s="788"/>
      <c r="B205" s="789"/>
      <c r="C205" s="733"/>
      <c r="D205" s="733"/>
      <c r="E205" s="733"/>
      <c r="F205" s="733"/>
      <c r="G205" s="756"/>
      <c r="H205" s="652"/>
      <c r="I205" s="652"/>
      <c r="J205" s="652"/>
      <c r="K205" s="652"/>
      <c r="L205" s="652"/>
      <c r="M205" s="652"/>
    </row>
    <row r="206" spans="1:13" ht="15.75" customHeight="1">
      <c r="A206" s="788"/>
      <c r="B206" s="789"/>
      <c r="C206" s="733"/>
      <c r="D206" s="733"/>
      <c r="E206" s="733"/>
      <c r="F206" s="790" t="s">
        <v>1415</v>
      </c>
      <c r="G206" s="756"/>
      <c r="H206" s="652"/>
      <c r="I206" s="652"/>
      <c r="J206" s="652"/>
      <c r="K206" s="652"/>
      <c r="L206" s="652"/>
      <c r="M206" s="652"/>
    </row>
    <row r="207" spans="1:13" ht="18" customHeight="1">
      <c r="A207" s="788"/>
      <c r="B207" s="789"/>
      <c r="C207" s="733"/>
      <c r="D207" s="733"/>
      <c r="E207" s="733"/>
      <c r="F207" s="2360"/>
      <c r="G207" s="2361"/>
      <c r="H207" s="652"/>
      <c r="I207" s="652"/>
      <c r="J207" s="652"/>
      <c r="K207" s="652"/>
      <c r="L207" s="652"/>
      <c r="M207" s="652"/>
    </row>
    <row r="208" spans="1:13" ht="17.25" customHeight="1">
      <c r="A208" s="788"/>
      <c r="B208" s="789"/>
      <c r="C208" s="733"/>
      <c r="D208" s="733"/>
      <c r="E208" s="733"/>
      <c r="F208" s="733"/>
      <c r="G208" s="756"/>
      <c r="H208" s="652"/>
      <c r="I208" s="652"/>
      <c r="J208" s="652"/>
      <c r="K208" s="652"/>
      <c r="L208" s="652"/>
      <c r="M208" s="652"/>
    </row>
    <row r="209" spans="1:13" ht="27" customHeight="1">
      <c r="A209" s="788"/>
      <c r="B209" s="789"/>
      <c r="C209" s="733"/>
      <c r="D209" s="733"/>
      <c r="E209" s="733"/>
      <c r="F209" s="2360"/>
      <c r="G209" s="2361"/>
      <c r="H209" s="652"/>
      <c r="I209" s="652"/>
      <c r="J209" s="652"/>
      <c r="K209" s="652"/>
      <c r="L209" s="652"/>
      <c r="M209" s="652"/>
    </row>
    <row r="210" spans="1:13">
      <c r="A210" s="788"/>
      <c r="B210" s="789"/>
      <c r="C210" s="733"/>
      <c r="D210" s="733"/>
      <c r="E210" s="733"/>
      <c r="F210" s="790" t="s">
        <v>1396</v>
      </c>
      <c r="G210" s="756"/>
      <c r="H210" s="652"/>
      <c r="I210" s="652"/>
      <c r="J210" s="652"/>
      <c r="K210" s="652"/>
      <c r="L210" s="652"/>
      <c r="M210" s="652"/>
    </row>
    <row r="211" spans="1:13" ht="21" customHeight="1">
      <c r="A211" s="788"/>
      <c r="B211" s="789"/>
      <c r="C211" s="733"/>
      <c r="D211" s="733"/>
      <c r="E211" s="733"/>
      <c r="F211" s="733"/>
      <c r="G211" s="756"/>
      <c r="H211" s="652"/>
      <c r="I211" s="652"/>
      <c r="J211" s="652"/>
      <c r="K211" s="652"/>
      <c r="L211" s="652"/>
      <c r="M211" s="652"/>
    </row>
    <row r="212" spans="1:13" ht="16.5" customHeight="1">
      <c r="A212" s="788"/>
      <c r="B212" s="789"/>
      <c r="C212" s="733"/>
      <c r="D212" s="733"/>
      <c r="E212" s="733"/>
      <c r="F212" s="733"/>
      <c r="G212" s="756"/>
      <c r="H212" s="652"/>
      <c r="I212" s="652"/>
      <c r="J212" s="652"/>
      <c r="K212" s="652"/>
      <c r="L212" s="652"/>
      <c r="M212" s="652"/>
    </row>
    <row r="213" spans="1:13" ht="22.5" customHeight="1">
      <c r="A213" s="788"/>
      <c r="B213" s="789"/>
      <c r="C213" s="733"/>
      <c r="D213" s="733"/>
      <c r="E213" s="733"/>
      <c r="F213" s="733"/>
      <c r="G213" s="756"/>
      <c r="H213" s="652"/>
      <c r="I213" s="652"/>
      <c r="J213" s="652"/>
      <c r="K213" s="652"/>
      <c r="L213" s="652"/>
      <c r="M213" s="652"/>
    </row>
    <row r="214" spans="1:13" ht="14.25" customHeight="1" thickBot="1">
      <c r="A214" s="788"/>
      <c r="B214" s="789"/>
      <c r="C214" s="733"/>
      <c r="D214" s="733"/>
      <c r="E214" s="733"/>
      <c r="F214" s="733"/>
      <c r="G214" s="756"/>
      <c r="H214" s="652"/>
      <c r="I214" s="652"/>
      <c r="J214" s="652"/>
      <c r="K214" s="652"/>
      <c r="L214" s="652"/>
      <c r="M214" s="652"/>
    </row>
    <row r="215" spans="1:13" ht="15.75" thickBot="1">
      <c r="A215" s="666" t="s">
        <v>41</v>
      </c>
      <c r="B215" s="2163" t="s">
        <v>666</v>
      </c>
      <c r="C215" s="2164"/>
      <c r="D215" s="2164"/>
      <c r="E215" s="2164"/>
      <c r="F215" s="2164"/>
      <c r="G215" s="2165"/>
      <c r="H215" s="652"/>
      <c r="I215" s="667" t="s">
        <v>426</v>
      </c>
      <c r="J215" s="652"/>
      <c r="K215" s="652"/>
      <c r="L215" s="652"/>
      <c r="M215" s="652"/>
    </row>
    <row r="216" spans="1:13">
      <c r="A216" s="2166" t="s">
        <v>279</v>
      </c>
      <c r="B216" s="2167"/>
      <c r="C216" s="2167"/>
      <c r="D216" s="2167"/>
      <c r="E216" s="2167"/>
      <c r="F216" s="2167"/>
      <c r="G216" s="2168"/>
      <c r="H216" s="652"/>
      <c r="I216" s="652"/>
      <c r="J216" s="652"/>
      <c r="K216" s="652"/>
      <c r="L216" s="652"/>
      <c r="M216" s="652"/>
    </row>
    <row r="217" spans="1:13">
      <c r="A217" s="2169" t="s">
        <v>336</v>
      </c>
      <c r="B217" s="2170"/>
      <c r="C217" s="2170"/>
      <c r="D217" s="2170"/>
      <c r="E217" s="2170"/>
      <c r="F217" s="2170"/>
      <c r="G217" s="2171"/>
      <c r="H217" s="652"/>
      <c r="I217" s="652"/>
      <c r="J217" s="652"/>
      <c r="K217" s="652"/>
      <c r="L217" s="652"/>
      <c r="M217" s="652"/>
    </row>
    <row r="218" spans="1:13">
      <c r="A218" s="681" t="s">
        <v>284</v>
      </c>
      <c r="B218" s="682" t="s">
        <v>337</v>
      </c>
      <c r="C218" s="682" t="s">
        <v>338</v>
      </c>
      <c r="D218" s="682" t="s">
        <v>309</v>
      </c>
      <c r="E218" s="682" t="s">
        <v>252</v>
      </c>
      <c r="F218" s="2174" t="s">
        <v>339</v>
      </c>
      <c r="G218" s="2176"/>
      <c r="H218" s="652"/>
      <c r="I218" s="652"/>
      <c r="J218" s="652"/>
      <c r="K218" s="652"/>
      <c r="L218" s="652"/>
      <c r="M218" s="652"/>
    </row>
    <row r="219" spans="1:13">
      <c r="A219" s="765" t="s">
        <v>340</v>
      </c>
      <c r="B219" s="685">
        <v>1.6</v>
      </c>
      <c r="C219" s="791">
        <v>2.1</v>
      </c>
      <c r="D219" s="791">
        <f>ROUNDUP(B219*C219,2)</f>
        <v>3.36</v>
      </c>
      <c r="E219" s="791">
        <v>1</v>
      </c>
      <c r="F219" s="2352">
        <f>E219*D219</f>
        <v>3.36</v>
      </c>
      <c r="G219" s="2353"/>
      <c r="H219" s="652"/>
      <c r="I219" s="652"/>
      <c r="J219" s="652"/>
      <c r="K219" s="652"/>
      <c r="L219" s="652"/>
      <c r="M219" s="652"/>
    </row>
    <row r="220" spans="1:13" ht="15.75" thickBot="1">
      <c r="A220" s="2356"/>
      <c r="B220" s="2223"/>
      <c r="C220" s="2223"/>
      <c r="D220" s="2357"/>
      <c r="E220" s="2358" t="s">
        <v>316</v>
      </c>
      <c r="F220" s="2159"/>
      <c r="G220" s="753">
        <f>ROUNDUP(F219,2)</f>
        <v>3.36</v>
      </c>
      <c r="H220" s="652"/>
      <c r="I220" s="667"/>
      <c r="J220" s="652"/>
      <c r="K220" s="652"/>
      <c r="L220" s="652"/>
      <c r="M220" s="652"/>
    </row>
    <row r="221" spans="1:13" ht="15.75" thickBot="1">
      <c r="A221" s="788"/>
      <c r="B221" s="789"/>
      <c r="C221" s="733"/>
      <c r="D221" s="733"/>
      <c r="E221" s="733"/>
      <c r="F221" s="733"/>
      <c r="G221" s="756"/>
      <c r="H221" s="652"/>
      <c r="I221" s="652"/>
      <c r="J221" s="652"/>
      <c r="K221" s="652"/>
      <c r="L221" s="652"/>
      <c r="M221" s="652"/>
    </row>
    <row r="222" spans="1:13" ht="15.75" thickBot="1">
      <c r="A222" s="666" t="s">
        <v>136</v>
      </c>
      <c r="B222" s="2163" t="s">
        <v>667</v>
      </c>
      <c r="C222" s="2164"/>
      <c r="D222" s="2164"/>
      <c r="E222" s="2164"/>
      <c r="F222" s="2164"/>
      <c r="G222" s="2165"/>
      <c r="H222" s="652"/>
      <c r="I222" s="667" t="s">
        <v>426</v>
      </c>
      <c r="J222" s="652"/>
      <c r="K222" s="652"/>
      <c r="L222" s="652"/>
      <c r="M222" s="652"/>
    </row>
    <row r="223" spans="1:13">
      <c r="A223" s="2166" t="s">
        <v>279</v>
      </c>
      <c r="B223" s="2167"/>
      <c r="C223" s="2167"/>
      <c r="D223" s="2167"/>
      <c r="E223" s="2167"/>
      <c r="F223" s="2167"/>
      <c r="G223" s="2168"/>
      <c r="H223" s="652"/>
      <c r="I223" s="652"/>
      <c r="J223" s="652"/>
      <c r="K223" s="652"/>
      <c r="L223" s="652"/>
      <c r="M223" s="652"/>
    </row>
    <row r="224" spans="1:13">
      <c r="A224" s="2169" t="s">
        <v>336</v>
      </c>
      <c r="B224" s="2170"/>
      <c r="C224" s="2170"/>
      <c r="D224" s="2170"/>
      <c r="E224" s="2170"/>
      <c r="F224" s="2170"/>
      <c r="G224" s="2171"/>
      <c r="H224" s="652"/>
      <c r="I224" s="652"/>
      <c r="J224" s="652"/>
      <c r="K224" s="652"/>
      <c r="L224" s="652"/>
      <c r="M224" s="652"/>
    </row>
    <row r="225" spans="1:13">
      <c r="A225" s="681" t="s">
        <v>284</v>
      </c>
      <c r="B225" s="682" t="s">
        <v>337</v>
      </c>
      <c r="C225" s="682" t="s">
        <v>338</v>
      </c>
      <c r="D225" s="682" t="s">
        <v>309</v>
      </c>
      <c r="E225" s="682" t="s">
        <v>252</v>
      </c>
      <c r="F225" s="2174" t="s">
        <v>339</v>
      </c>
      <c r="G225" s="2176"/>
      <c r="H225" s="652"/>
      <c r="I225" s="652"/>
      <c r="J225" s="652"/>
      <c r="K225" s="652"/>
      <c r="L225" s="652"/>
      <c r="M225" s="652"/>
    </row>
    <row r="226" spans="1:13">
      <c r="A226" s="765" t="s">
        <v>342</v>
      </c>
      <c r="B226" s="685">
        <v>0.8</v>
      </c>
      <c r="C226" s="791">
        <v>2.1</v>
      </c>
      <c r="D226" s="791">
        <f>ROUNDUP(B226*C226,2)</f>
        <v>1.68</v>
      </c>
      <c r="E226" s="791">
        <v>3</v>
      </c>
      <c r="F226" s="2352">
        <f>E226*D226</f>
        <v>5.04</v>
      </c>
      <c r="G226" s="2353"/>
      <c r="H226" s="652"/>
      <c r="I226" s="652"/>
      <c r="J226" s="652"/>
      <c r="K226" s="652"/>
      <c r="L226" s="652"/>
      <c r="M226" s="652"/>
    </row>
    <row r="227" spans="1:13" ht="15.75" thickBot="1">
      <c r="A227" s="2157"/>
      <c r="B227" s="2158"/>
      <c r="C227" s="2158"/>
      <c r="D227" s="2158"/>
      <c r="E227" s="2158"/>
      <c r="F227" s="2159"/>
      <c r="G227" s="753">
        <f>ROUNDUP(F226,2)</f>
        <v>5.04</v>
      </c>
      <c r="H227" s="652"/>
      <c r="I227" s="652"/>
      <c r="J227" s="652"/>
      <c r="K227" s="652"/>
      <c r="L227" s="652"/>
      <c r="M227" s="652"/>
    </row>
    <row r="228" spans="1:13" ht="15.75" thickBot="1">
      <c r="A228" s="788"/>
      <c r="B228" s="789"/>
      <c r="C228" s="733"/>
      <c r="D228" s="733"/>
      <c r="E228" s="733"/>
      <c r="F228" s="733"/>
      <c r="G228" s="756"/>
      <c r="H228" s="652"/>
      <c r="I228" s="652"/>
      <c r="J228" s="652"/>
      <c r="K228" s="652"/>
      <c r="L228" s="652"/>
      <c r="M228" s="652"/>
    </row>
    <row r="229" spans="1:13" ht="15.75" thickBot="1">
      <c r="A229" s="666" t="s">
        <v>137</v>
      </c>
      <c r="B229" s="2163" t="s">
        <v>668</v>
      </c>
      <c r="C229" s="2164"/>
      <c r="D229" s="2164"/>
      <c r="E229" s="2164"/>
      <c r="F229" s="2164"/>
      <c r="G229" s="2165"/>
      <c r="H229" s="652"/>
      <c r="I229" s="667" t="s">
        <v>426</v>
      </c>
      <c r="J229" s="652"/>
      <c r="K229" s="652"/>
      <c r="L229" s="652"/>
      <c r="M229" s="652"/>
    </row>
    <row r="230" spans="1:13">
      <c r="A230" s="2166" t="s">
        <v>279</v>
      </c>
      <c r="B230" s="2167"/>
      <c r="C230" s="2167"/>
      <c r="D230" s="2167"/>
      <c r="E230" s="2167"/>
      <c r="F230" s="2167"/>
      <c r="G230" s="2168"/>
      <c r="H230" s="652"/>
      <c r="I230" s="652"/>
      <c r="J230" s="652"/>
      <c r="K230" s="652"/>
      <c r="L230" s="652"/>
      <c r="M230" s="652"/>
    </row>
    <row r="231" spans="1:13">
      <c r="A231" s="2169" t="s">
        <v>336</v>
      </c>
      <c r="B231" s="2170"/>
      <c r="C231" s="2170"/>
      <c r="D231" s="2170"/>
      <c r="E231" s="2170"/>
      <c r="F231" s="2170"/>
      <c r="G231" s="2171"/>
      <c r="H231" s="652"/>
      <c r="I231" s="652"/>
      <c r="J231" s="652"/>
      <c r="K231" s="652"/>
      <c r="L231" s="652"/>
      <c r="M231" s="652"/>
    </row>
    <row r="232" spans="1:13">
      <c r="A232" s="681" t="s">
        <v>284</v>
      </c>
      <c r="B232" s="682" t="s">
        <v>337</v>
      </c>
      <c r="C232" s="682" t="s">
        <v>338</v>
      </c>
      <c r="D232" s="682" t="s">
        <v>309</v>
      </c>
      <c r="E232" s="682" t="s">
        <v>252</v>
      </c>
      <c r="F232" s="2174" t="s">
        <v>339</v>
      </c>
      <c r="G232" s="2176"/>
      <c r="H232" s="652"/>
      <c r="I232" s="652"/>
      <c r="J232" s="652"/>
      <c r="K232" s="652"/>
      <c r="L232" s="652"/>
      <c r="M232" s="652"/>
    </row>
    <row r="233" spans="1:13">
      <c r="A233" s="765" t="s">
        <v>343</v>
      </c>
      <c r="B233" s="685">
        <v>1</v>
      </c>
      <c r="C233" s="791">
        <v>2.1</v>
      </c>
      <c r="D233" s="791">
        <f>ROUNDUP(B233*C233,2)</f>
        <v>2.1</v>
      </c>
      <c r="E233" s="791">
        <v>1</v>
      </c>
      <c r="F233" s="2352">
        <f>E233*D233</f>
        <v>2.1</v>
      </c>
      <c r="G233" s="2353"/>
      <c r="H233" s="652"/>
      <c r="I233" s="652"/>
      <c r="J233" s="652"/>
      <c r="K233" s="652"/>
      <c r="L233" s="652"/>
      <c r="M233" s="652"/>
    </row>
    <row r="234" spans="1:13" ht="15.75" thickBot="1">
      <c r="A234" s="2157" t="s">
        <v>316</v>
      </c>
      <c r="B234" s="2158"/>
      <c r="C234" s="2158"/>
      <c r="D234" s="2158"/>
      <c r="E234" s="2158"/>
      <c r="F234" s="2159"/>
      <c r="G234" s="753">
        <f>ROUNDUP(F233,2)</f>
        <v>2.1</v>
      </c>
      <c r="H234" s="652"/>
      <c r="I234" s="652"/>
      <c r="J234" s="652"/>
      <c r="K234" s="652"/>
      <c r="L234" s="652"/>
      <c r="M234" s="652"/>
    </row>
    <row r="235" spans="1:13" ht="15.75" thickBot="1">
      <c r="A235" s="788"/>
      <c r="B235" s="789"/>
      <c r="C235" s="733"/>
      <c r="D235" s="733"/>
      <c r="E235" s="733"/>
      <c r="F235" s="733"/>
      <c r="G235" s="756"/>
      <c r="H235" s="652"/>
      <c r="I235" s="652"/>
      <c r="J235" s="652"/>
      <c r="K235" s="652"/>
      <c r="L235" s="652"/>
      <c r="M235" s="652"/>
    </row>
    <row r="236" spans="1:13" ht="15.75" thickBot="1">
      <c r="A236" s="666" t="s">
        <v>138</v>
      </c>
      <c r="B236" s="2163" t="s">
        <v>1397</v>
      </c>
      <c r="C236" s="2164"/>
      <c r="D236" s="2164"/>
      <c r="E236" s="2164"/>
      <c r="F236" s="2164"/>
      <c r="G236" s="2165"/>
      <c r="H236" s="652"/>
      <c r="I236" s="667" t="s">
        <v>426</v>
      </c>
      <c r="J236" s="652"/>
      <c r="K236" s="652"/>
      <c r="L236" s="652"/>
      <c r="M236" s="652"/>
    </row>
    <row r="237" spans="1:13">
      <c r="A237" s="2166" t="s">
        <v>279</v>
      </c>
      <c r="B237" s="2167"/>
      <c r="C237" s="2167"/>
      <c r="D237" s="2167"/>
      <c r="E237" s="2167"/>
      <c r="F237" s="2167"/>
      <c r="G237" s="2168"/>
      <c r="H237" s="652"/>
      <c r="I237" s="652"/>
      <c r="J237" s="652"/>
      <c r="K237" s="652"/>
      <c r="L237" s="652"/>
      <c r="M237" s="652"/>
    </row>
    <row r="238" spans="1:13">
      <c r="A238" s="2169" t="s">
        <v>336</v>
      </c>
      <c r="B238" s="2170"/>
      <c r="C238" s="2170"/>
      <c r="D238" s="2170"/>
      <c r="E238" s="2170"/>
      <c r="F238" s="2170"/>
      <c r="G238" s="2171"/>
      <c r="H238" s="652"/>
      <c r="I238" s="652"/>
      <c r="J238" s="652"/>
      <c r="K238" s="652"/>
      <c r="L238" s="652"/>
      <c r="M238" s="652"/>
    </row>
    <row r="239" spans="1:13">
      <c r="A239" s="681" t="s">
        <v>284</v>
      </c>
      <c r="B239" s="682" t="s">
        <v>337</v>
      </c>
      <c r="C239" s="682" t="s">
        <v>338</v>
      </c>
      <c r="D239" s="682" t="s">
        <v>309</v>
      </c>
      <c r="E239" s="682" t="s">
        <v>252</v>
      </c>
      <c r="F239" s="2174" t="s">
        <v>339</v>
      </c>
      <c r="G239" s="2176"/>
      <c r="H239" s="652"/>
      <c r="I239" s="652"/>
      <c r="J239" s="652"/>
      <c r="K239" s="652"/>
      <c r="L239" s="652"/>
      <c r="M239" s="652"/>
    </row>
    <row r="240" spans="1:13">
      <c r="A240" s="765" t="s">
        <v>344</v>
      </c>
      <c r="B240" s="685">
        <v>1.3</v>
      </c>
      <c r="C240" s="791">
        <v>2.1</v>
      </c>
      <c r="D240" s="791">
        <f>ROUNDUP(B240*C240,2)</f>
        <v>2.73</v>
      </c>
      <c r="E240" s="791">
        <v>2</v>
      </c>
      <c r="F240" s="2352">
        <f>E240*D240</f>
        <v>5.46</v>
      </c>
      <c r="G240" s="2353"/>
      <c r="H240" s="652"/>
      <c r="I240" s="652" t="s">
        <v>2051</v>
      </c>
      <c r="J240" s="652"/>
      <c r="K240" s="652"/>
      <c r="L240" s="652"/>
      <c r="M240" s="652"/>
    </row>
    <row r="241" spans="1:13" ht="15.75" thickBot="1">
      <c r="A241" s="2157" t="s">
        <v>316</v>
      </c>
      <c r="B241" s="2158"/>
      <c r="C241" s="2158"/>
      <c r="D241" s="2158"/>
      <c r="E241" s="2158"/>
      <c r="F241" s="2159"/>
      <c r="G241" s="753">
        <f>ROUNDUP(F240,2)</f>
        <v>5.46</v>
      </c>
      <c r="H241" s="652"/>
      <c r="I241" s="652"/>
      <c r="J241" s="652"/>
      <c r="K241" s="652"/>
      <c r="L241" s="652"/>
      <c r="M241" s="652"/>
    </row>
    <row r="242" spans="1:13" ht="15.75" thickBot="1">
      <c r="A242" s="653"/>
      <c r="B242" s="654"/>
      <c r="C242" s="654"/>
      <c r="D242" s="654"/>
      <c r="E242" s="654"/>
      <c r="F242" s="654"/>
      <c r="G242" s="655"/>
      <c r="H242" s="652"/>
      <c r="I242" s="652"/>
      <c r="J242" s="652"/>
      <c r="K242" s="652"/>
      <c r="L242" s="652"/>
      <c r="M242" s="652"/>
    </row>
    <row r="243" spans="1:13" ht="15.75" thickBot="1">
      <c r="A243" s="666" t="s">
        <v>159</v>
      </c>
      <c r="B243" s="2163" t="s">
        <v>669</v>
      </c>
      <c r="C243" s="2164"/>
      <c r="D243" s="2164"/>
      <c r="E243" s="2164"/>
      <c r="F243" s="2164"/>
      <c r="G243" s="2165"/>
      <c r="H243" s="652"/>
      <c r="I243" s="667" t="s">
        <v>426</v>
      </c>
      <c r="J243" s="652"/>
      <c r="K243" s="652"/>
      <c r="L243" s="652"/>
      <c r="M243" s="652"/>
    </row>
    <row r="244" spans="1:13">
      <c r="A244" s="2166" t="s">
        <v>279</v>
      </c>
      <c r="B244" s="2167"/>
      <c r="C244" s="2167"/>
      <c r="D244" s="2167"/>
      <c r="E244" s="2167"/>
      <c r="F244" s="2167"/>
      <c r="G244" s="2168"/>
      <c r="H244" s="652"/>
      <c r="I244" s="652"/>
      <c r="J244" s="652"/>
      <c r="K244" s="652"/>
      <c r="L244" s="652"/>
      <c r="M244" s="652"/>
    </row>
    <row r="245" spans="1:13">
      <c r="A245" s="2169" t="s">
        <v>336</v>
      </c>
      <c r="B245" s="2170"/>
      <c r="C245" s="2170"/>
      <c r="D245" s="2170"/>
      <c r="E245" s="2170"/>
      <c r="F245" s="2170"/>
      <c r="G245" s="2171"/>
      <c r="H245" s="652"/>
      <c r="I245" s="652"/>
      <c r="J245" s="652"/>
      <c r="K245" s="652"/>
      <c r="L245" s="652"/>
      <c r="M245" s="652"/>
    </row>
    <row r="246" spans="1:13">
      <c r="A246" s="681" t="s">
        <v>284</v>
      </c>
      <c r="B246" s="682" t="s">
        <v>337</v>
      </c>
      <c r="C246" s="682" t="s">
        <v>338</v>
      </c>
      <c r="D246" s="682" t="s">
        <v>309</v>
      </c>
      <c r="E246" s="682" t="s">
        <v>252</v>
      </c>
      <c r="F246" s="2174" t="s">
        <v>339</v>
      </c>
      <c r="G246" s="2176"/>
      <c r="H246" s="652"/>
      <c r="I246" s="652"/>
      <c r="J246" s="652"/>
      <c r="K246" s="652"/>
      <c r="L246" s="652"/>
      <c r="M246" s="652"/>
    </row>
    <row r="247" spans="1:13">
      <c r="A247" s="765" t="s">
        <v>670</v>
      </c>
      <c r="B247" s="685">
        <v>0.8</v>
      </c>
      <c r="C247" s="791">
        <v>2.1</v>
      </c>
      <c r="D247" s="791">
        <f>ROUNDUP(B247*C247,2)</f>
        <v>1.68</v>
      </c>
      <c r="E247" s="791">
        <v>1</v>
      </c>
      <c r="F247" s="2352">
        <f>E247*D247</f>
        <v>1.68</v>
      </c>
      <c r="G247" s="2353"/>
      <c r="H247" s="652"/>
      <c r="I247" s="652"/>
      <c r="J247" s="652"/>
      <c r="K247" s="652"/>
      <c r="L247" s="652"/>
      <c r="M247" s="652"/>
    </row>
    <row r="248" spans="1:13" ht="15.75" thickBot="1">
      <c r="A248" s="2157" t="s">
        <v>316</v>
      </c>
      <c r="B248" s="2158"/>
      <c r="C248" s="2158"/>
      <c r="D248" s="2158"/>
      <c r="E248" s="2158"/>
      <c r="F248" s="2159"/>
      <c r="G248" s="753">
        <f>ROUNDUP(F247,2)</f>
        <v>1.68</v>
      </c>
      <c r="H248" s="652"/>
      <c r="I248" s="652"/>
      <c r="J248" s="652"/>
      <c r="K248" s="652"/>
      <c r="L248" s="652"/>
      <c r="M248" s="652"/>
    </row>
    <row r="249" spans="1:13" ht="15.75" thickBot="1">
      <c r="A249" s="2278"/>
      <c r="B249" s="2354"/>
      <c r="C249" s="2354"/>
      <c r="D249" s="2354"/>
      <c r="E249" s="2354"/>
      <c r="F249" s="2354"/>
      <c r="G249" s="2355"/>
      <c r="H249" s="652"/>
      <c r="I249" s="652"/>
      <c r="J249" s="652"/>
      <c r="K249" s="652"/>
      <c r="L249" s="652"/>
      <c r="M249" s="652"/>
    </row>
    <row r="250" spans="1:13" ht="15.75" thickBot="1">
      <c r="A250" s="666" t="s">
        <v>160</v>
      </c>
      <c r="B250" s="2163" t="s">
        <v>671</v>
      </c>
      <c r="C250" s="2164"/>
      <c r="D250" s="2164"/>
      <c r="E250" s="2164"/>
      <c r="F250" s="2164"/>
      <c r="G250" s="2165"/>
      <c r="H250" s="652"/>
      <c r="I250" s="667" t="s">
        <v>426</v>
      </c>
      <c r="J250" s="652"/>
      <c r="K250" s="652"/>
      <c r="L250" s="652"/>
      <c r="M250" s="652"/>
    </row>
    <row r="251" spans="1:13">
      <c r="A251" s="2166" t="s">
        <v>279</v>
      </c>
      <c r="B251" s="2167"/>
      <c r="C251" s="2167"/>
      <c r="D251" s="2167"/>
      <c r="E251" s="2167"/>
      <c r="F251" s="2167"/>
      <c r="G251" s="2168"/>
      <c r="H251" s="652"/>
      <c r="I251" s="652"/>
      <c r="J251" s="652"/>
      <c r="K251" s="652"/>
      <c r="L251" s="652"/>
      <c r="M251" s="652"/>
    </row>
    <row r="252" spans="1:13">
      <c r="A252" s="2169" t="s">
        <v>336</v>
      </c>
      <c r="B252" s="2170"/>
      <c r="C252" s="2170"/>
      <c r="D252" s="2170"/>
      <c r="E252" s="2170"/>
      <c r="F252" s="2170"/>
      <c r="G252" s="2171"/>
      <c r="H252" s="652"/>
      <c r="I252" s="652"/>
      <c r="J252" s="652"/>
      <c r="K252" s="652"/>
      <c r="L252" s="652"/>
      <c r="M252" s="652"/>
    </row>
    <row r="253" spans="1:13">
      <c r="A253" s="681" t="s">
        <v>284</v>
      </c>
      <c r="B253" s="682" t="s">
        <v>337</v>
      </c>
      <c r="C253" s="682" t="s">
        <v>338</v>
      </c>
      <c r="D253" s="682" t="s">
        <v>309</v>
      </c>
      <c r="E253" s="682" t="s">
        <v>252</v>
      </c>
      <c r="F253" s="2174" t="s">
        <v>339</v>
      </c>
      <c r="G253" s="2176"/>
      <c r="H253" s="652"/>
      <c r="I253" s="652"/>
      <c r="J253" s="652"/>
      <c r="K253" s="652"/>
      <c r="L253" s="652"/>
      <c r="M253" s="652"/>
    </row>
    <row r="254" spans="1:13">
      <c r="A254" s="765" t="s">
        <v>672</v>
      </c>
      <c r="B254" s="685">
        <v>0.8</v>
      </c>
      <c r="C254" s="791">
        <v>2.1</v>
      </c>
      <c r="D254" s="791">
        <f>ROUNDUP(B254*C254,2)</f>
        <v>1.68</v>
      </c>
      <c r="E254" s="791">
        <v>5</v>
      </c>
      <c r="F254" s="2352">
        <f>E254*D254</f>
        <v>8.4</v>
      </c>
      <c r="G254" s="2353"/>
      <c r="H254" s="652"/>
      <c r="I254" s="652"/>
      <c r="J254" s="652"/>
      <c r="K254" s="652"/>
      <c r="L254" s="652"/>
      <c r="M254" s="652"/>
    </row>
    <row r="255" spans="1:13" ht="15.75" thickBot="1">
      <c r="A255" s="2157" t="s">
        <v>316</v>
      </c>
      <c r="B255" s="2158"/>
      <c r="C255" s="2158"/>
      <c r="D255" s="2158"/>
      <c r="E255" s="2158"/>
      <c r="F255" s="2159"/>
      <c r="G255" s="753">
        <f>ROUNDUP(F254,2)</f>
        <v>8.4</v>
      </c>
      <c r="H255" s="652"/>
      <c r="I255" s="652"/>
      <c r="J255" s="652"/>
      <c r="K255" s="652"/>
      <c r="L255" s="652"/>
      <c r="M255" s="652"/>
    </row>
    <row r="256" spans="1:13" ht="15.75" thickBot="1">
      <c r="A256" s="2278"/>
      <c r="B256" s="2354"/>
      <c r="C256" s="2354"/>
      <c r="D256" s="2354"/>
      <c r="E256" s="2354"/>
      <c r="F256" s="2354"/>
      <c r="G256" s="2355"/>
      <c r="H256" s="652"/>
      <c r="I256" s="652"/>
      <c r="J256" s="652"/>
      <c r="K256" s="652"/>
      <c r="L256" s="652"/>
      <c r="M256" s="652"/>
    </row>
    <row r="257" spans="1:13" ht="15.75" thickBot="1">
      <c r="A257" s="666" t="s">
        <v>161</v>
      </c>
      <c r="B257" s="2163" t="s">
        <v>671</v>
      </c>
      <c r="C257" s="2164"/>
      <c r="D257" s="2164"/>
      <c r="E257" s="2164"/>
      <c r="F257" s="2164"/>
      <c r="G257" s="2165"/>
      <c r="H257" s="652"/>
      <c r="I257" s="667" t="s">
        <v>426</v>
      </c>
      <c r="J257" s="652"/>
      <c r="K257" s="652"/>
      <c r="L257" s="652"/>
      <c r="M257" s="652"/>
    </row>
    <row r="258" spans="1:13">
      <c r="A258" s="2166" t="s">
        <v>279</v>
      </c>
      <c r="B258" s="2167"/>
      <c r="C258" s="2167"/>
      <c r="D258" s="2167"/>
      <c r="E258" s="2167"/>
      <c r="F258" s="2167"/>
      <c r="G258" s="2168"/>
      <c r="H258" s="652"/>
      <c r="I258" s="652"/>
      <c r="J258" s="652"/>
      <c r="K258" s="652"/>
      <c r="L258" s="652"/>
      <c r="M258" s="652"/>
    </row>
    <row r="259" spans="1:13">
      <c r="A259" s="2169" t="s">
        <v>336</v>
      </c>
      <c r="B259" s="2170"/>
      <c r="C259" s="2170"/>
      <c r="D259" s="2170"/>
      <c r="E259" s="2170"/>
      <c r="F259" s="2170"/>
      <c r="G259" s="2171"/>
      <c r="H259" s="652"/>
      <c r="I259" s="652"/>
      <c r="J259" s="652"/>
      <c r="K259" s="652"/>
      <c r="L259" s="652"/>
      <c r="M259" s="652"/>
    </row>
    <row r="260" spans="1:13">
      <c r="A260" s="681" t="s">
        <v>284</v>
      </c>
      <c r="B260" s="682" t="s">
        <v>337</v>
      </c>
      <c r="C260" s="682" t="s">
        <v>338</v>
      </c>
      <c r="D260" s="682" t="s">
        <v>309</v>
      </c>
      <c r="E260" s="682" t="s">
        <v>252</v>
      </c>
      <c r="F260" s="2174" t="s">
        <v>339</v>
      </c>
      <c r="G260" s="2176"/>
      <c r="H260" s="652"/>
      <c r="I260" s="652"/>
      <c r="J260" s="652"/>
      <c r="K260" s="652"/>
      <c r="L260" s="652"/>
      <c r="M260" s="652"/>
    </row>
    <row r="261" spans="1:13">
      <c r="A261" s="765" t="s">
        <v>673</v>
      </c>
      <c r="B261" s="685">
        <v>0.9</v>
      </c>
      <c r="C261" s="791">
        <v>2.1</v>
      </c>
      <c r="D261" s="791">
        <f>ROUNDUP(B261*C261,2)</f>
        <v>1.89</v>
      </c>
      <c r="E261" s="791">
        <v>1</v>
      </c>
      <c r="F261" s="2352">
        <f>E261*D261</f>
        <v>1.89</v>
      </c>
      <c r="G261" s="2353"/>
      <c r="H261" s="652"/>
      <c r="I261" s="652"/>
      <c r="J261" s="652"/>
      <c r="K261" s="652"/>
      <c r="L261" s="652"/>
      <c r="M261" s="652"/>
    </row>
    <row r="262" spans="1:13" ht="15.75" thickBot="1">
      <c r="A262" s="2157" t="s">
        <v>316</v>
      </c>
      <c r="B262" s="2158"/>
      <c r="C262" s="2158"/>
      <c r="D262" s="2158"/>
      <c r="E262" s="2158"/>
      <c r="F262" s="2159"/>
      <c r="G262" s="753">
        <f>ROUNDUP(F261,2)</f>
        <v>1.89</v>
      </c>
      <c r="H262" s="652"/>
      <c r="I262" s="745">
        <f>G262+G255</f>
        <v>10.290000000000001</v>
      </c>
      <c r="J262" s="652"/>
      <c r="K262" s="652"/>
      <c r="L262" s="652"/>
      <c r="M262" s="652"/>
    </row>
    <row r="263" spans="1:13" ht="15.75" thickBot="1">
      <c r="A263" s="2278"/>
      <c r="B263" s="2354"/>
      <c r="C263" s="2354"/>
      <c r="D263" s="2354"/>
      <c r="E263" s="2354"/>
      <c r="F263" s="2354"/>
      <c r="G263" s="2355"/>
      <c r="H263" s="652"/>
      <c r="I263" s="652"/>
      <c r="J263" s="652"/>
      <c r="K263" s="652"/>
      <c r="L263" s="652"/>
      <c r="M263" s="652"/>
    </row>
    <row r="264" spans="1:13" ht="15.75" thickBot="1">
      <c r="A264" s="666" t="s">
        <v>347</v>
      </c>
      <c r="B264" s="2163" t="s">
        <v>674</v>
      </c>
      <c r="C264" s="2164"/>
      <c r="D264" s="2164"/>
      <c r="E264" s="2164"/>
      <c r="F264" s="2164"/>
      <c r="G264" s="2165"/>
      <c r="H264" s="652"/>
      <c r="I264" s="667" t="s">
        <v>426</v>
      </c>
      <c r="J264" s="652"/>
      <c r="K264" s="652"/>
      <c r="L264" s="652"/>
      <c r="M264" s="652"/>
    </row>
    <row r="265" spans="1:13">
      <c r="A265" s="2166" t="s">
        <v>279</v>
      </c>
      <c r="B265" s="2167"/>
      <c r="C265" s="2167"/>
      <c r="D265" s="2167"/>
      <c r="E265" s="2167"/>
      <c r="F265" s="2167"/>
      <c r="G265" s="2168"/>
      <c r="H265" s="652"/>
      <c r="I265" s="652"/>
      <c r="J265" s="652"/>
      <c r="K265" s="652"/>
      <c r="L265" s="652"/>
      <c r="M265" s="652"/>
    </row>
    <row r="266" spans="1:13">
      <c r="A266" s="2169" t="s">
        <v>336</v>
      </c>
      <c r="B266" s="2170"/>
      <c r="C266" s="2170"/>
      <c r="D266" s="2170"/>
      <c r="E266" s="2170"/>
      <c r="F266" s="2170"/>
      <c r="G266" s="2171"/>
      <c r="H266" s="652"/>
      <c r="I266" s="652"/>
      <c r="J266" s="652"/>
      <c r="K266" s="652"/>
      <c r="L266" s="652"/>
      <c r="M266" s="652"/>
    </row>
    <row r="267" spans="1:13">
      <c r="A267" s="681" t="s">
        <v>284</v>
      </c>
      <c r="B267" s="682" t="s">
        <v>337</v>
      </c>
      <c r="C267" s="682" t="s">
        <v>338</v>
      </c>
      <c r="D267" s="682" t="s">
        <v>309</v>
      </c>
      <c r="E267" s="682" t="s">
        <v>252</v>
      </c>
      <c r="F267" s="2174" t="s">
        <v>339</v>
      </c>
      <c r="G267" s="2176"/>
      <c r="H267" s="652"/>
      <c r="I267" s="652"/>
      <c r="J267" s="652"/>
      <c r="K267" s="652"/>
      <c r="L267" s="652"/>
      <c r="M267" s="652"/>
    </row>
    <row r="268" spans="1:13">
      <c r="A268" s="765" t="s">
        <v>675</v>
      </c>
      <c r="B268" s="685">
        <v>1.5</v>
      </c>
      <c r="C268" s="791">
        <v>2.4500000000000002</v>
      </c>
      <c r="D268" s="791">
        <f>ROUNDUP(B268*C268,2)</f>
        <v>3.6799999999999997</v>
      </c>
      <c r="E268" s="791">
        <v>1</v>
      </c>
      <c r="F268" s="2352">
        <f>E268*D268</f>
        <v>3.6799999999999997</v>
      </c>
      <c r="G268" s="2353"/>
      <c r="H268" s="652"/>
      <c r="I268" s="652"/>
      <c r="J268" s="652"/>
      <c r="K268" s="652"/>
      <c r="L268" s="652"/>
      <c r="M268" s="652"/>
    </row>
    <row r="269" spans="1:13" ht="15.75" thickBot="1">
      <c r="A269" s="2157" t="s">
        <v>316</v>
      </c>
      <c r="B269" s="2158"/>
      <c r="C269" s="2158"/>
      <c r="D269" s="2158"/>
      <c r="E269" s="2158"/>
      <c r="F269" s="2159"/>
      <c r="G269" s="753">
        <f>ROUNDUP(F268,2)</f>
        <v>3.68</v>
      </c>
      <c r="H269" s="652"/>
      <c r="I269" s="652"/>
      <c r="J269" s="652"/>
      <c r="K269" s="652"/>
      <c r="L269" s="652"/>
      <c r="M269" s="652"/>
    </row>
    <row r="270" spans="1:13" ht="15.75" thickBot="1">
      <c r="A270" s="788"/>
      <c r="B270" s="789"/>
      <c r="C270" s="733"/>
      <c r="D270" s="733"/>
      <c r="E270" s="733"/>
      <c r="F270" s="733"/>
      <c r="G270" s="756"/>
      <c r="H270" s="652"/>
      <c r="I270" s="652"/>
      <c r="J270" s="652"/>
      <c r="K270" s="652"/>
      <c r="L270" s="652"/>
      <c r="M270" s="652"/>
    </row>
    <row r="271" spans="1:13" ht="15.75" thickBot="1">
      <c r="A271" s="666" t="s">
        <v>349</v>
      </c>
      <c r="B271" s="2163" t="s">
        <v>676</v>
      </c>
      <c r="C271" s="2164"/>
      <c r="D271" s="2164"/>
      <c r="E271" s="2164"/>
      <c r="F271" s="2164"/>
      <c r="G271" s="2165"/>
      <c r="H271" s="652"/>
      <c r="I271" s="667" t="s">
        <v>426</v>
      </c>
      <c r="J271" s="652"/>
      <c r="K271" s="652"/>
      <c r="L271" s="652"/>
      <c r="M271" s="652"/>
    </row>
    <row r="272" spans="1:13">
      <c r="A272" s="2166" t="s">
        <v>279</v>
      </c>
      <c r="B272" s="2167"/>
      <c r="C272" s="2167"/>
      <c r="D272" s="2167"/>
      <c r="E272" s="2167"/>
      <c r="F272" s="2167"/>
      <c r="G272" s="2168"/>
      <c r="H272" s="652"/>
      <c r="I272" s="652"/>
      <c r="J272" s="652"/>
      <c r="K272" s="652"/>
      <c r="L272" s="652"/>
      <c r="M272" s="652"/>
    </row>
    <row r="273" spans="1:13">
      <c r="A273" s="2169" t="s">
        <v>336</v>
      </c>
      <c r="B273" s="2170"/>
      <c r="C273" s="2170"/>
      <c r="D273" s="2170"/>
      <c r="E273" s="2170"/>
      <c r="F273" s="2170"/>
      <c r="G273" s="2171"/>
      <c r="H273" s="652"/>
      <c r="I273" s="652"/>
      <c r="J273" s="652"/>
      <c r="K273" s="652"/>
      <c r="L273" s="652"/>
      <c r="M273" s="652"/>
    </row>
    <row r="274" spans="1:13">
      <c r="A274" s="681" t="s">
        <v>284</v>
      </c>
      <c r="B274" s="682" t="s">
        <v>337</v>
      </c>
      <c r="C274" s="682" t="s">
        <v>338</v>
      </c>
      <c r="D274" s="682" t="s">
        <v>309</v>
      </c>
      <c r="E274" s="682" t="s">
        <v>252</v>
      </c>
      <c r="F274" s="2174" t="s">
        <v>339</v>
      </c>
      <c r="G274" s="2176"/>
      <c r="H274" s="652"/>
      <c r="I274" s="652"/>
      <c r="J274" s="652"/>
      <c r="K274" s="652"/>
      <c r="L274" s="652"/>
      <c r="M274" s="652"/>
    </row>
    <row r="275" spans="1:13">
      <c r="A275" s="765" t="s">
        <v>677</v>
      </c>
      <c r="B275" s="685">
        <v>3.9</v>
      </c>
      <c r="C275" s="791">
        <v>2.4500000000000002</v>
      </c>
      <c r="D275" s="791">
        <f>ROUNDUP(B275*C275,2)</f>
        <v>9.56</v>
      </c>
      <c r="E275" s="791">
        <v>2</v>
      </c>
      <c r="F275" s="2352">
        <f>E275*D275</f>
        <v>19.12</v>
      </c>
      <c r="G275" s="2353"/>
      <c r="H275" s="652"/>
      <c r="I275" s="652"/>
      <c r="J275" s="652"/>
      <c r="K275" s="652"/>
      <c r="L275" s="652"/>
      <c r="M275" s="652"/>
    </row>
    <row r="276" spans="1:13" ht="15.75" thickBot="1">
      <c r="A276" s="2157" t="s">
        <v>316</v>
      </c>
      <c r="B276" s="2158"/>
      <c r="C276" s="2158"/>
      <c r="D276" s="2158"/>
      <c r="E276" s="2158"/>
      <c r="F276" s="2159"/>
      <c r="G276" s="753">
        <f>ROUNDUP(F275,2)</f>
        <v>19.12</v>
      </c>
      <c r="H276" s="652"/>
      <c r="I276" s="652"/>
      <c r="J276" s="652"/>
      <c r="K276" s="652"/>
      <c r="L276" s="652"/>
      <c r="M276" s="652"/>
    </row>
    <row r="277" spans="1:13" ht="15.75" thickBot="1">
      <c r="A277" s="788"/>
      <c r="B277" s="789"/>
      <c r="C277" s="733"/>
      <c r="D277" s="733"/>
      <c r="E277" s="733"/>
      <c r="F277" s="733"/>
      <c r="G277" s="756"/>
      <c r="H277" s="652"/>
      <c r="I277" s="652"/>
      <c r="J277" s="652"/>
      <c r="K277" s="652"/>
      <c r="L277" s="652"/>
      <c r="M277" s="652"/>
    </row>
    <row r="278" spans="1:13" ht="15.75" thickBot="1">
      <c r="A278" s="666" t="s">
        <v>351</v>
      </c>
      <c r="B278" s="2163" t="s">
        <v>678</v>
      </c>
      <c r="C278" s="2164"/>
      <c r="D278" s="2164"/>
      <c r="E278" s="2164"/>
      <c r="F278" s="2164"/>
      <c r="G278" s="2165"/>
      <c r="H278" s="652"/>
      <c r="I278" s="667" t="s">
        <v>426</v>
      </c>
      <c r="J278" s="652"/>
      <c r="K278" s="652"/>
      <c r="L278" s="652"/>
      <c r="M278" s="652"/>
    </row>
    <row r="279" spans="1:13">
      <c r="A279" s="2166" t="s">
        <v>279</v>
      </c>
      <c r="B279" s="2167"/>
      <c r="C279" s="2167"/>
      <c r="D279" s="2167"/>
      <c r="E279" s="2167"/>
      <c r="F279" s="2167"/>
      <c r="G279" s="2168"/>
      <c r="H279" s="652"/>
      <c r="I279" s="652"/>
      <c r="J279" s="652"/>
      <c r="K279" s="652"/>
      <c r="L279" s="652"/>
      <c r="M279" s="652"/>
    </row>
    <row r="280" spans="1:13">
      <c r="A280" s="2169" t="s">
        <v>336</v>
      </c>
      <c r="B280" s="2170"/>
      <c r="C280" s="2170"/>
      <c r="D280" s="2170"/>
      <c r="E280" s="2170"/>
      <c r="F280" s="2170"/>
      <c r="G280" s="2171"/>
      <c r="H280" s="652"/>
      <c r="I280" s="652"/>
      <c r="J280" s="652"/>
      <c r="K280" s="652"/>
      <c r="L280" s="652"/>
      <c r="M280" s="652"/>
    </row>
    <row r="281" spans="1:13">
      <c r="A281" s="681" t="s">
        <v>284</v>
      </c>
      <c r="B281" s="682" t="s">
        <v>337</v>
      </c>
      <c r="C281" s="682" t="s">
        <v>338</v>
      </c>
      <c r="D281" s="682" t="s">
        <v>309</v>
      </c>
      <c r="E281" s="682" t="s">
        <v>252</v>
      </c>
      <c r="F281" s="2174" t="s">
        <v>339</v>
      </c>
      <c r="G281" s="2176"/>
      <c r="H281" s="652"/>
      <c r="I281" s="652"/>
      <c r="J281" s="652"/>
      <c r="K281" s="652"/>
      <c r="L281" s="652"/>
      <c r="M281" s="652"/>
    </row>
    <row r="282" spans="1:13">
      <c r="A282" s="765" t="s">
        <v>345</v>
      </c>
      <c r="B282" s="685">
        <v>1.1000000000000001</v>
      </c>
      <c r="C282" s="791">
        <v>0.6</v>
      </c>
      <c r="D282" s="791">
        <f>ROUNDUP(B282*C282,2)</f>
        <v>0.66</v>
      </c>
      <c r="E282" s="791">
        <v>11</v>
      </c>
      <c r="F282" s="2352">
        <f>E282*D282</f>
        <v>7.2600000000000007</v>
      </c>
      <c r="G282" s="2353"/>
      <c r="H282" s="652"/>
      <c r="I282" s="652"/>
      <c r="J282" s="652"/>
      <c r="K282" s="652"/>
      <c r="L282" s="652"/>
      <c r="M282" s="652"/>
    </row>
    <row r="283" spans="1:13" ht="15.75" thickBot="1">
      <c r="A283" s="2157" t="s">
        <v>316</v>
      </c>
      <c r="B283" s="2158"/>
      <c r="C283" s="2158"/>
      <c r="D283" s="2158"/>
      <c r="E283" s="2158"/>
      <c r="F283" s="2159"/>
      <c r="G283" s="753">
        <f>ROUNDUP(F282,2)</f>
        <v>7.26</v>
      </c>
      <c r="H283" s="652"/>
      <c r="I283" s="652"/>
      <c r="J283" s="652"/>
      <c r="K283" s="652"/>
      <c r="L283" s="652"/>
      <c r="M283" s="652"/>
    </row>
    <row r="284" spans="1:13" ht="15.75" thickBot="1">
      <c r="A284" s="788"/>
      <c r="B284" s="789"/>
      <c r="C284" s="733"/>
      <c r="D284" s="733"/>
      <c r="E284" s="733"/>
      <c r="F284" s="733"/>
      <c r="G284" s="756"/>
      <c r="H284" s="652"/>
      <c r="I284" s="652"/>
      <c r="J284" s="652"/>
      <c r="K284" s="652"/>
      <c r="L284" s="652"/>
      <c r="M284" s="652"/>
    </row>
    <row r="285" spans="1:13" ht="15.75" thickBot="1">
      <c r="A285" s="666" t="s">
        <v>356</v>
      </c>
      <c r="B285" s="2163" t="s">
        <v>678</v>
      </c>
      <c r="C285" s="2164"/>
      <c r="D285" s="2164"/>
      <c r="E285" s="2164"/>
      <c r="F285" s="2164"/>
      <c r="G285" s="2165"/>
      <c r="H285" s="652"/>
      <c r="I285" s="667" t="s">
        <v>426</v>
      </c>
      <c r="J285" s="652"/>
      <c r="K285" s="652"/>
      <c r="L285" s="652"/>
      <c r="M285" s="652"/>
    </row>
    <row r="286" spans="1:13">
      <c r="A286" s="2166" t="s">
        <v>279</v>
      </c>
      <c r="B286" s="2167"/>
      <c r="C286" s="2167"/>
      <c r="D286" s="2167"/>
      <c r="E286" s="2167"/>
      <c r="F286" s="2167"/>
      <c r="G286" s="2168"/>
      <c r="H286" s="652"/>
      <c r="I286" s="652"/>
      <c r="J286" s="652"/>
      <c r="K286" s="652"/>
      <c r="L286" s="652"/>
      <c r="M286" s="652"/>
    </row>
    <row r="287" spans="1:13">
      <c r="A287" s="2169" t="s">
        <v>336</v>
      </c>
      <c r="B287" s="2170"/>
      <c r="C287" s="2170"/>
      <c r="D287" s="2170"/>
      <c r="E287" s="2170"/>
      <c r="F287" s="2170"/>
      <c r="G287" s="2171"/>
      <c r="H287" s="652"/>
      <c r="I287" s="652"/>
      <c r="J287" s="652"/>
      <c r="K287" s="652"/>
      <c r="L287" s="652"/>
      <c r="M287" s="652"/>
    </row>
    <row r="288" spans="1:13">
      <c r="A288" s="681" t="s">
        <v>284</v>
      </c>
      <c r="B288" s="682" t="s">
        <v>337</v>
      </c>
      <c r="C288" s="682" t="s">
        <v>338</v>
      </c>
      <c r="D288" s="682" t="s">
        <v>309</v>
      </c>
      <c r="E288" s="682" t="s">
        <v>252</v>
      </c>
      <c r="F288" s="2174" t="s">
        <v>339</v>
      </c>
      <c r="G288" s="2176"/>
      <c r="H288" s="652"/>
      <c r="I288" s="652"/>
      <c r="J288" s="652"/>
      <c r="K288" s="652"/>
      <c r="L288" s="652"/>
      <c r="M288" s="652"/>
    </row>
    <row r="289" spans="1:13">
      <c r="A289" s="765" t="s">
        <v>346</v>
      </c>
      <c r="B289" s="685">
        <v>2.2999999999999998</v>
      </c>
      <c r="C289" s="791">
        <v>1.1000000000000001</v>
      </c>
      <c r="D289" s="791">
        <f>ROUNDUP(B289*C289,2)</f>
        <v>2.5299999999999998</v>
      </c>
      <c r="E289" s="791">
        <v>6</v>
      </c>
      <c r="F289" s="2352">
        <f>E289*D289</f>
        <v>15.18</v>
      </c>
      <c r="G289" s="2353"/>
      <c r="H289" s="652"/>
      <c r="I289" s="652"/>
      <c r="J289" s="652"/>
      <c r="K289" s="652"/>
      <c r="L289" s="652"/>
      <c r="M289" s="652"/>
    </row>
    <row r="290" spans="1:13" ht="15.75" thickBot="1">
      <c r="A290" s="2157" t="s">
        <v>316</v>
      </c>
      <c r="B290" s="2158"/>
      <c r="C290" s="2158"/>
      <c r="D290" s="2158"/>
      <c r="E290" s="2158"/>
      <c r="F290" s="2159"/>
      <c r="G290" s="753">
        <f>ROUNDUP(F289,2)</f>
        <v>15.18</v>
      </c>
      <c r="H290" s="652"/>
      <c r="I290" s="652"/>
      <c r="J290" s="652"/>
      <c r="K290" s="652"/>
      <c r="L290" s="652"/>
      <c r="M290" s="652"/>
    </row>
    <row r="291" spans="1:13" ht="15.75" thickBot="1">
      <c r="A291" s="788"/>
      <c r="B291" s="789"/>
      <c r="C291" s="733"/>
      <c r="D291" s="733"/>
      <c r="E291" s="733"/>
      <c r="F291" s="733"/>
      <c r="G291" s="756"/>
      <c r="H291" s="652"/>
      <c r="I291" s="652"/>
      <c r="J291" s="652"/>
      <c r="K291" s="652"/>
      <c r="L291" s="652"/>
      <c r="M291" s="652"/>
    </row>
    <row r="292" spans="1:13" ht="15.75" thickBot="1">
      <c r="A292" s="666" t="s">
        <v>357</v>
      </c>
      <c r="B292" s="2163" t="s">
        <v>680</v>
      </c>
      <c r="C292" s="2164"/>
      <c r="D292" s="2164"/>
      <c r="E292" s="2164"/>
      <c r="F292" s="2164"/>
      <c r="G292" s="2165"/>
      <c r="H292" s="652"/>
      <c r="I292" s="667" t="s">
        <v>426</v>
      </c>
      <c r="J292" s="652"/>
      <c r="K292" s="652"/>
      <c r="L292" s="652"/>
      <c r="M292" s="652"/>
    </row>
    <row r="293" spans="1:13">
      <c r="A293" s="2166" t="s">
        <v>279</v>
      </c>
      <c r="B293" s="2167"/>
      <c r="C293" s="2167"/>
      <c r="D293" s="2167"/>
      <c r="E293" s="2167"/>
      <c r="F293" s="2167"/>
      <c r="G293" s="2168"/>
      <c r="H293" s="652"/>
      <c r="I293" s="652"/>
      <c r="J293" s="652"/>
      <c r="K293" s="652"/>
      <c r="L293" s="652"/>
      <c r="M293" s="652"/>
    </row>
    <row r="294" spans="1:13">
      <c r="A294" s="2169" t="s">
        <v>336</v>
      </c>
      <c r="B294" s="2170"/>
      <c r="C294" s="2170"/>
      <c r="D294" s="2170"/>
      <c r="E294" s="2170"/>
      <c r="F294" s="2170"/>
      <c r="G294" s="2171"/>
      <c r="H294" s="652"/>
      <c r="I294" s="652"/>
      <c r="J294" s="652"/>
      <c r="K294" s="652"/>
      <c r="L294" s="652"/>
      <c r="M294" s="652"/>
    </row>
    <row r="295" spans="1:13">
      <c r="A295" s="681" t="s">
        <v>284</v>
      </c>
      <c r="B295" s="682" t="s">
        <v>337</v>
      </c>
      <c r="C295" s="682" t="s">
        <v>338</v>
      </c>
      <c r="D295" s="682" t="s">
        <v>309</v>
      </c>
      <c r="E295" s="682" t="s">
        <v>252</v>
      </c>
      <c r="F295" s="2174" t="s">
        <v>339</v>
      </c>
      <c r="G295" s="2176"/>
      <c r="H295" s="652"/>
      <c r="I295" s="652"/>
      <c r="J295" s="652"/>
      <c r="K295" s="652"/>
      <c r="L295" s="652"/>
      <c r="M295" s="652"/>
    </row>
    <row r="296" spans="1:13">
      <c r="A296" s="765" t="s">
        <v>348</v>
      </c>
      <c r="B296" s="685">
        <v>2.2000000000000002</v>
      </c>
      <c r="C296" s="791">
        <v>1.1000000000000001</v>
      </c>
      <c r="D296" s="791">
        <f>ROUNDUP(B296*C296,2)</f>
        <v>2.42</v>
      </c>
      <c r="E296" s="791">
        <v>2</v>
      </c>
      <c r="F296" s="2352">
        <f>E296*D296</f>
        <v>4.84</v>
      </c>
      <c r="G296" s="2353"/>
      <c r="H296" s="652"/>
      <c r="I296" s="652"/>
      <c r="J296" s="652"/>
      <c r="K296" s="652"/>
      <c r="L296" s="652"/>
      <c r="M296" s="652"/>
    </row>
    <row r="297" spans="1:13" ht="15.75" thickBot="1">
      <c r="A297" s="2157" t="s">
        <v>316</v>
      </c>
      <c r="B297" s="2158"/>
      <c r="C297" s="2158"/>
      <c r="D297" s="2158"/>
      <c r="E297" s="2158"/>
      <c r="F297" s="2159"/>
      <c r="G297" s="753">
        <f>ROUNDUP(F296,2)</f>
        <v>4.84</v>
      </c>
      <c r="H297" s="652"/>
      <c r="I297" s="652"/>
      <c r="J297" s="652"/>
      <c r="K297" s="652"/>
      <c r="L297" s="652"/>
      <c r="M297" s="652"/>
    </row>
    <row r="298" spans="1:13" ht="15.75" thickBot="1">
      <c r="A298" s="788"/>
      <c r="B298" s="789"/>
      <c r="C298" s="733"/>
      <c r="D298" s="733"/>
      <c r="E298" s="733"/>
      <c r="F298" s="733"/>
      <c r="G298" s="756"/>
      <c r="H298" s="652"/>
      <c r="I298" s="652"/>
      <c r="J298" s="652"/>
      <c r="K298" s="652"/>
      <c r="L298" s="652"/>
      <c r="M298" s="652"/>
    </row>
    <row r="299" spans="1:13" ht="15.75" thickBot="1">
      <c r="A299" s="666" t="s">
        <v>679</v>
      </c>
      <c r="B299" s="2163" t="s">
        <v>678</v>
      </c>
      <c r="C299" s="2164"/>
      <c r="D299" s="2164"/>
      <c r="E299" s="2164"/>
      <c r="F299" s="2164"/>
      <c r="G299" s="2165"/>
      <c r="H299" s="652"/>
      <c r="I299" s="667" t="s">
        <v>426</v>
      </c>
      <c r="J299" s="652"/>
      <c r="K299" s="652"/>
      <c r="L299" s="652"/>
      <c r="M299" s="652"/>
    </row>
    <row r="300" spans="1:13">
      <c r="A300" s="2166" t="s">
        <v>279</v>
      </c>
      <c r="B300" s="2167"/>
      <c r="C300" s="2167"/>
      <c r="D300" s="2167"/>
      <c r="E300" s="2167"/>
      <c r="F300" s="2167"/>
      <c r="G300" s="2168"/>
      <c r="H300" s="652"/>
      <c r="I300" s="652"/>
      <c r="J300" s="652"/>
      <c r="K300" s="652"/>
      <c r="L300" s="652"/>
      <c r="M300" s="652"/>
    </row>
    <row r="301" spans="1:13">
      <c r="A301" s="2169" t="s">
        <v>336</v>
      </c>
      <c r="B301" s="2170"/>
      <c r="C301" s="2170"/>
      <c r="D301" s="2170"/>
      <c r="E301" s="2170"/>
      <c r="F301" s="2170"/>
      <c r="G301" s="2171"/>
      <c r="H301" s="652"/>
      <c r="I301" s="652"/>
      <c r="J301" s="652"/>
      <c r="K301" s="652"/>
      <c r="L301" s="652"/>
      <c r="M301" s="652"/>
    </row>
    <row r="302" spans="1:13">
      <c r="A302" s="681" t="s">
        <v>284</v>
      </c>
      <c r="B302" s="682" t="s">
        <v>337</v>
      </c>
      <c r="C302" s="682" t="s">
        <v>338</v>
      </c>
      <c r="D302" s="682" t="s">
        <v>309</v>
      </c>
      <c r="E302" s="682" t="s">
        <v>252</v>
      </c>
      <c r="F302" s="2174" t="s">
        <v>339</v>
      </c>
      <c r="G302" s="2176"/>
      <c r="H302" s="652"/>
      <c r="I302" s="652"/>
      <c r="J302" s="652"/>
      <c r="K302" s="652"/>
      <c r="L302" s="652"/>
      <c r="M302" s="652"/>
    </row>
    <row r="303" spans="1:13">
      <c r="A303" s="765" t="s">
        <v>350</v>
      </c>
      <c r="B303" s="685">
        <v>1.2</v>
      </c>
      <c r="C303" s="791">
        <v>1.6</v>
      </c>
      <c r="D303" s="791">
        <f>ROUNDUP(B303*C303,2)</f>
        <v>1.92</v>
      </c>
      <c r="E303" s="791">
        <v>1</v>
      </c>
      <c r="F303" s="2352">
        <f>E303*D303</f>
        <v>1.92</v>
      </c>
      <c r="G303" s="2353"/>
      <c r="H303" s="652"/>
      <c r="I303" s="652"/>
      <c r="J303" s="652"/>
      <c r="K303" s="652"/>
      <c r="L303" s="652"/>
      <c r="M303" s="652"/>
    </row>
    <row r="304" spans="1:13" ht="15.75" thickBot="1">
      <c r="A304" s="2157" t="s">
        <v>316</v>
      </c>
      <c r="B304" s="2158"/>
      <c r="C304" s="2158"/>
      <c r="D304" s="2158"/>
      <c r="E304" s="2158"/>
      <c r="F304" s="2159"/>
      <c r="G304" s="753">
        <f>ROUNDUP(F303,2)</f>
        <v>1.92</v>
      </c>
      <c r="H304" s="652"/>
      <c r="I304" s="652"/>
      <c r="J304" s="652"/>
      <c r="K304" s="652"/>
      <c r="L304" s="652"/>
      <c r="M304" s="652"/>
    </row>
    <row r="305" spans="1:13" ht="15.75" thickBot="1">
      <c r="A305" s="788"/>
      <c r="B305" s="789"/>
      <c r="C305" s="733"/>
      <c r="D305" s="733"/>
      <c r="E305" s="733"/>
      <c r="F305" s="733"/>
      <c r="G305" s="756"/>
      <c r="H305" s="652"/>
      <c r="I305" s="652"/>
      <c r="J305" s="652"/>
      <c r="K305" s="652"/>
      <c r="L305" s="652"/>
      <c r="M305" s="652"/>
    </row>
    <row r="306" spans="1:13" ht="15.75" thickBot="1">
      <c r="A306" s="666" t="s">
        <v>681</v>
      </c>
      <c r="B306" s="2163" t="s">
        <v>678</v>
      </c>
      <c r="C306" s="2164"/>
      <c r="D306" s="2164"/>
      <c r="E306" s="2164"/>
      <c r="F306" s="2164"/>
      <c r="G306" s="2165"/>
      <c r="H306" s="652"/>
      <c r="I306" s="667" t="s">
        <v>426</v>
      </c>
      <c r="J306" s="652"/>
      <c r="K306" s="652"/>
      <c r="L306" s="652"/>
      <c r="M306" s="652"/>
    </row>
    <row r="307" spans="1:13">
      <c r="A307" s="2166" t="s">
        <v>279</v>
      </c>
      <c r="B307" s="2167"/>
      <c r="C307" s="2167"/>
      <c r="D307" s="2167"/>
      <c r="E307" s="2167"/>
      <c r="F307" s="2167"/>
      <c r="G307" s="2168"/>
      <c r="H307" s="652"/>
      <c r="I307" s="652"/>
      <c r="J307" s="652"/>
      <c r="K307" s="652"/>
      <c r="L307" s="652"/>
      <c r="M307" s="652"/>
    </row>
    <row r="308" spans="1:13">
      <c r="A308" s="2169" t="s">
        <v>336</v>
      </c>
      <c r="B308" s="2170"/>
      <c r="C308" s="2170"/>
      <c r="D308" s="2170"/>
      <c r="E308" s="2170"/>
      <c r="F308" s="2170"/>
      <c r="G308" s="2171"/>
      <c r="H308" s="652"/>
      <c r="I308" s="652"/>
      <c r="J308" s="652"/>
      <c r="K308" s="652"/>
      <c r="L308" s="652"/>
      <c r="M308" s="652"/>
    </row>
    <row r="309" spans="1:13">
      <c r="A309" s="681" t="s">
        <v>284</v>
      </c>
      <c r="B309" s="682" t="s">
        <v>337</v>
      </c>
      <c r="C309" s="682" t="s">
        <v>338</v>
      </c>
      <c r="D309" s="682" t="s">
        <v>309</v>
      </c>
      <c r="E309" s="682" t="s">
        <v>252</v>
      </c>
      <c r="F309" s="2174" t="s">
        <v>339</v>
      </c>
      <c r="G309" s="2176"/>
      <c r="H309" s="652"/>
      <c r="I309" s="652"/>
      <c r="J309" s="652"/>
      <c r="K309" s="652"/>
      <c r="L309" s="652"/>
      <c r="M309" s="652"/>
    </row>
    <row r="310" spans="1:13">
      <c r="A310" s="765" t="s">
        <v>683</v>
      </c>
      <c r="B310" s="685">
        <v>0.4</v>
      </c>
      <c r="C310" s="791">
        <v>0.6</v>
      </c>
      <c r="D310" s="791">
        <f>ROUNDUP(B310*C310,2)</f>
        <v>0.24</v>
      </c>
      <c r="E310" s="791">
        <v>2</v>
      </c>
      <c r="F310" s="2352">
        <f>E310*D310</f>
        <v>0.48</v>
      </c>
      <c r="G310" s="2353"/>
      <c r="H310" s="652"/>
      <c r="I310" s="652"/>
      <c r="J310" s="652"/>
      <c r="K310" s="652"/>
      <c r="L310" s="652"/>
      <c r="M310" s="652"/>
    </row>
    <row r="311" spans="1:13" ht="15.75" thickBot="1">
      <c r="A311" s="2157" t="s">
        <v>316</v>
      </c>
      <c r="B311" s="2158"/>
      <c r="C311" s="2158"/>
      <c r="D311" s="2158"/>
      <c r="E311" s="2158"/>
      <c r="F311" s="2159"/>
      <c r="G311" s="753">
        <f>ROUNDUP(F310,2)</f>
        <v>0.48</v>
      </c>
      <c r="H311" s="652"/>
      <c r="I311" s="745">
        <f>G304+G311+G290+G283</f>
        <v>24.839999999999996</v>
      </c>
      <c r="J311" s="652"/>
      <c r="K311" s="652"/>
      <c r="L311" s="652"/>
      <c r="M311" s="652"/>
    </row>
    <row r="312" spans="1:13" ht="15.75" thickBot="1">
      <c r="A312" s="788"/>
      <c r="B312" s="789"/>
      <c r="C312" s="733"/>
      <c r="D312" s="733"/>
      <c r="E312" s="733"/>
      <c r="F312" s="733"/>
      <c r="G312" s="756"/>
      <c r="H312" s="652"/>
      <c r="I312" s="652"/>
      <c r="J312" s="652"/>
      <c r="K312" s="652"/>
      <c r="L312" s="652"/>
      <c r="M312" s="652"/>
    </row>
    <row r="313" spans="1:13" ht="15.75" thickBot="1">
      <c r="A313" s="666" t="s">
        <v>682</v>
      </c>
      <c r="B313" s="2163" t="s">
        <v>684</v>
      </c>
      <c r="C313" s="2164"/>
      <c r="D313" s="2164"/>
      <c r="E313" s="2164"/>
      <c r="F313" s="2164"/>
      <c r="G313" s="2165"/>
      <c r="H313" s="652"/>
      <c r="I313" s="667" t="s">
        <v>426</v>
      </c>
      <c r="J313" s="652"/>
      <c r="K313" s="652"/>
      <c r="L313" s="652"/>
      <c r="M313" s="652"/>
    </row>
    <row r="314" spans="1:13">
      <c r="A314" s="2182" t="s">
        <v>279</v>
      </c>
      <c r="B314" s="2183"/>
      <c r="C314" s="2183"/>
      <c r="D314" s="2183"/>
      <c r="E314" s="2183"/>
      <c r="F314" s="2183"/>
      <c r="G314" s="2184"/>
      <c r="H314" s="652"/>
      <c r="I314" s="652"/>
      <c r="J314" s="652"/>
      <c r="K314" s="652"/>
      <c r="L314" s="652"/>
      <c r="M314" s="652"/>
    </row>
    <row r="315" spans="1:13">
      <c r="A315" s="2169" t="s">
        <v>352</v>
      </c>
      <c r="B315" s="2170"/>
      <c r="C315" s="2170"/>
      <c r="D315" s="2170"/>
      <c r="E315" s="2170"/>
      <c r="F315" s="2170"/>
      <c r="G315" s="2171"/>
      <c r="H315" s="652"/>
      <c r="I315" s="652"/>
      <c r="J315" s="652"/>
      <c r="K315" s="652"/>
      <c r="L315" s="652"/>
      <c r="M315" s="652"/>
    </row>
    <row r="316" spans="1:13">
      <c r="A316" s="681" t="s">
        <v>353</v>
      </c>
      <c r="B316" s="682" t="s">
        <v>321</v>
      </c>
      <c r="C316" s="682" t="s">
        <v>331</v>
      </c>
      <c r="D316" s="682" t="s">
        <v>252</v>
      </c>
      <c r="E316" s="682" t="s">
        <v>354</v>
      </c>
      <c r="F316" s="2174"/>
      <c r="G316" s="2176"/>
      <c r="H316" s="652"/>
      <c r="I316" s="652"/>
      <c r="J316" s="652"/>
      <c r="K316" s="652"/>
      <c r="L316" s="652"/>
      <c r="M316" s="652"/>
    </row>
    <row r="317" spans="1:13">
      <c r="A317" s="765" t="s">
        <v>345</v>
      </c>
      <c r="B317" s="685">
        <v>0.2</v>
      </c>
      <c r="C317" s="685">
        <v>1.1000000000000001</v>
      </c>
      <c r="D317" s="767">
        <v>11</v>
      </c>
      <c r="E317" s="792">
        <f>C317*D317</f>
        <v>12.100000000000001</v>
      </c>
      <c r="F317" s="2344" t="s">
        <v>685</v>
      </c>
      <c r="G317" s="2345"/>
      <c r="H317" s="652"/>
      <c r="I317" s="652"/>
      <c r="J317" s="652"/>
      <c r="K317" s="652"/>
      <c r="L317" s="652"/>
      <c r="M317" s="652"/>
    </row>
    <row r="318" spans="1:13">
      <c r="A318" s="765" t="s">
        <v>346</v>
      </c>
      <c r="B318" s="685">
        <v>0.2</v>
      </c>
      <c r="C318" s="685">
        <v>2.2999999999999998</v>
      </c>
      <c r="D318" s="767">
        <v>6</v>
      </c>
      <c r="E318" s="792">
        <f>C318*D318</f>
        <v>13.799999999999999</v>
      </c>
      <c r="F318" s="2346"/>
      <c r="G318" s="2347"/>
      <c r="H318" s="652"/>
      <c r="I318" s="652"/>
      <c r="J318" s="652"/>
      <c r="K318" s="652"/>
      <c r="L318" s="652"/>
      <c r="M318" s="652"/>
    </row>
    <row r="319" spans="1:13">
      <c r="A319" s="765" t="s">
        <v>348</v>
      </c>
      <c r="B319" s="685">
        <v>0.2</v>
      </c>
      <c r="C319" s="685">
        <v>2.2000000000000002</v>
      </c>
      <c r="D319" s="767">
        <v>2</v>
      </c>
      <c r="E319" s="792">
        <f>C319*D319</f>
        <v>4.4000000000000004</v>
      </c>
      <c r="F319" s="2346"/>
      <c r="G319" s="2347"/>
      <c r="H319" s="652"/>
      <c r="I319" s="652"/>
      <c r="J319" s="652"/>
      <c r="K319" s="652"/>
      <c r="L319" s="652"/>
      <c r="M319" s="652"/>
    </row>
    <row r="320" spans="1:13">
      <c r="A320" s="765" t="s">
        <v>350</v>
      </c>
      <c r="B320" s="685">
        <v>0.2</v>
      </c>
      <c r="C320" s="685">
        <v>1.2</v>
      </c>
      <c r="D320" s="767">
        <v>1</v>
      </c>
      <c r="E320" s="792">
        <f>C320*D320</f>
        <v>1.2</v>
      </c>
      <c r="F320" s="2346"/>
      <c r="G320" s="2347"/>
      <c r="H320" s="652"/>
      <c r="I320" s="652"/>
      <c r="J320" s="652"/>
      <c r="K320" s="652"/>
      <c r="L320" s="652"/>
      <c r="M320" s="652"/>
    </row>
    <row r="321" spans="1:13" ht="15.75" thickBot="1">
      <c r="A321" s="2157" t="s">
        <v>283</v>
      </c>
      <c r="B321" s="2158"/>
      <c r="C321" s="2158"/>
      <c r="D321" s="2159"/>
      <c r="E321" s="784">
        <f>SUM(E317:E320)</f>
        <v>31.499999999999996</v>
      </c>
      <c r="F321" s="793"/>
      <c r="G321" s="794"/>
      <c r="H321" s="652"/>
      <c r="I321" s="652"/>
      <c r="J321" s="652"/>
      <c r="K321" s="652"/>
      <c r="L321" s="652"/>
      <c r="M321" s="652"/>
    </row>
    <row r="322" spans="1:13" ht="15.75" thickBot="1">
      <c r="A322" s="653"/>
      <c r="B322" s="654"/>
      <c r="C322" s="654"/>
      <c r="D322" s="654"/>
      <c r="E322" s="654"/>
      <c r="F322" s="654"/>
      <c r="G322" s="655"/>
      <c r="H322" s="652"/>
      <c r="I322" s="652"/>
      <c r="J322" s="652"/>
      <c r="K322" s="652"/>
      <c r="L322" s="652"/>
      <c r="M322" s="652"/>
    </row>
    <row r="323" spans="1:13" ht="15.75" thickBot="1">
      <c r="A323" s="666" t="s">
        <v>686</v>
      </c>
      <c r="B323" s="2163" t="s">
        <v>687</v>
      </c>
      <c r="C323" s="2164"/>
      <c r="D323" s="2164"/>
      <c r="E323" s="2164"/>
      <c r="F323" s="2164"/>
      <c r="G323" s="2165"/>
      <c r="H323" s="652"/>
      <c r="I323" s="667" t="s">
        <v>426</v>
      </c>
      <c r="J323" s="652"/>
      <c r="K323" s="652"/>
      <c r="L323" s="652"/>
      <c r="M323" s="652"/>
    </row>
    <row r="324" spans="1:13">
      <c r="A324" s="2205" t="s">
        <v>279</v>
      </c>
      <c r="B324" s="2206"/>
      <c r="C324" s="2206"/>
      <c r="D324" s="2206"/>
      <c r="E324" s="2206"/>
      <c r="F324" s="2206"/>
      <c r="G324" s="2207"/>
      <c r="H324" s="652"/>
      <c r="I324" s="652"/>
      <c r="J324" s="652"/>
      <c r="K324" s="652"/>
      <c r="L324" s="652"/>
      <c r="M324" s="652"/>
    </row>
    <row r="325" spans="1:13" ht="15.75" thickBot="1">
      <c r="A325" s="2349" t="s">
        <v>352</v>
      </c>
      <c r="B325" s="2350"/>
      <c r="C325" s="2350"/>
      <c r="D325" s="2350"/>
      <c r="E325" s="2350"/>
      <c r="F325" s="2350"/>
      <c r="G325" s="2351"/>
      <c r="H325" s="652"/>
      <c r="I325" s="652"/>
      <c r="J325" s="652"/>
      <c r="K325" s="652"/>
      <c r="L325" s="652"/>
      <c r="M325" s="652"/>
    </row>
    <row r="326" spans="1:13">
      <c r="A326" s="681" t="s">
        <v>298</v>
      </c>
      <c r="B326" s="682" t="s">
        <v>605</v>
      </c>
      <c r="C326" s="683" t="s">
        <v>321</v>
      </c>
      <c r="D326" s="682" t="s">
        <v>286</v>
      </c>
      <c r="E326" s="2174" t="s">
        <v>282</v>
      </c>
      <c r="F326" s="2175"/>
      <c r="G326" s="2176"/>
      <c r="H326" s="652"/>
      <c r="I326" s="652"/>
      <c r="J326" s="652"/>
      <c r="K326" s="652"/>
      <c r="L326" s="652"/>
      <c r="M326" s="652"/>
    </row>
    <row r="327" spans="1:13" ht="15.75" thickBot="1">
      <c r="A327" s="795" t="s">
        <v>688</v>
      </c>
      <c r="B327" s="796">
        <f>5.4+2.9</f>
        <v>8.3000000000000007</v>
      </c>
      <c r="C327" s="797">
        <v>0.05</v>
      </c>
      <c r="D327" s="796">
        <f>B327*C327</f>
        <v>0.41500000000000004</v>
      </c>
      <c r="E327" s="2350"/>
      <c r="F327" s="2350"/>
      <c r="G327" s="2351"/>
      <c r="H327" s="652"/>
      <c r="I327" s="652"/>
      <c r="J327" s="652"/>
      <c r="K327" s="652"/>
      <c r="L327" s="652"/>
      <c r="M327" s="652"/>
    </row>
    <row r="328" spans="1:13" ht="15.75" thickBot="1">
      <c r="A328" s="653"/>
      <c r="B328" s="654"/>
      <c r="C328" s="654"/>
      <c r="D328" s="654"/>
      <c r="E328" s="654"/>
      <c r="F328" s="654"/>
      <c r="G328" s="655"/>
      <c r="H328" s="652"/>
      <c r="I328" s="652"/>
      <c r="J328" s="652"/>
      <c r="K328" s="652"/>
      <c r="L328" s="652"/>
      <c r="M328" s="652"/>
    </row>
    <row r="329" spans="1:13" ht="15.75" thickBot="1">
      <c r="A329" s="666" t="s">
        <v>689</v>
      </c>
      <c r="B329" s="2163" t="s">
        <v>690</v>
      </c>
      <c r="C329" s="2164"/>
      <c r="D329" s="2164"/>
      <c r="E329" s="2164"/>
      <c r="F329" s="2164"/>
      <c r="G329" s="2165"/>
      <c r="H329" s="652"/>
      <c r="I329" s="667" t="s">
        <v>426</v>
      </c>
      <c r="J329" s="652"/>
      <c r="K329" s="652"/>
      <c r="L329" s="652"/>
      <c r="M329" s="652"/>
    </row>
    <row r="330" spans="1:13">
      <c r="A330" s="2182" t="s">
        <v>279</v>
      </c>
      <c r="B330" s="2183"/>
      <c r="C330" s="2183"/>
      <c r="D330" s="2183"/>
      <c r="E330" s="2183"/>
      <c r="F330" s="2183"/>
      <c r="G330" s="2184"/>
      <c r="H330" s="652"/>
      <c r="I330" s="652"/>
      <c r="J330" s="652"/>
      <c r="K330" s="652"/>
      <c r="L330" s="652"/>
      <c r="M330" s="652"/>
    </row>
    <row r="331" spans="1:13">
      <c r="A331" s="2169" t="s">
        <v>352</v>
      </c>
      <c r="B331" s="2170"/>
      <c r="C331" s="2170"/>
      <c r="D331" s="2170"/>
      <c r="E331" s="2170"/>
      <c r="F331" s="2170"/>
      <c r="G331" s="2171"/>
      <c r="H331" s="652"/>
      <c r="I331" s="652"/>
      <c r="J331" s="652"/>
      <c r="K331" s="652"/>
      <c r="L331" s="652"/>
      <c r="M331" s="652"/>
    </row>
    <row r="332" spans="1:13">
      <c r="A332" s="681" t="s">
        <v>353</v>
      </c>
      <c r="B332" s="682" t="s">
        <v>321</v>
      </c>
      <c r="C332" s="682" t="s">
        <v>331</v>
      </c>
      <c r="D332" s="682" t="s">
        <v>252</v>
      </c>
      <c r="E332" s="682" t="s">
        <v>354</v>
      </c>
      <c r="F332" s="2174"/>
      <c r="G332" s="2176"/>
      <c r="H332" s="652"/>
      <c r="I332" s="652"/>
      <c r="J332" s="652"/>
      <c r="K332" s="652"/>
      <c r="L332" s="652"/>
      <c r="M332" s="652"/>
    </row>
    <row r="333" spans="1:13">
      <c r="A333" s="765" t="s">
        <v>340</v>
      </c>
      <c r="B333" s="766">
        <v>0.16</v>
      </c>
      <c r="C333" s="766">
        <v>1.3</v>
      </c>
      <c r="D333" s="779">
        <v>1</v>
      </c>
      <c r="E333" s="780">
        <f>C333*D333</f>
        <v>1.3</v>
      </c>
      <c r="F333" s="2344" t="s">
        <v>355</v>
      </c>
      <c r="G333" s="2345"/>
      <c r="H333" s="652"/>
      <c r="I333" s="652"/>
      <c r="J333" s="652"/>
      <c r="K333" s="652"/>
      <c r="L333" s="652"/>
      <c r="M333" s="652"/>
    </row>
    <row r="334" spans="1:13">
      <c r="A334" s="765" t="s">
        <v>344</v>
      </c>
      <c r="B334" s="766">
        <v>0.16</v>
      </c>
      <c r="C334" s="766">
        <v>0.9</v>
      </c>
      <c r="D334" s="685">
        <v>1</v>
      </c>
      <c r="E334" s="780">
        <f>C334*D334</f>
        <v>0.9</v>
      </c>
      <c r="F334" s="2346"/>
      <c r="G334" s="2347"/>
      <c r="H334" s="652"/>
      <c r="I334" s="652"/>
      <c r="J334" s="652"/>
      <c r="K334" s="652"/>
      <c r="L334" s="652"/>
      <c r="M334" s="652"/>
    </row>
    <row r="335" spans="1:13">
      <c r="A335" s="765" t="s">
        <v>673</v>
      </c>
      <c r="B335" s="766">
        <v>0.16</v>
      </c>
      <c r="C335" s="766">
        <v>1.6</v>
      </c>
      <c r="D335" s="685">
        <v>1</v>
      </c>
      <c r="E335" s="780">
        <f>C335*D335</f>
        <v>1.6</v>
      </c>
      <c r="F335" s="2348"/>
      <c r="G335" s="2168"/>
      <c r="H335" s="652"/>
      <c r="I335" s="652"/>
      <c r="J335" s="652"/>
      <c r="K335" s="652"/>
      <c r="L335" s="652"/>
      <c r="M335" s="652"/>
    </row>
    <row r="336" spans="1:13" ht="15.75" thickBot="1">
      <c r="A336" s="2157" t="s">
        <v>283</v>
      </c>
      <c r="B336" s="2158"/>
      <c r="C336" s="2158"/>
      <c r="D336" s="2159"/>
      <c r="E336" s="784">
        <f>ROUNDUP(E333+E334+E335,2)</f>
        <v>3.8</v>
      </c>
      <c r="F336" s="798"/>
      <c r="G336" s="799"/>
      <c r="H336" s="652"/>
      <c r="I336" s="652"/>
      <c r="J336" s="652"/>
      <c r="K336" s="652"/>
      <c r="L336" s="652"/>
      <c r="M336" s="652"/>
    </row>
    <row r="337" spans="1:13" ht="15.75" thickBot="1">
      <c r="A337" s="653"/>
      <c r="B337" s="654"/>
      <c r="C337" s="654"/>
      <c r="D337" s="654"/>
      <c r="E337" s="654"/>
      <c r="F337" s="654"/>
      <c r="G337" s="655"/>
      <c r="H337" s="652"/>
      <c r="I337" s="652"/>
      <c r="J337" s="652"/>
      <c r="K337" s="652"/>
      <c r="L337" s="652"/>
      <c r="M337" s="652"/>
    </row>
    <row r="338" spans="1:13" ht="15.75" thickBot="1">
      <c r="A338" s="666" t="s">
        <v>359</v>
      </c>
      <c r="B338" s="2163" t="s">
        <v>360</v>
      </c>
      <c r="C338" s="2164"/>
      <c r="D338" s="2164"/>
      <c r="E338" s="2164"/>
      <c r="F338" s="2164"/>
      <c r="G338" s="2165"/>
      <c r="H338" s="652"/>
      <c r="I338" s="652"/>
      <c r="J338" s="652"/>
      <c r="K338" s="652"/>
      <c r="L338" s="652"/>
      <c r="M338" s="652"/>
    </row>
    <row r="339" spans="1:13" ht="15.75" thickBot="1">
      <c r="A339" s="666" t="s">
        <v>74</v>
      </c>
      <c r="B339" s="2163" t="s">
        <v>691</v>
      </c>
      <c r="C339" s="2164"/>
      <c r="D339" s="2164"/>
      <c r="E339" s="2164"/>
      <c r="F339" s="2164"/>
      <c r="G339" s="2165"/>
      <c r="H339" s="652"/>
      <c r="I339" s="667" t="s">
        <v>426</v>
      </c>
      <c r="J339" s="652"/>
      <c r="K339" s="652"/>
      <c r="L339" s="652"/>
      <c r="M339" s="652"/>
    </row>
    <row r="340" spans="1:13">
      <c r="A340" s="2166" t="s">
        <v>279</v>
      </c>
      <c r="B340" s="2167"/>
      <c r="C340" s="2167"/>
      <c r="D340" s="2167"/>
      <c r="E340" s="2167"/>
      <c r="F340" s="2167"/>
      <c r="G340" s="2168"/>
      <c r="H340" s="652"/>
      <c r="I340" s="652"/>
      <c r="J340" s="652"/>
      <c r="K340" s="652"/>
      <c r="L340" s="652"/>
      <c r="M340" s="652"/>
    </row>
    <row r="341" spans="1:13">
      <c r="A341" s="2320" t="s">
        <v>361</v>
      </c>
      <c r="B341" s="2321"/>
      <c r="C341" s="2321"/>
      <c r="D341" s="2321"/>
      <c r="E341" s="2321"/>
      <c r="F341" s="2321"/>
      <c r="G341" s="2322"/>
      <c r="H341" s="652"/>
      <c r="I341" s="652"/>
      <c r="J341" s="652"/>
      <c r="K341" s="652"/>
      <c r="L341" s="652"/>
      <c r="M341" s="652"/>
    </row>
    <row r="342" spans="1:13">
      <c r="A342" s="2320"/>
      <c r="B342" s="2321"/>
      <c r="C342" s="2321"/>
      <c r="D342" s="2321"/>
      <c r="E342" s="2321"/>
      <c r="F342" s="2321"/>
      <c r="G342" s="2322"/>
      <c r="H342" s="652"/>
      <c r="I342" s="652"/>
      <c r="J342" s="652"/>
      <c r="K342" s="652"/>
      <c r="L342" s="652"/>
      <c r="M342" s="652"/>
    </row>
    <row r="343" spans="1:13">
      <c r="A343" s="714"/>
      <c r="B343" s="715"/>
      <c r="C343" s="715"/>
      <c r="D343" s="715"/>
      <c r="E343" s="715"/>
      <c r="F343" s="715"/>
      <c r="G343" s="716"/>
      <c r="H343" s="652"/>
      <c r="I343" s="652"/>
      <c r="J343" s="652"/>
      <c r="K343" s="652"/>
      <c r="L343" s="652"/>
      <c r="M343" s="652"/>
    </row>
    <row r="344" spans="1:13">
      <c r="A344" s="714"/>
      <c r="B344" s="715"/>
      <c r="C344" s="715"/>
      <c r="D344" s="715"/>
      <c r="E344" s="715"/>
      <c r="F344" s="715"/>
      <c r="G344" s="716"/>
      <c r="H344" s="652"/>
      <c r="I344" s="652"/>
      <c r="J344" s="652"/>
      <c r="K344" s="652"/>
      <c r="L344" s="652"/>
      <c r="M344" s="652"/>
    </row>
    <row r="345" spans="1:13">
      <c r="A345" s="714"/>
      <c r="B345" s="715"/>
      <c r="C345" s="715"/>
      <c r="D345" s="715"/>
      <c r="E345" s="715"/>
      <c r="F345" s="715"/>
      <c r="G345" s="716"/>
      <c r="H345" s="652"/>
      <c r="I345" s="652"/>
      <c r="J345" s="652"/>
      <c r="K345" s="652"/>
      <c r="L345" s="652"/>
      <c r="M345" s="652"/>
    </row>
    <row r="346" spans="1:13">
      <c r="A346" s="714"/>
      <c r="B346" s="715"/>
      <c r="C346" s="715"/>
      <c r="D346" s="715"/>
      <c r="E346" s="715"/>
      <c r="F346" s="715"/>
      <c r="G346" s="716"/>
      <c r="H346" s="652"/>
      <c r="I346" s="652"/>
      <c r="J346" s="652"/>
      <c r="K346" s="652"/>
      <c r="L346" s="652"/>
      <c r="M346" s="652"/>
    </row>
    <row r="347" spans="1:13">
      <c r="A347" s="714"/>
      <c r="B347" s="715"/>
      <c r="C347" s="715"/>
      <c r="D347" s="715"/>
      <c r="E347" s="715"/>
      <c r="F347" s="715"/>
      <c r="G347" s="716"/>
      <c r="H347" s="652"/>
      <c r="I347" s="652"/>
      <c r="J347" s="652"/>
      <c r="K347" s="652"/>
      <c r="L347" s="652"/>
      <c r="M347" s="652"/>
    </row>
    <row r="348" spans="1:13">
      <c r="A348" s="714"/>
      <c r="B348" s="715"/>
      <c r="C348" s="715"/>
      <c r="D348" s="715"/>
      <c r="E348" s="715"/>
      <c r="F348" s="715"/>
      <c r="G348" s="716"/>
      <c r="H348" s="652"/>
      <c r="I348" s="652"/>
      <c r="J348" s="652"/>
      <c r="K348" s="652"/>
      <c r="L348" s="652"/>
      <c r="M348" s="652"/>
    </row>
    <row r="349" spans="1:13">
      <c r="A349" s="714"/>
      <c r="B349" s="715"/>
      <c r="C349" s="715"/>
      <c r="D349" s="715"/>
      <c r="E349" s="715"/>
      <c r="F349" s="715"/>
      <c r="G349" s="716"/>
      <c r="H349" s="652"/>
      <c r="I349" s="652"/>
      <c r="J349" s="652"/>
      <c r="K349" s="652"/>
      <c r="L349" s="652"/>
      <c r="M349" s="652"/>
    </row>
    <row r="350" spans="1:13">
      <c r="A350" s="714"/>
      <c r="B350" s="715"/>
      <c r="C350" s="715"/>
      <c r="D350" s="715"/>
      <c r="E350" s="715"/>
      <c r="F350" s="715"/>
      <c r="G350" s="716"/>
      <c r="H350" s="652"/>
      <c r="I350" s="652"/>
      <c r="J350" s="652"/>
      <c r="K350" s="652"/>
      <c r="L350" s="652"/>
      <c r="M350" s="652"/>
    </row>
    <row r="351" spans="1:13">
      <c r="A351" s="714"/>
      <c r="B351" s="715"/>
      <c r="C351" s="715"/>
      <c r="D351" s="715"/>
      <c r="E351" s="715"/>
      <c r="F351" s="715"/>
      <c r="G351" s="716"/>
      <c r="H351" s="652"/>
      <c r="I351" s="652"/>
      <c r="J351" s="652"/>
      <c r="K351" s="652"/>
      <c r="L351" s="652"/>
      <c r="M351" s="652"/>
    </row>
    <row r="352" spans="1:13">
      <c r="A352" s="714"/>
      <c r="B352" s="715"/>
      <c r="C352" s="715"/>
      <c r="D352" s="715"/>
      <c r="E352" s="715"/>
      <c r="F352" s="715"/>
      <c r="G352" s="716"/>
      <c r="H352" s="652"/>
      <c r="I352" s="652"/>
      <c r="J352" s="652"/>
      <c r="K352" s="652"/>
      <c r="L352" s="652"/>
      <c r="M352" s="652"/>
    </row>
    <row r="353" spans="1:13">
      <c r="A353" s="714"/>
      <c r="B353" s="715"/>
      <c r="C353" s="715"/>
      <c r="D353" s="715"/>
      <c r="E353" s="2243" t="s">
        <v>297</v>
      </c>
      <c r="F353" s="2243"/>
      <c r="G353" s="716"/>
      <c r="H353" s="652"/>
      <c r="I353" s="652"/>
      <c r="J353" s="652"/>
      <c r="K353" s="652"/>
      <c r="L353" s="652"/>
      <c r="M353" s="652"/>
    </row>
    <row r="354" spans="1:13">
      <c r="A354" s="681" t="s">
        <v>298</v>
      </c>
      <c r="B354" s="682" t="s">
        <v>298</v>
      </c>
      <c r="C354" s="682" t="s">
        <v>308</v>
      </c>
      <c r="D354" s="682" t="s">
        <v>309</v>
      </c>
      <c r="E354" s="682" t="s">
        <v>310</v>
      </c>
      <c r="F354" s="682" t="s">
        <v>311</v>
      </c>
      <c r="G354" s="740" t="s">
        <v>312</v>
      </c>
      <c r="H354" s="652"/>
      <c r="I354" s="652"/>
      <c r="J354" s="652"/>
      <c r="K354" s="652"/>
      <c r="L354" s="652"/>
      <c r="M354" s="652"/>
    </row>
    <row r="355" spans="1:13">
      <c r="A355" s="2288" t="s">
        <v>692</v>
      </c>
      <c r="B355" s="2289"/>
      <c r="C355" s="2289"/>
      <c r="D355" s="2289"/>
      <c r="E355" s="2289"/>
      <c r="F355" s="2289"/>
      <c r="G355" s="2290"/>
      <c r="H355" s="652"/>
      <c r="I355" s="652"/>
      <c r="J355" s="652"/>
      <c r="K355" s="652"/>
      <c r="L355" s="652"/>
      <c r="M355" s="652"/>
    </row>
    <row r="356" spans="1:13">
      <c r="A356" s="696" t="s">
        <v>693</v>
      </c>
      <c r="B356" s="718">
        <v>1.5</v>
      </c>
      <c r="C356" s="718">
        <v>2.8</v>
      </c>
      <c r="D356" s="718">
        <f t="shared" ref="D356:D363" si="2">B356*C356</f>
        <v>4.1999999999999993</v>
      </c>
      <c r="E356" s="718"/>
      <c r="F356" s="718"/>
      <c r="G356" s="743">
        <f t="shared" ref="G356:G363" si="3">D356-F356</f>
        <v>4.1999999999999993</v>
      </c>
      <c r="H356" s="652"/>
      <c r="I356" s="652"/>
      <c r="J356" s="652"/>
      <c r="K356" s="652"/>
      <c r="L356" s="652"/>
      <c r="M356" s="652"/>
    </row>
    <row r="357" spans="1:13">
      <c r="A357" s="696" t="s">
        <v>694</v>
      </c>
      <c r="B357" s="800">
        <v>1.95</v>
      </c>
      <c r="C357" s="718">
        <v>2.8</v>
      </c>
      <c r="D357" s="718">
        <f t="shared" si="2"/>
        <v>5.46</v>
      </c>
      <c r="E357" s="742" t="s">
        <v>695</v>
      </c>
      <c r="F357" s="718">
        <f>0.8*2.1</f>
        <v>1.6800000000000002</v>
      </c>
      <c r="G357" s="743">
        <f t="shared" si="3"/>
        <v>3.78</v>
      </c>
      <c r="H357" s="652"/>
      <c r="I357" s="652"/>
      <c r="J357" s="652"/>
      <c r="K357" s="652"/>
      <c r="L357" s="652"/>
      <c r="M357" s="652"/>
    </row>
    <row r="358" spans="1:13" ht="36">
      <c r="A358" s="696" t="s">
        <v>696</v>
      </c>
      <c r="B358" s="718">
        <f>1.05+2.85+3.85+1.85+1.08+2</f>
        <v>12.68</v>
      </c>
      <c r="C358" s="718">
        <v>0.7</v>
      </c>
      <c r="D358" s="718">
        <f t="shared" si="2"/>
        <v>8.8759999999999994</v>
      </c>
      <c r="E358" s="718"/>
      <c r="F358" s="718"/>
      <c r="G358" s="743">
        <f t="shared" si="3"/>
        <v>8.8759999999999994</v>
      </c>
      <c r="H358" s="652"/>
      <c r="I358" s="652"/>
      <c r="J358" s="652"/>
      <c r="K358" s="652"/>
      <c r="L358" s="652"/>
      <c r="M358" s="652"/>
    </row>
    <row r="359" spans="1:13" ht="36">
      <c r="A359" s="696" t="s">
        <v>697</v>
      </c>
      <c r="B359" s="718">
        <f>1.05+2.85+3.85+1.85+1.08+2</f>
        <v>12.68</v>
      </c>
      <c r="C359" s="718">
        <v>0.7</v>
      </c>
      <c r="D359" s="718">
        <f t="shared" si="2"/>
        <v>8.8759999999999994</v>
      </c>
      <c r="E359" s="718"/>
      <c r="F359" s="718"/>
      <c r="G359" s="743">
        <f t="shared" si="3"/>
        <v>8.8759999999999994</v>
      </c>
      <c r="H359" s="652"/>
      <c r="I359" s="652"/>
      <c r="J359" s="652"/>
      <c r="K359" s="652"/>
      <c r="L359" s="652"/>
      <c r="M359" s="652"/>
    </row>
    <row r="360" spans="1:13" ht="24">
      <c r="A360" s="696" t="s">
        <v>1987</v>
      </c>
      <c r="B360" s="718">
        <f>1.85+1.65+1.85+1.65</f>
        <v>7</v>
      </c>
      <c r="C360" s="718">
        <v>0.7</v>
      </c>
      <c r="D360" s="718">
        <f t="shared" si="2"/>
        <v>4.8999999999999995</v>
      </c>
      <c r="E360" s="742" t="s">
        <v>734</v>
      </c>
      <c r="F360" s="718">
        <f>0.4*0.6</f>
        <v>0.24</v>
      </c>
      <c r="G360" s="743">
        <f t="shared" si="3"/>
        <v>4.6599999999999993</v>
      </c>
      <c r="H360" s="652"/>
      <c r="I360" s="652"/>
      <c r="J360" s="652"/>
      <c r="K360" s="652"/>
      <c r="L360" s="652"/>
      <c r="M360" s="652"/>
    </row>
    <row r="361" spans="1:13" ht="24">
      <c r="A361" s="696" t="s">
        <v>1988</v>
      </c>
      <c r="B361" s="718">
        <f>1.85+1.65+1.85+1.65</f>
        <v>7</v>
      </c>
      <c r="C361" s="718">
        <v>0.7</v>
      </c>
      <c r="D361" s="718">
        <f t="shared" si="2"/>
        <v>4.8999999999999995</v>
      </c>
      <c r="E361" s="742" t="s">
        <v>734</v>
      </c>
      <c r="F361" s="718">
        <f>0.4*0.6</f>
        <v>0.24</v>
      </c>
      <c r="G361" s="743">
        <f t="shared" si="3"/>
        <v>4.6599999999999993</v>
      </c>
      <c r="H361" s="652"/>
      <c r="I361" s="652"/>
      <c r="J361" s="652"/>
      <c r="K361" s="652"/>
      <c r="L361" s="652"/>
      <c r="M361" s="652"/>
    </row>
    <row r="362" spans="1:13" ht="24">
      <c r="A362" s="696" t="s">
        <v>700</v>
      </c>
      <c r="B362" s="718">
        <f>1.35+1.35+2.35+2.35</f>
        <v>7.4</v>
      </c>
      <c r="C362" s="718">
        <v>0.7</v>
      </c>
      <c r="D362" s="718">
        <f t="shared" si="2"/>
        <v>5.18</v>
      </c>
      <c r="E362" s="718"/>
      <c r="F362" s="718"/>
      <c r="G362" s="743">
        <f t="shared" si="3"/>
        <v>5.18</v>
      </c>
      <c r="H362" s="652"/>
      <c r="I362" s="652"/>
      <c r="J362" s="652"/>
      <c r="K362" s="652"/>
      <c r="L362" s="652"/>
      <c r="M362" s="652"/>
    </row>
    <row r="363" spans="1:13" ht="24">
      <c r="A363" s="696" t="s">
        <v>701</v>
      </c>
      <c r="B363" s="718">
        <f>3.85+3.85+2+2</f>
        <v>11.7</v>
      </c>
      <c r="C363" s="718">
        <v>0.7</v>
      </c>
      <c r="D363" s="718">
        <f t="shared" si="2"/>
        <v>8.19</v>
      </c>
      <c r="E363" s="718"/>
      <c r="F363" s="718"/>
      <c r="G363" s="743">
        <f t="shared" si="3"/>
        <v>8.19</v>
      </c>
      <c r="H363" s="652"/>
      <c r="I363" s="652"/>
      <c r="J363" s="652"/>
      <c r="K363" s="652"/>
      <c r="L363" s="652"/>
      <c r="M363" s="652"/>
    </row>
    <row r="364" spans="1:13">
      <c r="A364" s="2235"/>
      <c r="B364" s="2155"/>
      <c r="C364" s="2155"/>
      <c r="D364" s="2155"/>
      <c r="E364" s="2155"/>
      <c r="F364" s="2155"/>
      <c r="G364" s="2156"/>
      <c r="H364" s="652"/>
      <c r="I364" s="652"/>
      <c r="J364" s="652"/>
      <c r="K364" s="652"/>
      <c r="L364" s="652"/>
      <c r="M364" s="652"/>
    </row>
    <row r="365" spans="1:13">
      <c r="A365" s="2288" t="s">
        <v>702</v>
      </c>
      <c r="B365" s="2289"/>
      <c r="C365" s="2289"/>
      <c r="D365" s="2289"/>
      <c r="E365" s="2289"/>
      <c r="F365" s="2289"/>
      <c r="G365" s="2290"/>
      <c r="H365" s="652"/>
      <c r="I365" s="652"/>
      <c r="J365" s="652"/>
      <c r="K365" s="652"/>
      <c r="L365" s="652"/>
      <c r="M365" s="652"/>
    </row>
    <row r="366" spans="1:13">
      <c r="A366" s="696" t="s">
        <v>703</v>
      </c>
      <c r="B366" s="718">
        <v>3.5</v>
      </c>
      <c r="C366" s="718">
        <v>2.8</v>
      </c>
      <c r="D366" s="718">
        <f t="shared" ref="D366:D377" si="4">B366*C366</f>
        <v>9.7999999999999989</v>
      </c>
      <c r="E366" s="742" t="s">
        <v>695</v>
      </c>
      <c r="F366" s="718">
        <f>0.8*2.1</f>
        <v>1.6800000000000002</v>
      </c>
      <c r="G366" s="743">
        <f t="shared" ref="G366:G377" si="5">D366-F366</f>
        <v>8.1199999999999992</v>
      </c>
      <c r="H366" s="652"/>
      <c r="I366" s="652"/>
      <c r="J366" s="652"/>
      <c r="K366" s="652"/>
      <c r="L366" s="652"/>
      <c r="M366" s="652"/>
    </row>
    <row r="367" spans="1:13" ht="36">
      <c r="A367" s="696" t="s">
        <v>704</v>
      </c>
      <c r="B367" s="718">
        <f>3.15+3.5</f>
        <v>6.65</v>
      </c>
      <c r="C367" s="718">
        <v>2.8</v>
      </c>
      <c r="D367" s="718">
        <f t="shared" si="4"/>
        <v>18.62</v>
      </c>
      <c r="E367" s="742" t="s">
        <v>705</v>
      </c>
      <c r="F367" s="718">
        <f>(0.8*2.1)+(1.1*0.6*2)</f>
        <v>3</v>
      </c>
      <c r="G367" s="743">
        <f t="shared" si="5"/>
        <v>15.620000000000001</v>
      </c>
      <c r="H367" s="652"/>
      <c r="I367" s="652"/>
      <c r="J367" s="652"/>
      <c r="K367" s="652"/>
      <c r="L367" s="652"/>
      <c r="M367" s="652"/>
    </row>
    <row r="368" spans="1:13">
      <c r="A368" s="696" t="s">
        <v>706</v>
      </c>
      <c r="B368" s="718">
        <f>3.35+3.15</f>
        <v>6.5</v>
      </c>
      <c r="C368" s="718">
        <v>2.8</v>
      </c>
      <c r="D368" s="718">
        <f t="shared" si="4"/>
        <v>18.2</v>
      </c>
      <c r="E368" s="718"/>
      <c r="F368" s="718"/>
      <c r="G368" s="743">
        <f t="shared" si="5"/>
        <v>18.2</v>
      </c>
      <c r="H368" s="652"/>
      <c r="I368" s="652"/>
      <c r="J368" s="652"/>
      <c r="K368" s="652"/>
      <c r="L368" s="652"/>
      <c r="M368" s="652"/>
    </row>
    <row r="369" spans="1:13" ht="24">
      <c r="A369" s="696" t="s">
        <v>707</v>
      </c>
      <c r="B369" s="718">
        <v>8</v>
      </c>
      <c r="C369" s="718">
        <v>2.8</v>
      </c>
      <c r="D369" s="718">
        <f t="shared" si="4"/>
        <v>22.4</v>
      </c>
      <c r="E369" s="742" t="s">
        <v>708</v>
      </c>
      <c r="F369" s="718">
        <f>(2.2*1.1)+(0.8*2.1)</f>
        <v>4.1000000000000005</v>
      </c>
      <c r="G369" s="743">
        <f t="shared" si="5"/>
        <v>18.299999999999997</v>
      </c>
      <c r="H369" s="652"/>
      <c r="I369" s="652"/>
      <c r="J369" s="652"/>
      <c r="K369" s="652"/>
      <c r="L369" s="652"/>
      <c r="M369" s="652"/>
    </row>
    <row r="370" spans="1:13" ht="24">
      <c r="A370" s="696" t="s">
        <v>707</v>
      </c>
      <c r="B370" s="718">
        <v>8</v>
      </c>
      <c r="C370" s="718">
        <v>2.8</v>
      </c>
      <c r="D370" s="718">
        <f t="shared" si="4"/>
        <v>22.4</v>
      </c>
      <c r="E370" s="718"/>
      <c r="F370" s="718"/>
      <c r="G370" s="743">
        <f t="shared" si="5"/>
        <v>22.4</v>
      </c>
      <c r="H370" s="652"/>
      <c r="I370" s="652"/>
      <c r="J370" s="652"/>
      <c r="K370" s="652"/>
      <c r="L370" s="652"/>
      <c r="M370" s="652"/>
    </row>
    <row r="371" spans="1:13">
      <c r="A371" s="696" t="s">
        <v>709</v>
      </c>
      <c r="B371" s="718">
        <v>3.5</v>
      </c>
      <c r="C371" s="718">
        <v>2.8</v>
      </c>
      <c r="D371" s="718">
        <f t="shared" si="4"/>
        <v>9.7999999999999989</v>
      </c>
      <c r="E371" s="742" t="s">
        <v>710</v>
      </c>
      <c r="F371" s="718">
        <f>2.2*1.1</f>
        <v>2.4200000000000004</v>
      </c>
      <c r="G371" s="743">
        <f t="shared" si="5"/>
        <v>7.379999999999999</v>
      </c>
      <c r="H371" s="652"/>
      <c r="I371" s="652"/>
      <c r="J371" s="652"/>
      <c r="K371" s="652"/>
      <c r="L371" s="652"/>
      <c r="M371" s="652"/>
    </row>
    <row r="372" spans="1:13">
      <c r="A372" s="696" t="s">
        <v>711</v>
      </c>
      <c r="B372" s="718">
        <f>2.55+2</f>
        <v>4.55</v>
      </c>
      <c r="C372" s="718">
        <v>2.8</v>
      </c>
      <c r="D372" s="718">
        <f t="shared" si="4"/>
        <v>12.739999999999998</v>
      </c>
      <c r="E372" s="718"/>
      <c r="F372" s="718"/>
      <c r="G372" s="743">
        <f t="shared" si="5"/>
        <v>12.739999999999998</v>
      </c>
      <c r="H372" s="652"/>
      <c r="I372" s="652"/>
      <c r="J372" s="652"/>
      <c r="K372" s="652"/>
      <c r="L372" s="652"/>
      <c r="M372" s="652"/>
    </row>
    <row r="373" spans="1:13" ht="24">
      <c r="A373" s="801" t="s">
        <v>712</v>
      </c>
      <c r="B373" s="802">
        <v>4</v>
      </c>
      <c r="C373" s="779">
        <v>2.8</v>
      </c>
      <c r="D373" s="779">
        <f t="shared" si="4"/>
        <v>11.2</v>
      </c>
      <c r="E373" s="803" t="s">
        <v>713</v>
      </c>
      <c r="F373" s="779">
        <f>(1.3*2.1)+(2.3*1.1)</f>
        <v>5.26</v>
      </c>
      <c r="G373" s="804">
        <f t="shared" si="5"/>
        <v>5.9399999999999995</v>
      </c>
      <c r="H373" s="652"/>
      <c r="I373" s="652"/>
      <c r="J373" s="652"/>
      <c r="K373" s="652"/>
      <c r="L373" s="652"/>
      <c r="M373" s="652"/>
    </row>
    <row r="374" spans="1:13" ht="36">
      <c r="A374" s="801" t="s">
        <v>714</v>
      </c>
      <c r="B374" s="802">
        <f>2.15+1.35+1.5</f>
        <v>5</v>
      </c>
      <c r="C374" s="779">
        <v>5.23</v>
      </c>
      <c r="D374" s="779">
        <f t="shared" si="4"/>
        <v>26.150000000000002</v>
      </c>
      <c r="E374" s="803" t="s">
        <v>715</v>
      </c>
      <c r="F374" s="779">
        <f>1.2*1.1+(0.8*2.1)+(0.9*2.1)</f>
        <v>4.8900000000000006</v>
      </c>
      <c r="G374" s="804">
        <f t="shared" si="5"/>
        <v>21.26</v>
      </c>
      <c r="H374" s="652"/>
      <c r="I374" s="652"/>
      <c r="J374" s="652"/>
      <c r="K374" s="652"/>
      <c r="L374" s="652"/>
      <c r="M374" s="652"/>
    </row>
    <row r="375" spans="1:13">
      <c r="A375" s="801" t="s">
        <v>716</v>
      </c>
      <c r="B375" s="802">
        <v>1.5</v>
      </c>
      <c r="C375" s="779">
        <v>5.23</v>
      </c>
      <c r="D375" s="779">
        <f t="shared" si="4"/>
        <v>7.8450000000000006</v>
      </c>
      <c r="E375" s="779"/>
      <c r="F375" s="779"/>
      <c r="G375" s="804">
        <f t="shared" si="5"/>
        <v>7.8450000000000006</v>
      </c>
      <c r="H375" s="652"/>
      <c r="I375" s="652"/>
      <c r="J375" s="652"/>
      <c r="K375" s="652"/>
      <c r="L375" s="652"/>
      <c r="M375" s="652"/>
    </row>
    <row r="376" spans="1:13" ht="48">
      <c r="A376" s="801" t="s">
        <v>717</v>
      </c>
      <c r="B376" s="802">
        <f>4.6+9.6</f>
        <v>14.2</v>
      </c>
      <c r="C376" s="779">
        <v>4.7300000000000004</v>
      </c>
      <c r="D376" s="779">
        <f t="shared" si="4"/>
        <v>67.165999999999997</v>
      </c>
      <c r="E376" s="803" t="s">
        <v>718</v>
      </c>
      <c r="F376" s="779">
        <f>2.3*1.1*2+(0.8*2.1)+(1*2.1)</f>
        <v>8.84</v>
      </c>
      <c r="G376" s="804">
        <f t="shared" si="5"/>
        <v>58.325999999999993</v>
      </c>
      <c r="H376" s="652"/>
      <c r="I376" s="652"/>
      <c r="J376" s="652"/>
      <c r="K376" s="652"/>
      <c r="L376" s="652"/>
      <c r="M376" s="652"/>
    </row>
    <row r="377" spans="1:13">
      <c r="A377" s="801" t="s">
        <v>719</v>
      </c>
      <c r="B377" s="802">
        <v>4.5999999999999996</v>
      </c>
      <c r="C377" s="779">
        <v>1.93</v>
      </c>
      <c r="D377" s="779">
        <f t="shared" si="4"/>
        <v>8.8779999999999983</v>
      </c>
      <c r="E377" s="779"/>
      <c r="F377" s="779"/>
      <c r="G377" s="804">
        <f t="shared" si="5"/>
        <v>8.8779999999999983</v>
      </c>
      <c r="H377" s="652"/>
      <c r="I377" s="652"/>
      <c r="J377" s="652"/>
      <c r="K377" s="652"/>
      <c r="L377" s="652"/>
      <c r="M377" s="652"/>
    </row>
    <row r="378" spans="1:13">
      <c r="A378" s="2235"/>
      <c r="B378" s="2155"/>
      <c r="C378" s="2155"/>
      <c r="D378" s="2155"/>
      <c r="E378" s="2155"/>
      <c r="F378" s="2155"/>
      <c r="G378" s="2156"/>
      <c r="H378" s="652"/>
      <c r="I378" s="652"/>
      <c r="J378" s="652"/>
      <c r="K378" s="652"/>
      <c r="L378" s="652"/>
      <c r="M378" s="652"/>
    </row>
    <row r="379" spans="1:13">
      <c r="A379" s="2288" t="s">
        <v>720</v>
      </c>
      <c r="B379" s="2289"/>
      <c r="C379" s="2289"/>
      <c r="D379" s="2289"/>
      <c r="E379" s="2289"/>
      <c r="F379" s="2289"/>
      <c r="G379" s="2290"/>
      <c r="H379" s="652"/>
      <c r="I379" s="652"/>
      <c r="J379" s="652"/>
      <c r="K379" s="652"/>
      <c r="L379" s="652"/>
      <c r="M379" s="652"/>
    </row>
    <row r="380" spans="1:13" ht="36">
      <c r="A380" s="696" t="s">
        <v>721</v>
      </c>
      <c r="B380" s="747">
        <f>7.5+4.65</f>
        <v>12.15</v>
      </c>
      <c r="C380" s="718">
        <v>2.8</v>
      </c>
      <c r="D380" s="718">
        <f t="shared" ref="D380:D388" si="6">B380*C380</f>
        <v>34.019999999999996</v>
      </c>
      <c r="E380" s="742" t="s">
        <v>722</v>
      </c>
      <c r="F380" s="718">
        <f>(1.6*2.1)+(3*1.1*0.6)</f>
        <v>5.34</v>
      </c>
      <c r="G380" s="743">
        <f t="shared" ref="G380:G388" si="7">D380-F380</f>
        <v>28.679999999999996</v>
      </c>
      <c r="H380" s="652"/>
      <c r="I380" s="652"/>
      <c r="J380" s="652"/>
      <c r="K380" s="652"/>
      <c r="L380" s="652"/>
      <c r="M380" s="652"/>
    </row>
    <row r="381" spans="1:13" ht="24">
      <c r="A381" s="696" t="s">
        <v>721</v>
      </c>
      <c r="B381" s="747">
        <f>7.5+4.65</f>
        <v>12.15</v>
      </c>
      <c r="C381" s="718">
        <v>2.8</v>
      </c>
      <c r="D381" s="718">
        <f t="shared" si="6"/>
        <v>34.019999999999996</v>
      </c>
      <c r="E381" s="718"/>
      <c r="F381" s="718"/>
      <c r="G381" s="743">
        <f t="shared" si="7"/>
        <v>34.019999999999996</v>
      </c>
      <c r="H381" s="652"/>
      <c r="I381" s="652"/>
      <c r="J381" s="652"/>
      <c r="K381" s="652"/>
      <c r="L381" s="652"/>
      <c r="M381" s="652"/>
    </row>
    <row r="382" spans="1:13" ht="36">
      <c r="A382" s="696" t="s">
        <v>723</v>
      </c>
      <c r="B382" s="800">
        <f>8.85+10.35</f>
        <v>19.2</v>
      </c>
      <c r="C382" s="718">
        <v>2.8</v>
      </c>
      <c r="D382" s="718">
        <f t="shared" si="6"/>
        <v>53.76</v>
      </c>
      <c r="E382" s="742" t="s">
        <v>724</v>
      </c>
      <c r="F382" s="718">
        <f>2.3*1.1*5</f>
        <v>12.649999999999999</v>
      </c>
      <c r="G382" s="743">
        <f t="shared" si="7"/>
        <v>41.11</v>
      </c>
      <c r="H382" s="652"/>
      <c r="I382" s="652"/>
      <c r="J382" s="652"/>
      <c r="K382" s="652"/>
      <c r="L382" s="652"/>
      <c r="M382" s="652"/>
    </row>
    <row r="383" spans="1:13" ht="24">
      <c r="A383" s="696" t="s">
        <v>725</v>
      </c>
      <c r="B383" s="800">
        <f>4.65+4</f>
        <v>8.65</v>
      </c>
      <c r="C383" s="718">
        <v>2.8</v>
      </c>
      <c r="D383" s="718">
        <f t="shared" si="6"/>
        <v>24.22</v>
      </c>
      <c r="E383" s="718"/>
      <c r="F383" s="718"/>
      <c r="G383" s="743">
        <f t="shared" si="7"/>
        <v>24.22</v>
      </c>
      <c r="H383" s="652"/>
      <c r="I383" s="652"/>
      <c r="J383" s="652"/>
      <c r="K383" s="652"/>
      <c r="L383" s="652"/>
      <c r="M383" s="652"/>
    </row>
    <row r="384" spans="1:13">
      <c r="A384" s="696" t="s">
        <v>726</v>
      </c>
      <c r="B384" s="800">
        <v>5.5</v>
      </c>
      <c r="C384" s="718">
        <v>2.8</v>
      </c>
      <c r="D384" s="718">
        <f t="shared" si="6"/>
        <v>15.399999999999999</v>
      </c>
      <c r="E384" s="742" t="s">
        <v>727</v>
      </c>
      <c r="F384" s="718">
        <f>2.3*1.1</f>
        <v>2.5299999999999998</v>
      </c>
      <c r="G384" s="743">
        <f t="shared" si="7"/>
        <v>12.87</v>
      </c>
      <c r="H384" s="652"/>
      <c r="I384" s="2343"/>
      <c r="J384" s="2343"/>
      <c r="K384" s="652"/>
      <c r="L384" s="652"/>
      <c r="M384" s="652"/>
    </row>
    <row r="385" spans="1:13">
      <c r="A385" s="696" t="s">
        <v>728</v>
      </c>
      <c r="B385" s="800">
        <v>4.5</v>
      </c>
      <c r="C385" s="718">
        <v>2.8</v>
      </c>
      <c r="D385" s="718">
        <f t="shared" si="6"/>
        <v>12.6</v>
      </c>
      <c r="E385" s="718"/>
      <c r="F385" s="718"/>
      <c r="G385" s="743">
        <f t="shared" si="7"/>
        <v>12.6</v>
      </c>
      <c r="H385" s="652"/>
      <c r="I385" s="2343"/>
      <c r="J385" s="2343"/>
      <c r="K385" s="652"/>
      <c r="L385" s="652"/>
      <c r="M385" s="652"/>
    </row>
    <row r="386" spans="1:13">
      <c r="A386" s="801" t="s">
        <v>729</v>
      </c>
      <c r="B386" s="802">
        <v>5</v>
      </c>
      <c r="C386" s="779">
        <v>2.8</v>
      </c>
      <c r="D386" s="779">
        <f t="shared" si="6"/>
        <v>14</v>
      </c>
      <c r="E386" s="779"/>
      <c r="F386" s="779"/>
      <c r="G386" s="804">
        <f t="shared" si="7"/>
        <v>14</v>
      </c>
      <c r="H386" s="652"/>
      <c r="I386" s="652"/>
      <c r="J386" s="652"/>
      <c r="K386" s="652"/>
      <c r="L386" s="652"/>
      <c r="M386" s="652"/>
    </row>
    <row r="387" spans="1:13">
      <c r="A387" s="801" t="s">
        <v>730</v>
      </c>
      <c r="B387" s="802">
        <v>9</v>
      </c>
      <c r="C387" s="779">
        <v>2.8</v>
      </c>
      <c r="D387" s="779">
        <f t="shared" si="6"/>
        <v>25.2</v>
      </c>
      <c r="E387" s="779"/>
      <c r="F387" s="779"/>
      <c r="G387" s="804">
        <f t="shared" si="7"/>
        <v>25.2</v>
      </c>
      <c r="H387" s="652"/>
      <c r="I387" s="652"/>
      <c r="J387" s="652"/>
      <c r="K387" s="652"/>
      <c r="L387" s="652"/>
      <c r="M387" s="652"/>
    </row>
    <row r="388" spans="1:13" ht="48">
      <c r="A388" s="801" t="s">
        <v>731</v>
      </c>
      <c r="B388" s="802">
        <v>6.15</v>
      </c>
      <c r="C388" s="779">
        <v>5.23</v>
      </c>
      <c r="D388" s="779">
        <f t="shared" si="6"/>
        <v>32.164500000000004</v>
      </c>
      <c r="E388" s="803" t="s">
        <v>732</v>
      </c>
      <c r="F388" s="779">
        <f>(0.8*2.1*4)+(0.4*0.6*2)</f>
        <v>7.2000000000000011</v>
      </c>
      <c r="G388" s="804">
        <f t="shared" si="7"/>
        <v>24.964500000000001</v>
      </c>
      <c r="H388" s="652"/>
      <c r="I388" s="652"/>
      <c r="J388" s="652"/>
      <c r="K388" s="652"/>
      <c r="L388" s="652"/>
      <c r="M388" s="652"/>
    </row>
    <row r="389" spans="1:13">
      <c r="A389" s="2235"/>
      <c r="B389" s="2155"/>
      <c r="C389" s="2155"/>
      <c r="D389" s="2155"/>
      <c r="E389" s="2155"/>
      <c r="F389" s="2155"/>
      <c r="G389" s="2156"/>
      <c r="H389" s="652"/>
      <c r="I389" s="652"/>
      <c r="J389" s="652"/>
      <c r="K389" s="652"/>
      <c r="L389" s="652"/>
      <c r="M389" s="652"/>
    </row>
    <row r="390" spans="1:13">
      <c r="A390" s="2172" t="s">
        <v>1994</v>
      </c>
      <c r="B390" s="2175"/>
      <c r="C390" s="2175"/>
      <c r="D390" s="2175"/>
      <c r="E390" s="2175"/>
      <c r="F390" s="2175"/>
      <c r="G390" s="2176"/>
      <c r="H390" s="652"/>
      <c r="I390" s="805"/>
      <c r="J390" s="652"/>
      <c r="K390" s="652"/>
      <c r="L390" s="652"/>
      <c r="M390" s="652"/>
    </row>
    <row r="391" spans="1:13">
      <c r="A391" s="2276"/>
      <c r="B391" s="2277"/>
      <c r="C391" s="2282" t="s">
        <v>692</v>
      </c>
      <c r="D391" s="2283"/>
      <c r="E391" s="2283"/>
      <c r="F391" s="2284"/>
      <c r="G391" s="743"/>
      <c r="H391" s="652"/>
      <c r="I391" s="652"/>
      <c r="J391" s="652"/>
      <c r="K391" s="652"/>
      <c r="L391" s="652"/>
      <c r="M391" s="652"/>
    </row>
    <row r="392" spans="1:13">
      <c r="A392" s="2278"/>
      <c r="B392" s="2279"/>
      <c r="C392" s="2285" t="s">
        <v>283</v>
      </c>
      <c r="D392" s="2286"/>
      <c r="E392" s="2286"/>
      <c r="F392" s="2287"/>
      <c r="G392" s="806">
        <f>ROUNDUP(G356+G357+G358+G359+G360+G361+G362+G363,2)</f>
        <v>48.43</v>
      </c>
      <c r="H392" s="652"/>
      <c r="I392" s="1038"/>
      <c r="J392" s="1038"/>
      <c r="K392" s="1038"/>
      <c r="L392" s="652"/>
      <c r="M392" s="652"/>
    </row>
    <row r="393" spans="1:13">
      <c r="A393" s="2278"/>
      <c r="B393" s="2279"/>
      <c r="C393" s="2282" t="s">
        <v>702</v>
      </c>
      <c r="D393" s="2283"/>
      <c r="E393" s="2283"/>
      <c r="F393" s="2284"/>
      <c r="G393" s="807"/>
      <c r="H393" s="652"/>
      <c r="I393" s="1038"/>
      <c r="J393" s="1038"/>
      <c r="K393" s="1038"/>
      <c r="L393" s="652"/>
      <c r="M393" s="652"/>
    </row>
    <row r="394" spans="1:13">
      <c r="A394" s="2278"/>
      <c r="B394" s="2279"/>
      <c r="C394" s="2285" t="s">
        <v>283</v>
      </c>
      <c r="D394" s="2286"/>
      <c r="E394" s="2286"/>
      <c r="F394" s="2287"/>
      <c r="G394" s="806">
        <f>ROUNDUP(G366+G367+G368+G369+G370+G371+G372+G373+G374+G375+G376+G377,2)</f>
        <v>205.01</v>
      </c>
      <c r="H394" s="652"/>
      <c r="I394" s="1038"/>
      <c r="J394" s="1038"/>
      <c r="K394" s="1038"/>
      <c r="L394" s="652"/>
      <c r="M394" s="652"/>
    </row>
    <row r="395" spans="1:13">
      <c r="A395" s="2278"/>
      <c r="B395" s="2279"/>
      <c r="C395" s="2282" t="s">
        <v>720</v>
      </c>
      <c r="D395" s="2283"/>
      <c r="E395" s="2283"/>
      <c r="F395" s="2284"/>
      <c r="G395" s="807"/>
      <c r="H395" s="652"/>
      <c r="I395" s="652"/>
      <c r="J395" s="652"/>
      <c r="K395" s="652"/>
      <c r="L395" s="652"/>
      <c r="M395" s="652"/>
    </row>
    <row r="396" spans="1:13">
      <c r="A396" s="2280"/>
      <c r="B396" s="2281"/>
      <c r="C396" s="2285" t="s">
        <v>283</v>
      </c>
      <c r="D396" s="2286"/>
      <c r="E396" s="2286"/>
      <c r="F396" s="2287"/>
      <c r="G396" s="806">
        <f>ROUNDUP(G380+G381+G382+G384+G385+G386+G387+G388,2)</f>
        <v>193.45</v>
      </c>
      <c r="H396" s="652"/>
      <c r="I396" s="808"/>
      <c r="J396" s="745"/>
      <c r="K396" s="745"/>
      <c r="L396" s="652"/>
      <c r="M396" s="652"/>
    </row>
    <row r="397" spans="1:13" ht="15.75" thickBot="1">
      <c r="A397" s="2273" t="s">
        <v>316</v>
      </c>
      <c r="B397" s="2274"/>
      <c r="C397" s="2274"/>
      <c r="D397" s="2274"/>
      <c r="E397" s="2274"/>
      <c r="F397" s="2275"/>
      <c r="G397" s="827">
        <f>ROUNDUP(G392+G394+G396,2)</f>
        <v>446.89</v>
      </c>
      <c r="H397" s="652"/>
      <c r="I397" s="745"/>
      <c r="J397" s="652"/>
      <c r="K397" s="652"/>
      <c r="L397" s="652"/>
      <c r="M397" s="652"/>
    </row>
    <row r="398" spans="1:13" ht="15.75" thickBot="1">
      <c r="A398" s="2232"/>
      <c r="B398" s="2233"/>
      <c r="C398" s="2233"/>
      <c r="D398" s="2233"/>
      <c r="E398" s="2233"/>
      <c r="F398" s="2233"/>
      <c r="G398" s="2234"/>
      <c r="H398" s="652"/>
      <c r="I398" s="652"/>
      <c r="J398" s="652"/>
      <c r="K398" s="652"/>
      <c r="L398" s="652"/>
      <c r="M398" s="652"/>
    </row>
    <row r="399" spans="1:13" ht="15.75" thickBot="1">
      <c r="A399" s="809" t="s">
        <v>110</v>
      </c>
      <c r="B399" s="2163" t="s">
        <v>1989</v>
      </c>
      <c r="C399" s="2335"/>
      <c r="D399" s="2335"/>
      <c r="E399" s="2335"/>
      <c r="F399" s="2335"/>
      <c r="G399" s="2336"/>
      <c r="H399" s="652"/>
      <c r="I399" s="810"/>
      <c r="J399" s="652"/>
      <c r="K399" s="652"/>
      <c r="L399" s="652"/>
      <c r="M399" s="652"/>
    </row>
    <row r="400" spans="1:13">
      <c r="A400" s="2337" t="s">
        <v>279</v>
      </c>
      <c r="B400" s="2338"/>
      <c r="C400" s="2338"/>
      <c r="D400" s="2338"/>
      <c r="E400" s="2338"/>
      <c r="F400" s="2338"/>
      <c r="G400" s="2339"/>
      <c r="H400" s="652"/>
      <c r="I400" s="652"/>
      <c r="J400" s="652"/>
      <c r="K400" s="652"/>
      <c r="L400" s="652"/>
      <c r="M400" s="652"/>
    </row>
    <row r="401" spans="1:13">
      <c r="A401" s="2340" t="s">
        <v>361</v>
      </c>
      <c r="B401" s="2341"/>
      <c r="C401" s="2341"/>
      <c r="D401" s="2341"/>
      <c r="E401" s="2341"/>
      <c r="F401" s="2341"/>
      <c r="G401" s="2342"/>
      <c r="H401" s="652"/>
      <c r="I401" s="652"/>
      <c r="J401" s="652"/>
      <c r="K401" s="652"/>
      <c r="L401" s="652"/>
      <c r="M401" s="652"/>
    </row>
    <row r="402" spans="1:13">
      <c r="A402" s="681" t="s">
        <v>298</v>
      </c>
      <c r="B402" s="682" t="s">
        <v>298</v>
      </c>
      <c r="C402" s="682" t="s">
        <v>308</v>
      </c>
      <c r="D402" s="682" t="s">
        <v>309</v>
      </c>
      <c r="E402" s="682" t="s">
        <v>310</v>
      </c>
      <c r="F402" s="682" t="s">
        <v>311</v>
      </c>
      <c r="G402" s="740" t="s">
        <v>312</v>
      </c>
      <c r="H402" s="652"/>
      <c r="I402" s="652"/>
      <c r="J402" s="652"/>
      <c r="K402" s="652"/>
      <c r="L402" s="652"/>
      <c r="M402" s="652"/>
    </row>
    <row r="403" spans="1:13">
      <c r="A403" s="2288" t="s">
        <v>692</v>
      </c>
      <c r="B403" s="2289"/>
      <c r="C403" s="2289"/>
      <c r="D403" s="2289"/>
      <c r="E403" s="2289"/>
      <c r="F403" s="2289"/>
      <c r="G403" s="2290"/>
      <c r="H403" s="652"/>
      <c r="I403" s="652"/>
      <c r="J403" s="652"/>
      <c r="K403" s="652"/>
      <c r="L403" s="652"/>
      <c r="M403" s="652"/>
    </row>
    <row r="404" spans="1:13">
      <c r="A404" s="811" t="s">
        <v>693</v>
      </c>
      <c r="B404" s="812">
        <v>1.5</v>
      </c>
      <c r="C404" s="812">
        <v>2.8</v>
      </c>
      <c r="D404" s="812">
        <f t="shared" ref="D404:D411" si="8">B404*C404</f>
        <v>4.1999999999999993</v>
      </c>
      <c r="E404" s="812"/>
      <c r="F404" s="812"/>
      <c r="G404" s="813">
        <f t="shared" ref="G404:G411" si="9">D404-F404</f>
        <v>4.1999999999999993</v>
      </c>
      <c r="H404" s="652"/>
      <c r="I404" s="652"/>
      <c r="J404" s="652"/>
      <c r="K404" s="652"/>
      <c r="L404" s="652"/>
      <c r="M404" s="652"/>
    </row>
    <row r="405" spans="1:13">
      <c r="A405" s="811" t="s">
        <v>694</v>
      </c>
      <c r="B405" s="814">
        <v>1.95</v>
      </c>
      <c r="C405" s="812">
        <v>2.8</v>
      </c>
      <c r="D405" s="812">
        <f t="shared" si="8"/>
        <v>5.46</v>
      </c>
      <c r="E405" s="815" t="s">
        <v>695</v>
      </c>
      <c r="F405" s="812">
        <f>0.8*2.1</f>
        <v>1.6800000000000002</v>
      </c>
      <c r="G405" s="813">
        <f t="shared" si="9"/>
        <v>3.78</v>
      </c>
      <c r="H405" s="652"/>
      <c r="I405" s="652"/>
      <c r="J405" s="652"/>
      <c r="K405" s="652"/>
      <c r="L405" s="652"/>
      <c r="M405" s="652"/>
    </row>
    <row r="406" spans="1:13" ht="36">
      <c r="A406" s="811" t="s">
        <v>696</v>
      </c>
      <c r="B406" s="812">
        <f>1.05+2.85+3.85+1.85+1.08+2</f>
        <v>12.68</v>
      </c>
      <c r="C406" s="812">
        <v>0.7</v>
      </c>
      <c r="D406" s="812">
        <f t="shared" si="8"/>
        <v>8.8759999999999994</v>
      </c>
      <c r="E406" s="812"/>
      <c r="F406" s="812"/>
      <c r="G406" s="813">
        <f t="shared" si="9"/>
        <v>8.8759999999999994</v>
      </c>
      <c r="H406" s="652"/>
      <c r="I406" s="667"/>
      <c r="J406" s="652"/>
      <c r="K406" s="652"/>
      <c r="L406" s="652"/>
      <c r="M406" s="652"/>
    </row>
    <row r="407" spans="1:13" ht="36">
      <c r="A407" s="811" t="s">
        <v>697</v>
      </c>
      <c r="B407" s="812">
        <f>1.05+2.85+3.85+1.85+1.08+2</f>
        <v>12.68</v>
      </c>
      <c r="C407" s="812">
        <v>0.7</v>
      </c>
      <c r="D407" s="812">
        <f t="shared" si="8"/>
        <v>8.8759999999999994</v>
      </c>
      <c r="E407" s="812"/>
      <c r="F407" s="812"/>
      <c r="G407" s="813">
        <f t="shared" si="9"/>
        <v>8.8759999999999994</v>
      </c>
      <c r="H407" s="652"/>
      <c r="I407" s="652"/>
      <c r="J407" s="652"/>
      <c r="K407" s="652"/>
      <c r="L407" s="652"/>
      <c r="M407" s="652"/>
    </row>
    <row r="408" spans="1:13" ht="24">
      <c r="A408" s="811" t="s">
        <v>698</v>
      </c>
      <c r="B408" s="812">
        <f>1.85+1.65+1.85+1.65</f>
        <v>7</v>
      </c>
      <c r="C408" s="812">
        <v>0.7</v>
      </c>
      <c r="D408" s="812">
        <f t="shared" si="8"/>
        <v>4.8999999999999995</v>
      </c>
      <c r="E408" s="815" t="s">
        <v>734</v>
      </c>
      <c r="F408" s="812">
        <f>0.4*0.6</f>
        <v>0.24</v>
      </c>
      <c r="G408" s="813">
        <f t="shared" si="9"/>
        <v>4.6599999999999993</v>
      </c>
      <c r="H408" s="652"/>
      <c r="I408" s="652"/>
      <c r="J408" s="652"/>
      <c r="K408" s="652"/>
      <c r="L408" s="652"/>
      <c r="M408" s="652"/>
    </row>
    <row r="409" spans="1:13" ht="24">
      <c r="A409" s="811" t="s">
        <v>699</v>
      </c>
      <c r="B409" s="812">
        <f>1.85+1.65+1.85+1.65</f>
        <v>7</v>
      </c>
      <c r="C409" s="812">
        <v>0.7</v>
      </c>
      <c r="D409" s="812">
        <f t="shared" si="8"/>
        <v>4.8999999999999995</v>
      </c>
      <c r="E409" s="815" t="s">
        <v>734</v>
      </c>
      <c r="F409" s="812">
        <f>0.4*0.6</f>
        <v>0.24</v>
      </c>
      <c r="G409" s="813">
        <f t="shared" si="9"/>
        <v>4.6599999999999993</v>
      </c>
      <c r="H409" s="652"/>
      <c r="I409" s="652"/>
      <c r="J409" s="652"/>
      <c r="K409" s="652"/>
      <c r="L409" s="652"/>
      <c r="M409" s="652"/>
    </row>
    <row r="410" spans="1:13" ht="24">
      <c r="A410" s="811" t="s">
        <v>700</v>
      </c>
      <c r="B410" s="812">
        <f>1.35+1.35+2.35+2.35</f>
        <v>7.4</v>
      </c>
      <c r="C410" s="812">
        <v>0.7</v>
      </c>
      <c r="D410" s="812">
        <f t="shared" si="8"/>
        <v>5.18</v>
      </c>
      <c r="E410" s="812"/>
      <c r="F410" s="812"/>
      <c r="G410" s="813">
        <f t="shared" si="9"/>
        <v>5.18</v>
      </c>
      <c r="H410" s="652"/>
      <c r="I410" s="652"/>
      <c r="J410" s="652"/>
      <c r="K410" s="652"/>
      <c r="L410" s="652"/>
      <c r="M410" s="652"/>
    </row>
    <row r="411" spans="1:13" ht="24">
      <c r="A411" s="811" t="s">
        <v>701</v>
      </c>
      <c r="B411" s="812">
        <f>3.85+3.85+2+2</f>
        <v>11.7</v>
      </c>
      <c r="C411" s="812">
        <v>0.7</v>
      </c>
      <c r="D411" s="812">
        <f t="shared" si="8"/>
        <v>8.19</v>
      </c>
      <c r="E411" s="812"/>
      <c r="F411" s="812"/>
      <c r="G411" s="813">
        <f t="shared" si="9"/>
        <v>8.19</v>
      </c>
      <c r="H411" s="652"/>
      <c r="I411" s="652"/>
      <c r="J411" s="652"/>
      <c r="K411" s="652"/>
      <c r="L411" s="652"/>
      <c r="M411" s="652"/>
    </row>
    <row r="412" spans="1:13">
      <c r="A412" s="2332"/>
      <c r="B412" s="2333"/>
      <c r="C412" s="2333"/>
      <c r="D412" s="2333"/>
      <c r="E412" s="2333"/>
      <c r="F412" s="2333"/>
      <c r="G412" s="2334"/>
      <c r="H412" s="652"/>
      <c r="I412" s="652"/>
      <c r="J412" s="652"/>
      <c r="K412" s="652"/>
      <c r="L412" s="652"/>
      <c r="M412" s="652"/>
    </row>
    <row r="413" spans="1:13">
      <c r="A413" s="2288" t="s">
        <v>702</v>
      </c>
      <c r="B413" s="2289"/>
      <c r="C413" s="2289"/>
      <c r="D413" s="2289"/>
      <c r="E413" s="2289"/>
      <c r="F413" s="2289"/>
      <c r="G413" s="2290"/>
      <c r="H413" s="652"/>
      <c r="I413" s="652"/>
      <c r="J413" s="652"/>
      <c r="K413" s="652"/>
      <c r="L413" s="652"/>
      <c r="M413" s="652"/>
    </row>
    <row r="414" spans="1:13">
      <c r="A414" s="811" t="s">
        <v>703</v>
      </c>
      <c r="B414" s="812">
        <v>3.5</v>
      </c>
      <c r="C414" s="812">
        <v>2.8</v>
      </c>
      <c r="D414" s="812">
        <f t="shared" ref="D414:D425" si="10">B414*C414</f>
        <v>9.7999999999999989</v>
      </c>
      <c r="E414" s="815" t="s">
        <v>695</v>
      </c>
      <c r="F414" s="812">
        <f>0.8*2.1</f>
        <v>1.6800000000000002</v>
      </c>
      <c r="G414" s="813">
        <f t="shared" ref="G414:G425" si="11">D414-F414</f>
        <v>8.1199999999999992</v>
      </c>
      <c r="H414" s="652"/>
      <c r="I414" s="652"/>
      <c r="J414" s="652"/>
      <c r="K414" s="652"/>
      <c r="L414" s="652"/>
      <c r="M414" s="652"/>
    </row>
    <row r="415" spans="1:13" ht="36">
      <c r="A415" s="811" t="s">
        <v>704</v>
      </c>
      <c r="B415" s="812">
        <f>3.15+3.5</f>
        <v>6.65</v>
      </c>
      <c r="C415" s="812">
        <v>2.8</v>
      </c>
      <c r="D415" s="812">
        <f t="shared" si="10"/>
        <v>18.62</v>
      </c>
      <c r="E415" s="815" t="s">
        <v>705</v>
      </c>
      <c r="F415" s="812">
        <f>(0.8*2.1)+(1.1*0.6*2)</f>
        <v>3</v>
      </c>
      <c r="G415" s="813">
        <f t="shared" si="11"/>
        <v>15.620000000000001</v>
      </c>
      <c r="H415" s="652"/>
      <c r="I415" s="652"/>
      <c r="J415" s="652"/>
      <c r="K415" s="652"/>
      <c r="L415" s="652"/>
      <c r="M415" s="652"/>
    </row>
    <row r="416" spans="1:13">
      <c r="A416" s="811" t="s">
        <v>706</v>
      </c>
      <c r="B416" s="812">
        <f>3.35+3.15</f>
        <v>6.5</v>
      </c>
      <c r="C416" s="812">
        <v>2.8</v>
      </c>
      <c r="D416" s="812">
        <f t="shared" si="10"/>
        <v>18.2</v>
      </c>
      <c r="E416" s="812"/>
      <c r="F416" s="812"/>
      <c r="G416" s="813">
        <f t="shared" si="11"/>
        <v>18.2</v>
      </c>
      <c r="H416" s="652"/>
      <c r="I416" s="652"/>
      <c r="J416" s="652"/>
      <c r="K416" s="652"/>
      <c r="L416" s="652"/>
      <c r="M416" s="652"/>
    </row>
    <row r="417" spans="1:13" ht="24">
      <c r="A417" s="811" t="s">
        <v>707</v>
      </c>
      <c r="B417" s="812">
        <v>8</v>
      </c>
      <c r="C417" s="812">
        <v>2.8</v>
      </c>
      <c r="D417" s="812">
        <f t="shared" si="10"/>
        <v>22.4</v>
      </c>
      <c r="E417" s="815" t="s">
        <v>708</v>
      </c>
      <c r="F417" s="812">
        <f>(2.2*1.1)+(0.8*2.1)</f>
        <v>4.1000000000000005</v>
      </c>
      <c r="G417" s="813">
        <f t="shared" si="11"/>
        <v>18.299999999999997</v>
      </c>
      <c r="H417" s="652"/>
      <c r="I417" s="652"/>
      <c r="J417" s="652"/>
      <c r="K417" s="652"/>
      <c r="L417" s="652"/>
      <c r="M417" s="652"/>
    </row>
    <row r="418" spans="1:13" ht="24">
      <c r="A418" s="811" t="s">
        <v>707</v>
      </c>
      <c r="B418" s="812">
        <v>8</v>
      </c>
      <c r="C418" s="812">
        <v>2.8</v>
      </c>
      <c r="D418" s="812">
        <f t="shared" si="10"/>
        <v>22.4</v>
      </c>
      <c r="E418" s="812"/>
      <c r="F418" s="812"/>
      <c r="G418" s="813">
        <f t="shared" si="11"/>
        <v>22.4</v>
      </c>
      <c r="H418" s="652"/>
      <c r="I418" s="652"/>
      <c r="J418" s="652"/>
      <c r="K418" s="652"/>
      <c r="L418" s="652"/>
      <c r="M418" s="652"/>
    </row>
    <row r="419" spans="1:13">
      <c r="A419" s="811" t="s">
        <v>709</v>
      </c>
      <c r="B419" s="812">
        <v>3.5</v>
      </c>
      <c r="C419" s="812">
        <v>2.8</v>
      </c>
      <c r="D419" s="812">
        <f t="shared" si="10"/>
        <v>9.7999999999999989</v>
      </c>
      <c r="E419" s="815" t="s">
        <v>710</v>
      </c>
      <c r="F419" s="812">
        <f>2.2*1.1</f>
        <v>2.4200000000000004</v>
      </c>
      <c r="G419" s="813">
        <f t="shared" si="11"/>
        <v>7.379999999999999</v>
      </c>
      <c r="H419" s="652"/>
      <c r="I419" s="652"/>
      <c r="J419" s="652"/>
      <c r="K419" s="652"/>
      <c r="L419" s="652"/>
      <c r="M419" s="652"/>
    </row>
    <row r="420" spans="1:13">
      <c r="A420" s="811" t="s">
        <v>711</v>
      </c>
      <c r="B420" s="812">
        <f>2.55+2</f>
        <v>4.55</v>
      </c>
      <c r="C420" s="812">
        <v>2.8</v>
      </c>
      <c r="D420" s="812">
        <f t="shared" si="10"/>
        <v>12.739999999999998</v>
      </c>
      <c r="E420" s="812"/>
      <c r="F420" s="812"/>
      <c r="G420" s="813">
        <f t="shared" si="11"/>
        <v>12.739999999999998</v>
      </c>
      <c r="H420" s="652"/>
      <c r="I420" s="652"/>
      <c r="J420" s="652"/>
      <c r="K420" s="652"/>
      <c r="L420" s="652"/>
      <c r="M420" s="652"/>
    </row>
    <row r="421" spans="1:13" ht="24">
      <c r="A421" s="816" t="s">
        <v>712</v>
      </c>
      <c r="B421" s="817">
        <v>4</v>
      </c>
      <c r="C421" s="818">
        <v>2.8</v>
      </c>
      <c r="D421" s="818">
        <f t="shared" si="10"/>
        <v>11.2</v>
      </c>
      <c r="E421" s="819" t="s">
        <v>713</v>
      </c>
      <c r="F421" s="818">
        <f>(1.3*2.1)+(2.3*1.1)</f>
        <v>5.26</v>
      </c>
      <c r="G421" s="820">
        <f t="shared" si="11"/>
        <v>5.9399999999999995</v>
      </c>
      <c r="H421" s="652"/>
      <c r="I421" s="652"/>
      <c r="J421" s="652"/>
      <c r="K421" s="652"/>
      <c r="L421" s="652"/>
      <c r="M421" s="652"/>
    </row>
    <row r="422" spans="1:13" ht="36">
      <c r="A422" s="816" t="s">
        <v>714</v>
      </c>
      <c r="B422" s="817">
        <f>2.15+1.35+1.5</f>
        <v>5</v>
      </c>
      <c r="C422" s="818">
        <v>5.23</v>
      </c>
      <c r="D422" s="818">
        <f t="shared" si="10"/>
        <v>26.150000000000002</v>
      </c>
      <c r="E422" s="819" t="s">
        <v>715</v>
      </c>
      <c r="F422" s="818">
        <f>1.2*1.1+(0.8*2.1)+(0.9*2.1)</f>
        <v>4.8900000000000006</v>
      </c>
      <c r="G422" s="820">
        <f t="shared" si="11"/>
        <v>21.26</v>
      </c>
      <c r="H422" s="652"/>
      <c r="I422" s="652"/>
      <c r="J422" s="652"/>
      <c r="K422" s="652"/>
      <c r="L422" s="652"/>
      <c r="M422" s="652"/>
    </row>
    <row r="423" spans="1:13">
      <c r="A423" s="816" t="s">
        <v>716</v>
      </c>
      <c r="B423" s="817">
        <v>1.5</v>
      </c>
      <c r="C423" s="818">
        <v>5.23</v>
      </c>
      <c r="D423" s="818">
        <f t="shared" si="10"/>
        <v>7.8450000000000006</v>
      </c>
      <c r="E423" s="818"/>
      <c r="F423" s="818"/>
      <c r="G423" s="820">
        <f t="shared" si="11"/>
        <v>7.8450000000000006</v>
      </c>
      <c r="H423" s="652"/>
      <c r="I423" s="652"/>
      <c r="J423" s="652"/>
      <c r="K423" s="652"/>
      <c r="L423" s="652"/>
      <c r="M423" s="652"/>
    </row>
    <row r="424" spans="1:13" ht="48">
      <c r="A424" s="816" t="s">
        <v>717</v>
      </c>
      <c r="B424" s="817">
        <f>4.6+9.6</f>
        <v>14.2</v>
      </c>
      <c r="C424" s="818">
        <v>4.7300000000000004</v>
      </c>
      <c r="D424" s="818">
        <f t="shared" si="10"/>
        <v>67.165999999999997</v>
      </c>
      <c r="E424" s="819" t="s">
        <v>718</v>
      </c>
      <c r="F424" s="818">
        <f>2.3*1.1*2+(0.8*2.1)+(1*2.1)</f>
        <v>8.84</v>
      </c>
      <c r="G424" s="820">
        <f t="shared" si="11"/>
        <v>58.325999999999993</v>
      </c>
      <c r="H424" s="652"/>
      <c r="I424" s="652"/>
      <c r="J424" s="652"/>
      <c r="K424" s="652"/>
      <c r="L424" s="652"/>
      <c r="M424" s="652"/>
    </row>
    <row r="425" spans="1:13">
      <c r="A425" s="816" t="s">
        <v>719</v>
      </c>
      <c r="B425" s="817">
        <v>4.5999999999999996</v>
      </c>
      <c r="C425" s="818">
        <v>1.93</v>
      </c>
      <c r="D425" s="818">
        <f t="shared" si="10"/>
        <v>8.8779999999999983</v>
      </c>
      <c r="E425" s="818"/>
      <c r="F425" s="818"/>
      <c r="G425" s="820">
        <f t="shared" si="11"/>
        <v>8.8779999999999983</v>
      </c>
      <c r="H425" s="652"/>
      <c r="I425" s="652"/>
      <c r="J425" s="652"/>
      <c r="K425" s="652"/>
      <c r="L425" s="652"/>
      <c r="M425" s="652"/>
    </row>
    <row r="426" spans="1:13">
      <c r="A426" s="2332"/>
      <c r="B426" s="2333"/>
      <c r="C426" s="2333"/>
      <c r="D426" s="2333"/>
      <c r="E426" s="2333"/>
      <c r="F426" s="2333"/>
      <c r="G426" s="2334"/>
      <c r="H426" s="652"/>
      <c r="I426" s="652"/>
      <c r="J426" s="652"/>
      <c r="K426" s="652"/>
      <c r="L426" s="652"/>
      <c r="M426" s="652"/>
    </row>
    <row r="427" spans="1:13">
      <c r="A427" s="2288" t="s">
        <v>720</v>
      </c>
      <c r="B427" s="2289"/>
      <c r="C427" s="2289"/>
      <c r="D427" s="2289"/>
      <c r="E427" s="2289"/>
      <c r="F427" s="2289"/>
      <c r="G427" s="2290"/>
      <c r="H427" s="652"/>
      <c r="I427" s="652"/>
      <c r="J427" s="652"/>
      <c r="K427" s="652"/>
      <c r="L427" s="652"/>
      <c r="M427" s="652"/>
    </row>
    <row r="428" spans="1:13" ht="36">
      <c r="A428" s="811" t="s">
        <v>721</v>
      </c>
      <c r="B428" s="821">
        <f>7.5+4.65</f>
        <v>12.15</v>
      </c>
      <c r="C428" s="812">
        <v>2.8</v>
      </c>
      <c r="D428" s="812">
        <f t="shared" ref="D428:D436" si="12">B428*C428</f>
        <v>34.019999999999996</v>
      </c>
      <c r="E428" s="815" t="s">
        <v>722</v>
      </c>
      <c r="F428" s="812">
        <f>(1.6*2.1)+(3*1.1*0.6)</f>
        <v>5.34</v>
      </c>
      <c r="G428" s="813">
        <f t="shared" ref="G428:G436" si="13">D428-F428</f>
        <v>28.679999999999996</v>
      </c>
      <c r="H428" s="652"/>
      <c r="I428" s="652"/>
      <c r="J428" s="652"/>
      <c r="K428" s="652"/>
      <c r="L428" s="652"/>
      <c r="M428" s="652"/>
    </row>
    <row r="429" spans="1:13" ht="24">
      <c r="A429" s="811" t="s">
        <v>721</v>
      </c>
      <c r="B429" s="821">
        <f>7.5+4.65</f>
        <v>12.15</v>
      </c>
      <c r="C429" s="812">
        <v>2.8</v>
      </c>
      <c r="D429" s="812">
        <f t="shared" si="12"/>
        <v>34.019999999999996</v>
      </c>
      <c r="E429" s="812"/>
      <c r="F429" s="812"/>
      <c r="G429" s="813">
        <f t="shared" si="13"/>
        <v>34.019999999999996</v>
      </c>
      <c r="H429" s="652"/>
      <c r="I429" s="652"/>
      <c r="J429" s="652"/>
      <c r="K429" s="652"/>
      <c r="L429" s="652"/>
      <c r="M429" s="652"/>
    </row>
    <row r="430" spans="1:13" ht="36">
      <c r="A430" s="811" t="s">
        <v>723</v>
      </c>
      <c r="B430" s="814">
        <f>8.85+10.35</f>
        <v>19.2</v>
      </c>
      <c r="C430" s="812">
        <v>2.8</v>
      </c>
      <c r="D430" s="812">
        <f t="shared" si="12"/>
        <v>53.76</v>
      </c>
      <c r="E430" s="815" t="s">
        <v>724</v>
      </c>
      <c r="F430" s="812">
        <f>2.3*1.1*5</f>
        <v>12.649999999999999</v>
      </c>
      <c r="G430" s="813">
        <f t="shared" si="13"/>
        <v>41.11</v>
      </c>
      <c r="H430" s="652"/>
      <c r="I430" s="652"/>
      <c r="J430" s="652"/>
      <c r="K430" s="652"/>
      <c r="L430" s="652"/>
      <c r="M430" s="652"/>
    </row>
    <row r="431" spans="1:13" ht="24">
      <c r="A431" s="811" t="s">
        <v>725</v>
      </c>
      <c r="B431" s="814">
        <f>4.65+4</f>
        <v>8.65</v>
      </c>
      <c r="C431" s="812">
        <v>2.8</v>
      </c>
      <c r="D431" s="812">
        <f t="shared" si="12"/>
        <v>24.22</v>
      </c>
      <c r="E431" s="812"/>
      <c r="F431" s="812"/>
      <c r="G431" s="813">
        <f t="shared" si="13"/>
        <v>24.22</v>
      </c>
      <c r="H431" s="652"/>
      <c r="I431" s="652"/>
      <c r="J431" s="652"/>
      <c r="K431" s="652"/>
      <c r="L431" s="652"/>
      <c r="M431" s="652"/>
    </row>
    <row r="432" spans="1:13">
      <c r="A432" s="811" t="s">
        <v>726</v>
      </c>
      <c r="B432" s="814">
        <v>5.5</v>
      </c>
      <c r="C432" s="812">
        <v>2.8</v>
      </c>
      <c r="D432" s="812">
        <f t="shared" si="12"/>
        <v>15.399999999999999</v>
      </c>
      <c r="E432" s="815" t="s">
        <v>727</v>
      </c>
      <c r="F432" s="812">
        <f>2.3*1.1</f>
        <v>2.5299999999999998</v>
      </c>
      <c r="G432" s="813">
        <f t="shared" si="13"/>
        <v>12.87</v>
      </c>
      <c r="H432" s="652"/>
      <c r="I432" s="652"/>
      <c r="J432" s="652"/>
      <c r="K432" s="652"/>
      <c r="L432" s="652"/>
      <c r="M432" s="652"/>
    </row>
    <row r="433" spans="1:13">
      <c r="A433" s="811" t="s">
        <v>728</v>
      </c>
      <c r="B433" s="814">
        <v>4.5</v>
      </c>
      <c r="C433" s="812">
        <v>2.8</v>
      </c>
      <c r="D433" s="812">
        <f t="shared" si="12"/>
        <v>12.6</v>
      </c>
      <c r="E433" s="812"/>
      <c r="F433" s="812"/>
      <c r="G433" s="813">
        <f t="shared" si="13"/>
        <v>12.6</v>
      </c>
      <c r="H433" s="652"/>
      <c r="I433" s="652"/>
      <c r="J433" s="652"/>
      <c r="K433" s="652"/>
      <c r="L433" s="652"/>
      <c r="M433" s="652"/>
    </row>
    <row r="434" spans="1:13">
      <c r="A434" s="816" t="s">
        <v>729</v>
      </c>
      <c r="B434" s="817">
        <v>5</v>
      </c>
      <c r="C434" s="818">
        <v>2.8</v>
      </c>
      <c r="D434" s="818">
        <f t="shared" si="12"/>
        <v>14</v>
      </c>
      <c r="E434" s="818"/>
      <c r="F434" s="818"/>
      <c r="G434" s="820">
        <f t="shared" si="13"/>
        <v>14</v>
      </c>
      <c r="H434" s="652"/>
      <c r="I434" s="652"/>
      <c r="J434" s="652"/>
      <c r="K434" s="652"/>
      <c r="L434" s="652"/>
      <c r="M434" s="652"/>
    </row>
    <row r="435" spans="1:13">
      <c r="A435" s="816" t="s">
        <v>730</v>
      </c>
      <c r="B435" s="817">
        <v>9</v>
      </c>
      <c r="C435" s="818">
        <v>2.8</v>
      </c>
      <c r="D435" s="818">
        <f t="shared" si="12"/>
        <v>25.2</v>
      </c>
      <c r="E435" s="818"/>
      <c r="F435" s="818"/>
      <c r="G435" s="820">
        <f t="shared" si="13"/>
        <v>25.2</v>
      </c>
      <c r="H435" s="652"/>
      <c r="I435" s="652"/>
      <c r="J435" s="652"/>
      <c r="K435" s="652"/>
      <c r="L435" s="652"/>
      <c r="M435" s="652"/>
    </row>
    <row r="436" spans="1:13" ht="48">
      <c r="A436" s="816" t="s">
        <v>731</v>
      </c>
      <c r="B436" s="817">
        <v>6.15</v>
      </c>
      <c r="C436" s="818">
        <v>5.23</v>
      </c>
      <c r="D436" s="818">
        <f t="shared" si="12"/>
        <v>32.164500000000004</v>
      </c>
      <c r="E436" s="819" t="s">
        <v>732</v>
      </c>
      <c r="F436" s="818">
        <f>(0.8*2.1*4)+(0.4*0.6*2)</f>
        <v>7.2000000000000011</v>
      </c>
      <c r="G436" s="820">
        <f t="shared" si="13"/>
        <v>24.964500000000001</v>
      </c>
      <c r="H436" s="652"/>
      <c r="I436" s="652"/>
      <c r="J436" s="652"/>
      <c r="K436" s="652"/>
      <c r="L436" s="652"/>
      <c r="M436" s="652"/>
    </row>
    <row r="437" spans="1:13">
      <c r="A437" s="2332"/>
      <c r="B437" s="2333"/>
      <c r="C437" s="2333"/>
      <c r="D437" s="2333"/>
      <c r="E437" s="2333"/>
      <c r="F437" s="2333"/>
      <c r="G437" s="2334"/>
      <c r="H437" s="652"/>
      <c r="I437" s="652"/>
      <c r="J437" s="652"/>
      <c r="K437" s="652"/>
      <c r="L437" s="652"/>
      <c r="M437" s="652"/>
    </row>
    <row r="438" spans="1:13">
      <c r="A438" s="2172" t="s">
        <v>1990</v>
      </c>
      <c r="B438" s="2175"/>
      <c r="C438" s="2175"/>
      <c r="D438" s="2175"/>
      <c r="E438" s="2175"/>
      <c r="F438" s="2175"/>
      <c r="G438" s="2176"/>
      <c r="H438" s="652"/>
      <c r="I438" s="822"/>
      <c r="J438" s="652"/>
      <c r="K438" s="652"/>
      <c r="L438" s="652"/>
      <c r="M438" s="652"/>
    </row>
    <row r="439" spans="1:13">
      <c r="A439" s="2323"/>
      <c r="B439" s="2324"/>
      <c r="C439" s="2329" t="s">
        <v>692</v>
      </c>
      <c r="D439" s="2330"/>
      <c r="E439" s="2330"/>
      <c r="F439" s="2331"/>
      <c r="G439" s="813"/>
      <c r="H439" s="652"/>
      <c r="I439" s="652"/>
      <c r="J439" s="652"/>
      <c r="K439" s="652"/>
      <c r="L439" s="652"/>
      <c r="M439" s="652"/>
    </row>
    <row r="440" spans="1:13">
      <c r="A440" s="2325"/>
      <c r="B440" s="2326"/>
      <c r="C440" s="2285" t="s">
        <v>283</v>
      </c>
      <c r="D440" s="2286"/>
      <c r="E440" s="2286"/>
      <c r="F440" s="2287"/>
      <c r="G440" s="806">
        <f>ROUNDUP(G404+G405+G406+G407+G408+G409+G410+G411,2)</f>
        <v>48.43</v>
      </c>
      <c r="H440" s="652"/>
      <c r="I440" s="652"/>
      <c r="J440" s="652"/>
      <c r="K440" s="652"/>
      <c r="L440" s="652"/>
      <c r="M440" s="652"/>
    </row>
    <row r="441" spans="1:13">
      <c r="A441" s="2325"/>
      <c r="B441" s="2326"/>
      <c r="C441" s="2329" t="s">
        <v>702</v>
      </c>
      <c r="D441" s="2330"/>
      <c r="E441" s="2330"/>
      <c r="F441" s="2331"/>
      <c r="G441" s="823"/>
      <c r="H441" s="652"/>
      <c r="I441" s="652"/>
      <c r="J441" s="652"/>
      <c r="K441" s="652"/>
      <c r="L441" s="652"/>
      <c r="M441" s="652"/>
    </row>
    <row r="442" spans="1:13">
      <c r="A442" s="2325"/>
      <c r="B442" s="2326"/>
      <c r="C442" s="2285" t="s">
        <v>283</v>
      </c>
      <c r="D442" s="2286"/>
      <c r="E442" s="2286"/>
      <c r="F442" s="2287"/>
      <c r="G442" s="806">
        <f>ROUNDUP(G414+G415+G416+G417+G418+G419+G420+G421+G422+G423+G424+G425,2)</f>
        <v>205.01</v>
      </c>
      <c r="H442" s="652"/>
      <c r="I442" s="652"/>
      <c r="J442" s="652"/>
      <c r="K442" s="652"/>
      <c r="L442" s="652"/>
      <c r="M442" s="652"/>
    </row>
    <row r="443" spans="1:13">
      <c r="A443" s="2325"/>
      <c r="B443" s="2326"/>
      <c r="C443" s="2329" t="s">
        <v>720</v>
      </c>
      <c r="D443" s="2330"/>
      <c r="E443" s="2330"/>
      <c r="F443" s="2331"/>
      <c r="G443" s="823"/>
      <c r="H443" s="652"/>
      <c r="I443" s="652"/>
      <c r="J443" s="652"/>
      <c r="K443" s="652"/>
      <c r="L443" s="652"/>
      <c r="M443" s="652"/>
    </row>
    <row r="444" spans="1:13">
      <c r="A444" s="2327"/>
      <c r="B444" s="2328"/>
      <c r="C444" s="2285" t="s">
        <v>283</v>
      </c>
      <c r="D444" s="2286"/>
      <c r="E444" s="2286"/>
      <c r="F444" s="2287"/>
      <c r="G444" s="806">
        <f>ROUNDUP(G428+G434+G435+G429+G430+G432+G433+G436,2)</f>
        <v>193.45</v>
      </c>
      <c r="H444" s="652"/>
      <c r="I444" s="652"/>
      <c r="J444" s="652"/>
      <c r="K444" s="652"/>
      <c r="L444" s="652"/>
      <c r="M444" s="652"/>
    </row>
    <row r="445" spans="1:13" ht="15.75" thickBot="1">
      <c r="A445" s="2273" t="s">
        <v>316</v>
      </c>
      <c r="B445" s="2274"/>
      <c r="C445" s="2274"/>
      <c r="D445" s="2274"/>
      <c r="E445" s="2274"/>
      <c r="F445" s="2275"/>
      <c r="G445" s="827">
        <f>ROUNDUP(G440+G442+G444,2)</f>
        <v>446.89</v>
      </c>
      <c r="H445" s="652"/>
      <c r="I445" s="745"/>
      <c r="J445" s="652"/>
      <c r="K445" s="652"/>
      <c r="L445" s="652"/>
      <c r="M445" s="652"/>
    </row>
    <row r="446" spans="1:13" ht="15.75" thickBot="1">
      <c r="A446" s="824"/>
      <c r="B446" s="825"/>
      <c r="C446" s="825"/>
      <c r="D446" s="825"/>
      <c r="E446" s="825"/>
      <c r="F446" s="825"/>
      <c r="G446" s="826"/>
      <c r="H446" s="652"/>
      <c r="I446" s="652"/>
      <c r="J446" s="652"/>
      <c r="K446" s="652"/>
      <c r="L446" s="652"/>
      <c r="M446" s="652"/>
    </row>
    <row r="447" spans="1:13" ht="15.75" thickBot="1">
      <c r="A447" s="666" t="s">
        <v>111</v>
      </c>
      <c r="B447" s="2163" t="s">
        <v>735</v>
      </c>
      <c r="C447" s="2164"/>
      <c r="D447" s="2164"/>
      <c r="E447" s="2164"/>
      <c r="F447" s="2164"/>
      <c r="G447" s="2165"/>
      <c r="H447" s="652"/>
      <c r="I447" s="667" t="s">
        <v>426</v>
      </c>
      <c r="J447" s="652"/>
      <c r="K447" s="652"/>
      <c r="L447" s="652"/>
      <c r="M447" s="652"/>
    </row>
    <row r="448" spans="1:13">
      <c r="A448" s="2166" t="s">
        <v>279</v>
      </c>
      <c r="B448" s="2167"/>
      <c r="C448" s="2167"/>
      <c r="D448" s="2167"/>
      <c r="E448" s="2167"/>
      <c r="F448" s="2167"/>
      <c r="G448" s="2168"/>
      <c r="H448" s="652"/>
      <c r="I448" s="652"/>
      <c r="J448" s="652"/>
      <c r="K448" s="652"/>
      <c r="L448" s="652"/>
      <c r="M448" s="652"/>
    </row>
    <row r="449" spans="1:13">
      <c r="A449" s="2320" t="s">
        <v>361</v>
      </c>
      <c r="B449" s="2321"/>
      <c r="C449" s="2321"/>
      <c r="D449" s="2321"/>
      <c r="E449" s="2321"/>
      <c r="F449" s="2321"/>
      <c r="G449" s="2322"/>
      <c r="H449" s="652"/>
      <c r="I449" s="652"/>
      <c r="J449" s="652"/>
      <c r="K449" s="652"/>
      <c r="L449" s="652"/>
      <c r="M449" s="652"/>
    </row>
    <row r="450" spans="1:13">
      <c r="A450" s="681" t="s">
        <v>298</v>
      </c>
      <c r="B450" s="682" t="s">
        <v>298</v>
      </c>
      <c r="C450" s="682" t="s">
        <v>308</v>
      </c>
      <c r="D450" s="682" t="s">
        <v>309</v>
      </c>
      <c r="E450" s="682" t="s">
        <v>310</v>
      </c>
      <c r="F450" s="682" t="s">
        <v>311</v>
      </c>
      <c r="G450" s="740" t="s">
        <v>312</v>
      </c>
      <c r="H450" s="652"/>
      <c r="I450" s="652"/>
      <c r="J450" s="652"/>
      <c r="K450" s="652"/>
      <c r="L450" s="652"/>
      <c r="M450" s="652"/>
    </row>
    <row r="451" spans="1:13">
      <c r="A451" s="2288" t="s">
        <v>692</v>
      </c>
      <c r="B451" s="2289"/>
      <c r="C451" s="2289"/>
      <c r="D451" s="2289"/>
      <c r="E451" s="2289"/>
      <c r="F451" s="2289"/>
      <c r="G451" s="2290"/>
      <c r="H451" s="652"/>
      <c r="I451" s="652"/>
      <c r="J451" s="652"/>
      <c r="K451" s="652"/>
      <c r="L451" s="652"/>
      <c r="M451" s="652"/>
    </row>
    <row r="452" spans="1:13" ht="24">
      <c r="A452" s="696" t="s">
        <v>736</v>
      </c>
      <c r="B452" s="718">
        <f>1.05+2.85</f>
        <v>3.9000000000000004</v>
      </c>
      <c r="C452" s="718">
        <v>2.1</v>
      </c>
      <c r="D452" s="718">
        <f t="shared" ref="D452:D457" si="14">B452*C452</f>
        <v>8.1900000000000013</v>
      </c>
      <c r="E452" s="742" t="s">
        <v>737</v>
      </c>
      <c r="F452" s="718">
        <f>(0.8*2.1)+(1.1*0.6)</f>
        <v>2.3400000000000003</v>
      </c>
      <c r="G452" s="743">
        <f t="shared" ref="G452:G460" si="15">D452-F452</f>
        <v>5.8500000000000014</v>
      </c>
      <c r="H452" s="652"/>
      <c r="I452" s="652"/>
      <c r="J452" s="652"/>
      <c r="K452" s="652"/>
      <c r="L452" s="652"/>
      <c r="M452" s="652"/>
    </row>
    <row r="453" spans="1:13" ht="24">
      <c r="A453" s="696" t="s">
        <v>738</v>
      </c>
      <c r="B453" s="800">
        <f>1.85+1.08+2</f>
        <v>4.93</v>
      </c>
      <c r="C453" s="718">
        <v>2.1</v>
      </c>
      <c r="D453" s="718">
        <f t="shared" si="14"/>
        <v>10.353</v>
      </c>
      <c r="E453" s="718"/>
      <c r="F453" s="718"/>
      <c r="G453" s="743">
        <f t="shared" si="15"/>
        <v>10.353</v>
      </c>
      <c r="H453" s="652"/>
      <c r="I453" s="652"/>
      <c r="J453" s="652"/>
      <c r="K453" s="652"/>
      <c r="L453" s="652"/>
      <c r="M453" s="652"/>
    </row>
    <row r="454" spans="1:13" ht="24">
      <c r="A454" s="696" t="s">
        <v>739</v>
      </c>
      <c r="B454" s="718">
        <f>1.05+2.85</f>
        <v>3.9000000000000004</v>
      </c>
      <c r="C454" s="718">
        <v>2.1</v>
      </c>
      <c r="D454" s="718">
        <f t="shared" si="14"/>
        <v>8.1900000000000013</v>
      </c>
      <c r="E454" s="742" t="s">
        <v>737</v>
      </c>
      <c r="F454" s="718">
        <f>(0.8*2.1)+(1.1*0.6)</f>
        <v>2.3400000000000003</v>
      </c>
      <c r="G454" s="743">
        <f t="shared" si="15"/>
        <v>5.8500000000000014</v>
      </c>
      <c r="H454" s="652"/>
      <c r="I454" s="652"/>
      <c r="J454" s="652"/>
      <c r="K454" s="652"/>
      <c r="L454" s="652"/>
      <c r="M454" s="652"/>
    </row>
    <row r="455" spans="1:13" ht="24">
      <c r="A455" s="696" t="s">
        <v>740</v>
      </c>
      <c r="B455" s="800">
        <f>1.85+1.08+2</f>
        <v>4.93</v>
      </c>
      <c r="C455" s="718">
        <v>2.1</v>
      </c>
      <c r="D455" s="718">
        <f t="shared" si="14"/>
        <v>10.353</v>
      </c>
      <c r="E455" s="718"/>
      <c r="F455" s="718"/>
      <c r="G455" s="743">
        <f t="shared" si="15"/>
        <v>10.353</v>
      </c>
      <c r="H455" s="652"/>
      <c r="I455" s="652"/>
      <c r="J455" s="652"/>
      <c r="K455" s="652"/>
      <c r="L455" s="652"/>
      <c r="M455" s="652"/>
    </row>
    <row r="456" spans="1:13" ht="24">
      <c r="A456" s="696" t="s">
        <v>741</v>
      </c>
      <c r="B456" s="718">
        <f>1.35*2</f>
        <v>2.7</v>
      </c>
      <c r="C456" s="718">
        <v>2.1</v>
      </c>
      <c r="D456" s="718">
        <f t="shared" si="14"/>
        <v>5.6700000000000008</v>
      </c>
      <c r="E456" s="742" t="s">
        <v>737</v>
      </c>
      <c r="F456" s="718">
        <f>(0.8*2.1)+(1.1*0.6)</f>
        <v>2.3400000000000003</v>
      </c>
      <c r="G456" s="743">
        <f t="shared" si="15"/>
        <v>3.3300000000000005</v>
      </c>
      <c r="H456" s="652"/>
      <c r="I456" s="652"/>
      <c r="J456" s="652"/>
      <c r="K456" s="652"/>
      <c r="L456" s="652"/>
      <c r="M456" s="652"/>
    </row>
    <row r="457" spans="1:13">
      <c r="A457" s="696" t="s">
        <v>742</v>
      </c>
      <c r="B457" s="718">
        <f>2.35+2.35</f>
        <v>4.7</v>
      </c>
      <c r="C457" s="718">
        <v>2.1</v>
      </c>
      <c r="D457" s="718">
        <f t="shared" si="14"/>
        <v>9.870000000000001</v>
      </c>
      <c r="E457" s="718"/>
      <c r="F457" s="718"/>
      <c r="G457" s="743">
        <f t="shared" si="15"/>
        <v>9.870000000000001</v>
      </c>
      <c r="H457" s="652"/>
      <c r="I457" s="652"/>
      <c r="J457" s="652"/>
      <c r="K457" s="652"/>
      <c r="L457" s="652"/>
      <c r="M457" s="652"/>
    </row>
    <row r="458" spans="1:13" ht="24">
      <c r="A458" s="696" t="s">
        <v>743</v>
      </c>
      <c r="B458" s="718">
        <v>4</v>
      </c>
      <c r="C458" s="718">
        <v>2.1</v>
      </c>
      <c r="D458" s="718">
        <f>4*2.1</f>
        <v>8.4</v>
      </c>
      <c r="E458" s="742" t="s">
        <v>744</v>
      </c>
      <c r="F458" s="718">
        <f>(0.6*1.1)+(1.2*1.1)</f>
        <v>1.98</v>
      </c>
      <c r="G458" s="743">
        <f t="shared" si="15"/>
        <v>6.42</v>
      </c>
      <c r="H458" s="652"/>
      <c r="I458" s="652"/>
      <c r="J458" s="652"/>
      <c r="K458" s="652"/>
      <c r="L458" s="652"/>
      <c r="M458" s="652"/>
    </row>
    <row r="459" spans="1:13" ht="36">
      <c r="A459" s="696" t="s">
        <v>745</v>
      </c>
      <c r="B459" s="718">
        <f>1.85+1.65+1.65+1.85</f>
        <v>7</v>
      </c>
      <c r="C459" s="718">
        <v>2.1</v>
      </c>
      <c r="D459" s="718">
        <f>4*2.1</f>
        <v>8.4</v>
      </c>
      <c r="E459" s="742" t="s">
        <v>746</v>
      </c>
      <c r="F459" s="718">
        <f>(0.8*2.1)+(0.4*0.6)</f>
        <v>1.9200000000000002</v>
      </c>
      <c r="G459" s="743">
        <f t="shared" si="15"/>
        <v>6.48</v>
      </c>
      <c r="H459" s="652"/>
      <c r="I459" s="652"/>
      <c r="J459" s="652"/>
      <c r="K459" s="652"/>
      <c r="L459" s="652"/>
      <c r="M459" s="652"/>
    </row>
    <row r="460" spans="1:13" ht="36">
      <c r="A460" s="696" t="s">
        <v>747</v>
      </c>
      <c r="B460" s="718">
        <f>1.85+1.65+1.65+1.85</f>
        <v>7</v>
      </c>
      <c r="C460" s="718">
        <v>2.1</v>
      </c>
      <c r="D460" s="718">
        <f>4*2.1</f>
        <v>8.4</v>
      </c>
      <c r="E460" s="742" t="s">
        <v>746</v>
      </c>
      <c r="F460" s="718">
        <f>(0.8*2.1)+(0.4*0.6)</f>
        <v>1.9200000000000002</v>
      </c>
      <c r="G460" s="743">
        <f t="shared" si="15"/>
        <v>6.48</v>
      </c>
      <c r="H460" s="652"/>
      <c r="I460" s="652"/>
      <c r="J460" s="652"/>
      <c r="K460" s="652"/>
      <c r="L460" s="652"/>
      <c r="M460" s="652"/>
    </row>
    <row r="461" spans="1:13">
      <c r="A461" s="2235"/>
      <c r="B461" s="2155"/>
      <c r="C461" s="2155"/>
      <c r="D461" s="2155"/>
      <c r="E461" s="2155"/>
      <c r="F461" s="2155"/>
      <c r="G461" s="2156"/>
      <c r="H461" s="652"/>
      <c r="I461" s="652"/>
      <c r="J461" s="652"/>
      <c r="K461" s="652"/>
      <c r="L461" s="652"/>
      <c r="M461" s="652"/>
    </row>
    <row r="462" spans="1:13">
      <c r="A462" s="2288" t="s">
        <v>702</v>
      </c>
      <c r="B462" s="2289"/>
      <c r="C462" s="2289"/>
      <c r="D462" s="2289"/>
      <c r="E462" s="2289"/>
      <c r="F462" s="2289"/>
      <c r="G462" s="2290"/>
      <c r="H462" s="652"/>
      <c r="I462" s="652"/>
      <c r="J462" s="652"/>
      <c r="K462" s="652"/>
      <c r="L462" s="652"/>
      <c r="M462" s="652"/>
    </row>
    <row r="463" spans="1:13" ht="24">
      <c r="A463" s="696" t="s">
        <v>748</v>
      </c>
      <c r="B463" s="718">
        <v>3.85</v>
      </c>
      <c r="C463" s="718">
        <v>2.1</v>
      </c>
      <c r="D463" s="718">
        <f>B463*C463</f>
        <v>8.0850000000000009</v>
      </c>
      <c r="E463" s="718"/>
      <c r="F463" s="718"/>
      <c r="G463" s="743">
        <f>D463-F463</f>
        <v>8.0850000000000009</v>
      </c>
      <c r="H463" s="652"/>
      <c r="I463" s="652"/>
      <c r="J463" s="652"/>
      <c r="K463" s="652"/>
      <c r="L463" s="652"/>
      <c r="M463" s="652"/>
    </row>
    <row r="464" spans="1:13" ht="24">
      <c r="A464" s="696" t="s">
        <v>749</v>
      </c>
      <c r="B464" s="718">
        <v>3.85</v>
      </c>
      <c r="C464" s="718">
        <v>2.1</v>
      </c>
      <c r="D464" s="718">
        <f>B464*C464</f>
        <v>8.0850000000000009</v>
      </c>
      <c r="E464" s="718"/>
      <c r="F464" s="718"/>
      <c r="G464" s="743">
        <f>D464-F464</f>
        <v>8.0850000000000009</v>
      </c>
      <c r="H464" s="652"/>
      <c r="I464" s="652"/>
      <c r="J464" s="652"/>
      <c r="K464" s="652"/>
      <c r="L464" s="652"/>
      <c r="M464" s="652"/>
    </row>
    <row r="465" spans="1:13">
      <c r="A465" s="696" t="s">
        <v>750</v>
      </c>
      <c r="B465" s="718">
        <v>3.85</v>
      </c>
      <c r="C465" s="718">
        <v>2.1</v>
      </c>
      <c r="D465" s="718">
        <f>B465*C465</f>
        <v>8.0850000000000009</v>
      </c>
      <c r="E465" s="742" t="s">
        <v>751</v>
      </c>
      <c r="F465" s="718">
        <f>0.8*2.1</f>
        <v>1.6800000000000002</v>
      </c>
      <c r="G465" s="743">
        <f>D465-F465</f>
        <v>6.4050000000000011</v>
      </c>
      <c r="H465" s="652"/>
      <c r="I465" s="652"/>
      <c r="J465" s="652"/>
      <c r="K465" s="652"/>
      <c r="L465" s="652"/>
      <c r="M465" s="652"/>
    </row>
    <row r="466" spans="1:13">
      <c r="A466" s="696" t="s">
        <v>750</v>
      </c>
      <c r="B466" s="718">
        <v>3.85</v>
      </c>
      <c r="C466" s="718">
        <v>2.1</v>
      </c>
      <c r="D466" s="718">
        <f>B466*C466</f>
        <v>8.0850000000000009</v>
      </c>
      <c r="E466" s="718"/>
      <c r="F466" s="718"/>
      <c r="G466" s="743">
        <f>D466-F466</f>
        <v>8.0850000000000009</v>
      </c>
      <c r="H466" s="652"/>
      <c r="I466" s="652"/>
      <c r="J466" s="652"/>
      <c r="K466" s="652"/>
      <c r="L466" s="652"/>
      <c r="M466" s="652"/>
    </row>
    <row r="467" spans="1:13">
      <c r="A467" s="2235"/>
      <c r="B467" s="2155"/>
      <c r="C467" s="2155"/>
      <c r="D467" s="2155"/>
      <c r="E467" s="2155"/>
      <c r="F467" s="2155"/>
      <c r="G467" s="2156"/>
      <c r="H467" s="652"/>
      <c r="I467" s="652"/>
      <c r="J467" s="652"/>
      <c r="K467" s="652"/>
      <c r="L467" s="652"/>
      <c r="M467" s="652"/>
    </row>
    <row r="468" spans="1:13">
      <c r="A468" s="2172" t="s">
        <v>733</v>
      </c>
      <c r="B468" s="2175"/>
      <c r="C468" s="2175"/>
      <c r="D468" s="2175"/>
      <c r="E468" s="2175"/>
      <c r="F468" s="2175"/>
      <c r="G468" s="2176"/>
      <c r="H468" s="652"/>
      <c r="I468" s="652"/>
      <c r="J468" s="652"/>
      <c r="K468" s="652"/>
      <c r="L468" s="652"/>
      <c r="M468" s="652"/>
    </row>
    <row r="469" spans="1:13">
      <c r="A469" s="2276"/>
      <c r="B469" s="2277"/>
      <c r="C469" s="2282" t="s">
        <v>692</v>
      </c>
      <c r="D469" s="2283"/>
      <c r="E469" s="2283"/>
      <c r="F469" s="2284"/>
      <c r="G469" s="743"/>
      <c r="H469" s="652"/>
      <c r="I469" s="652"/>
      <c r="J469" s="652"/>
      <c r="K469" s="652"/>
      <c r="L469" s="652"/>
      <c r="M469" s="652"/>
    </row>
    <row r="470" spans="1:13">
      <c r="A470" s="2278"/>
      <c r="B470" s="2279"/>
      <c r="C470" s="2285" t="s">
        <v>283</v>
      </c>
      <c r="D470" s="2286"/>
      <c r="E470" s="2286"/>
      <c r="F470" s="2287"/>
      <c r="G470" s="806">
        <f>ROUNDUP(G452+G453+G454+G455+G458+G456+G457+G459+G460,2)</f>
        <v>64.990000000000009</v>
      </c>
      <c r="H470" s="652"/>
      <c r="I470" s="652"/>
      <c r="J470" s="652"/>
      <c r="K470" s="652"/>
      <c r="L470" s="652"/>
      <c r="M470" s="652"/>
    </row>
    <row r="471" spans="1:13">
      <c r="A471" s="2278"/>
      <c r="B471" s="2279"/>
      <c r="C471" s="2282" t="s">
        <v>702</v>
      </c>
      <c r="D471" s="2283"/>
      <c r="E471" s="2283"/>
      <c r="F471" s="2284"/>
      <c r="G471" s="807"/>
      <c r="H471" s="652"/>
      <c r="I471" s="652"/>
      <c r="J471" s="652"/>
      <c r="K471" s="652"/>
      <c r="L471" s="652"/>
      <c r="M471" s="652"/>
    </row>
    <row r="472" spans="1:13">
      <c r="A472" s="2280"/>
      <c r="B472" s="2281"/>
      <c r="C472" s="2285" t="s">
        <v>283</v>
      </c>
      <c r="D472" s="2286"/>
      <c r="E472" s="2286"/>
      <c r="F472" s="2287"/>
      <c r="G472" s="806">
        <f>ROUNDUP(G463+G464+G465+G466,2)</f>
        <v>30.66</v>
      </c>
      <c r="H472" s="652"/>
      <c r="I472" s="652"/>
      <c r="J472" s="652"/>
      <c r="K472" s="652"/>
      <c r="L472" s="652"/>
      <c r="M472" s="652"/>
    </row>
    <row r="473" spans="1:13" ht="15.75" thickBot="1">
      <c r="A473" s="2273" t="s">
        <v>316</v>
      </c>
      <c r="B473" s="2274"/>
      <c r="C473" s="2274"/>
      <c r="D473" s="2274"/>
      <c r="E473" s="2274"/>
      <c r="F473" s="2275"/>
      <c r="G473" s="827">
        <f>ROUNDUP(G470+G472,2)</f>
        <v>95.65</v>
      </c>
      <c r="H473" s="652"/>
      <c r="I473" s="652"/>
      <c r="J473" s="652"/>
      <c r="K473" s="652"/>
      <c r="L473" s="652"/>
      <c r="M473" s="652"/>
    </row>
    <row r="474" spans="1:13" ht="15.75" thickBot="1">
      <c r="A474" s="824"/>
      <c r="B474" s="825"/>
      <c r="C474" s="825"/>
      <c r="D474" s="825"/>
      <c r="E474" s="825"/>
      <c r="F474" s="825"/>
      <c r="G474" s="826"/>
      <c r="H474" s="652"/>
      <c r="I474" s="652"/>
      <c r="J474" s="652"/>
      <c r="K474" s="652"/>
      <c r="L474" s="652"/>
      <c r="M474" s="652"/>
    </row>
    <row r="475" spans="1:13" ht="15.75" thickBot="1">
      <c r="A475" s="666" t="s">
        <v>112</v>
      </c>
      <c r="B475" s="2163" t="s">
        <v>752</v>
      </c>
      <c r="C475" s="2164"/>
      <c r="D475" s="2164"/>
      <c r="E475" s="2164"/>
      <c r="F475" s="2164"/>
      <c r="G475" s="2165"/>
      <c r="H475" s="652"/>
      <c r="I475" s="667" t="s">
        <v>426</v>
      </c>
      <c r="J475" s="652"/>
      <c r="K475" s="652"/>
      <c r="L475" s="652"/>
      <c r="M475" s="652"/>
    </row>
    <row r="476" spans="1:13">
      <c r="A476" s="2166" t="s">
        <v>279</v>
      </c>
      <c r="B476" s="2167"/>
      <c r="C476" s="2167"/>
      <c r="D476" s="2167"/>
      <c r="E476" s="2167"/>
      <c r="F476" s="2167"/>
      <c r="G476" s="2168"/>
      <c r="H476" s="652"/>
      <c r="I476" s="652"/>
      <c r="J476" s="652"/>
      <c r="K476" s="652"/>
      <c r="L476" s="652"/>
      <c r="M476" s="652"/>
    </row>
    <row r="477" spans="1:13">
      <c r="A477" s="2320" t="s">
        <v>361</v>
      </c>
      <c r="B477" s="2321"/>
      <c r="C477" s="2321"/>
      <c r="D477" s="2321"/>
      <c r="E477" s="2321"/>
      <c r="F477" s="2321"/>
      <c r="G477" s="2322"/>
      <c r="H477" s="652"/>
      <c r="I477" s="652"/>
      <c r="J477" s="652"/>
      <c r="K477" s="652"/>
      <c r="L477" s="652"/>
      <c r="M477" s="652"/>
    </row>
    <row r="478" spans="1:13">
      <c r="A478" s="681" t="s">
        <v>298</v>
      </c>
      <c r="B478" s="682" t="s">
        <v>298</v>
      </c>
      <c r="C478" s="682" t="s">
        <v>308</v>
      </c>
      <c r="D478" s="682" t="s">
        <v>309</v>
      </c>
      <c r="E478" s="682" t="s">
        <v>310</v>
      </c>
      <c r="F478" s="682" t="s">
        <v>311</v>
      </c>
      <c r="G478" s="740" t="s">
        <v>312</v>
      </c>
      <c r="H478" s="652"/>
      <c r="I478" s="652"/>
      <c r="J478" s="652"/>
      <c r="K478" s="652"/>
      <c r="L478" s="652"/>
      <c r="M478" s="652"/>
    </row>
    <row r="479" spans="1:13">
      <c r="A479" s="2288" t="s">
        <v>692</v>
      </c>
      <c r="B479" s="2289"/>
      <c r="C479" s="2289"/>
      <c r="D479" s="2289"/>
      <c r="E479" s="2289"/>
      <c r="F479" s="2289"/>
      <c r="G479" s="2290"/>
      <c r="H479" s="652"/>
      <c r="I479" s="652"/>
      <c r="J479" s="652"/>
      <c r="K479" s="652"/>
      <c r="L479" s="652"/>
      <c r="M479" s="652"/>
    </row>
    <row r="480" spans="1:13" ht="24">
      <c r="A480" s="696" t="s">
        <v>736</v>
      </c>
      <c r="B480" s="718">
        <f>1.05+2.85</f>
        <v>3.9000000000000004</v>
      </c>
      <c r="C480" s="718">
        <v>2.1</v>
      </c>
      <c r="D480" s="718">
        <f t="shared" ref="D480:D485" si="16">B480*C480</f>
        <v>8.1900000000000013</v>
      </c>
      <c r="E480" s="742" t="s">
        <v>737</v>
      </c>
      <c r="F480" s="718">
        <f>(0.8*2.1)+(1.1*0.6)</f>
        <v>2.3400000000000003</v>
      </c>
      <c r="G480" s="743">
        <f t="shared" ref="G480:G488" si="17">D480-F480</f>
        <v>5.8500000000000014</v>
      </c>
      <c r="H480" s="652"/>
      <c r="I480" s="652"/>
      <c r="J480" s="652"/>
      <c r="K480" s="652"/>
      <c r="L480" s="652"/>
      <c r="M480" s="652"/>
    </row>
    <row r="481" spans="1:13" ht="24">
      <c r="A481" s="696" t="s">
        <v>738</v>
      </c>
      <c r="B481" s="800">
        <f>1.85+1.08+2</f>
        <v>4.93</v>
      </c>
      <c r="C481" s="718">
        <v>2.1</v>
      </c>
      <c r="D481" s="718">
        <f t="shared" si="16"/>
        <v>10.353</v>
      </c>
      <c r="E481" s="718"/>
      <c r="F481" s="718"/>
      <c r="G481" s="743">
        <f t="shared" si="17"/>
        <v>10.353</v>
      </c>
      <c r="H481" s="652"/>
      <c r="I481" s="652"/>
      <c r="J481" s="652"/>
      <c r="K481" s="652"/>
      <c r="L481" s="652"/>
      <c r="M481" s="652"/>
    </row>
    <row r="482" spans="1:13" ht="24">
      <c r="A482" s="696" t="s">
        <v>739</v>
      </c>
      <c r="B482" s="718">
        <f>1.05+2.85</f>
        <v>3.9000000000000004</v>
      </c>
      <c r="C482" s="718">
        <v>2.1</v>
      </c>
      <c r="D482" s="718">
        <f t="shared" si="16"/>
        <v>8.1900000000000013</v>
      </c>
      <c r="E482" s="742" t="s">
        <v>737</v>
      </c>
      <c r="F482" s="718">
        <f>(0.8*2.1)+(1.1*0.6)</f>
        <v>2.3400000000000003</v>
      </c>
      <c r="G482" s="743">
        <f t="shared" si="17"/>
        <v>5.8500000000000014</v>
      </c>
      <c r="H482" s="652"/>
      <c r="I482" s="652"/>
      <c r="J482" s="652"/>
      <c r="K482" s="652"/>
      <c r="L482" s="652"/>
      <c r="M482" s="652"/>
    </row>
    <row r="483" spans="1:13" ht="24">
      <c r="A483" s="696" t="s">
        <v>740</v>
      </c>
      <c r="B483" s="800">
        <f>1.85+1.08+2</f>
        <v>4.93</v>
      </c>
      <c r="C483" s="718">
        <v>2.1</v>
      </c>
      <c r="D483" s="718">
        <f t="shared" si="16"/>
        <v>10.353</v>
      </c>
      <c r="E483" s="718"/>
      <c r="F483" s="718"/>
      <c r="G483" s="743">
        <f t="shared" si="17"/>
        <v>10.353</v>
      </c>
      <c r="H483" s="652"/>
      <c r="I483" s="652"/>
      <c r="J483" s="652"/>
      <c r="K483" s="652"/>
      <c r="L483" s="652"/>
      <c r="M483" s="652"/>
    </row>
    <row r="484" spans="1:13" ht="24">
      <c r="A484" s="696" t="s">
        <v>741</v>
      </c>
      <c r="B484" s="718">
        <f>1.35*2</f>
        <v>2.7</v>
      </c>
      <c r="C484" s="718">
        <v>2.1</v>
      </c>
      <c r="D484" s="718">
        <f t="shared" si="16"/>
        <v>5.6700000000000008</v>
      </c>
      <c r="E484" s="742" t="s">
        <v>737</v>
      </c>
      <c r="F484" s="718">
        <f>(0.8*2.1)+(1.1*0.6)</f>
        <v>2.3400000000000003</v>
      </c>
      <c r="G484" s="743">
        <f t="shared" si="17"/>
        <v>3.3300000000000005</v>
      </c>
      <c r="H484" s="652"/>
      <c r="I484" s="652"/>
      <c r="J484" s="652"/>
      <c r="K484" s="652"/>
      <c r="L484" s="652"/>
      <c r="M484" s="652"/>
    </row>
    <row r="485" spans="1:13">
      <c r="A485" s="696" t="s">
        <v>742</v>
      </c>
      <c r="B485" s="718">
        <f>2.35+2.35</f>
        <v>4.7</v>
      </c>
      <c r="C485" s="718">
        <v>2.1</v>
      </c>
      <c r="D485" s="718">
        <f t="shared" si="16"/>
        <v>9.870000000000001</v>
      </c>
      <c r="E485" s="718"/>
      <c r="F485" s="718"/>
      <c r="G485" s="743">
        <f t="shared" si="17"/>
        <v>9.870000000000001</v>
      </c>
      <c r="H485" s="652"/>
      <c r="I485" s="652"/>
      <c r="J485" s="652"/>
      <c r="K485" s="652"/>
      <c r="L485" s="652"/>
      <c r="M485" s="652"/>
    </row>
    <row r="486" spans="1:13" ht="24">
      <c r="A486" s="696" t="s">
        <v>743</v>
      </c>
      <c r="B486" s="718">
        <v>4</v>
      </c>
      <c r="C486" s="718">
        <v>2.1</v>
      </c>
      <c r="D486" s="718">
        <f>4*2.1</f>
        <v>8.4</v>
      </c>
      <c r="E486" s="742" t="s">
        <v>744</v>
      </c>
      <c r="F486" s="718">
        <f>(0.6*1.1)+(1.2*1.1)</f>
        <v>1.98</v>
      </c>
      <c r="G486" s="743">
        <f t="shared" si="17"/>
        <v>6.42</v>
      </c>
      <c r="H486" s="652"/>
      <c r="I486" s="652"/>
      <c r="J486" s="652"/>
      <c r="K486" s="652"/>
      <c r="L486" s="652"/>
      <c r="M486" s="652"/>
    </row>
    <row r="487" spans="1:13" ht="36">
      <c r="A487" s="696" t="s">
        <v>745</v>
      </c>
      <c r="B487" s="718">
        <f>1.85+1.65+1.65+1.85</f>
        <v>7</v>
      </c>
      <c r="C487" s="718">
        <v>2.1</v>
      </c>
      <c r="D487" s="718">
        <f>4*2.1</f>
        <v>8.4</v>
      </c>
      <c r="E487" s="742" t="s">
        <v>746</v>
      </c>
      <c r="F487" s="718">
        <f>(0.8*2.1)+(0.4*0.6)</f>
        <v>1.9200000000000002</v>
      </c>
      <c r="G487" s="743">
        <f t="shared" si="17"/>
        <v>6.48</v>
      </c>
      <c r="H487" s="652"/>
      <c r="I487" s="652"/>
      <c r="J487" s="652"/>
      <c r="K487" s="652"/>
      <c r="L487" s="652"/>
      <c r="M487" s="652"/>
    </row>
    <row r="488" spans="1:13" ht="36">
      <c r="A488" s="696" t="s">
        <v>747</v>
      </c>
      <c r="B488" s="718">
        <f>1.85+1.65+1.65+1.85</f>
        <v>7</v>
      </c>
      <c r="C488" s="718">
        <v>2.1</v>
      </c>
      <c r="D488" s="718">
        <f>4*2.1</f>
        <v>8.4</v>
      </c>
      <c r="E488" s="742" t="s">
        <v>746</v>
      </c>
      <c r="F488" s="718">
        <f>(0.8*2.1)+(0.4*0.6)</f>
        <v>1.9200000000000002</v>
      </c>
      <c r="G488" s="743">
        <f t="shared" si="17"/>
        <v>6.48</v>
      </c>
      <c r="H488" s="652"/>
      <c r="I488" s="652"/>
      <c r="J488" s="652"/>
      <c r="K488" s="652"/>
      <c r="L488" s="652"/>
      <c r="M488" s="652"/>
    </row>
    <row r="489" spans="1:13">
      <c r="A489" s="2235"/>
      <c r="B489" s="2155"/>
      <c r="C489" s="2155"/>
      <c r="D489" s="2155"/>
      <c r="E489" s="2155"/>
      <c r="F489" s="2155"/>
      <c r="G489" s="2156"/>
      <c r="H489" s="652"/>
      <c r="I489" s="652"/>
      <c r="J489" s="652"/>
      <c r="K489" s="652"/>
      <c r="L489" s="652"/>
      <c r="M489" s="652"/>
    </row>
    <row r="490" spans="1:13">
      <c r="A490" s="2288" t="s">
        <v>702</v>
      </c>
      <c r="B490" s="2289"/>
      <c r="C490" s="2289"/>
      <c r="D490" s="2289"/>
      <c r="E490" s="2289"/>
      <c r="F490" s="2289"/>
      <c r="G490" s="2290"/>
      <c r="H490" s="652"/>
      <c r="I490" s="652"/>
      <c r="J490" s="652"/>
      <c r="K490" s="652"/>
      <c r="L490" s="652"/>
      <c r="M490" s="652"/>
    </row>
    <row r="491" spans="1:13" ht="24">
      <c r="A491" s="696" t="s">
        <v>748</v>
      </c>
      <c r="B491" s="718">
        <v>3.85</v>
      </c>
      <c r="C491" s="718">
        <v>2.1</v>
      </c>
      <c r="D491" s="718">
        <f>B491*C491</f>
        <v>8.0850000000000009</v>
      </c>
      <c r="E491" s="718"/>
      <c r="F491" s="718"/>
      <c r="G491" s="743">
        <f>D491-F491</f>
        <v>8.0850000000000009</v>
      </c>
      <c r="H491" s="652"/>
      <c r="I491" s="652"/>
      <c r="J491" s="652"/>
      <c r="K491" s="652"/>
      <c r="L491" s="652"/>
      <c r="M491" s="652"/>
    </row>
    <row r="492" spans="1:13" ht="24">
      <c r="A492" s="696" t="s">
        <v>749</v>
      </c>
      <c r="B492" s="718">
        <v>3.85</v>
      </c>
      <c r="C492" s="718">
        <v>2.1</v>
      </c>
      <c r="D492" s="718">
        <f>B492*C492</f>
        <v>8.0850000000000009</v>
      </c>
      <c r="E492" s="718"/>
      <c r="F492" s="718"/>
      <c r="G492" s="743">
        <f>D492-F492</f>
        <v>8.0850000000000009</v>
      </c>
      <c r="H492" s="652"/>
      <c r="I492" s="652"/>
      <c r="J492" s="652"/>
      <c r="K492" s="652"/>
      <c r="L492" s="652"/>
      <c r="M492" s="652"/>
    </row>
    <row r="493" spans="1:13">
      <c r="A493" s="696" t="s">
        <v>750</v>
      </c>
      <c r="B493" s="718">
        <v>3.85</v>
      </c>
      <c r="C493" s="718">
        <v>2.1</v>
      </c>
      <c r="D493" s="718">
        <f>B493*C493</f>
        <v>8.0850000000000009</v>
      </c>
      <c r="E493" s="742" t="s">
        <v>751</v>
      </c>
      <c r="F493" s="718">
        <f>0.8*2.1</f>
        <v>1.6800000000000002</v>
      </c>
      <c r="G493" s="743">
        <f>D493-F493</f>
        <v>6.4050000000000011</v>
      </c>
      <c r="H493" s="652"/>
      <c r="I493" s="652"/>
      <c r="J493" s="652"/>
      <c r="K493" s="652"/>
      <c r="L493" s="652"/>
      <c r="M493" s="652"/>
    </row>
    <row r="494" spans="1:13">
      <c r="A494" s="696" t="s">
        <v>750</v>
      </c>
      <c r="B494" s="718">
        <v>3.85</v>
      </c>
      <c r="C494" s="718">
        <v>2.1</v>
      </c>
      <c r="D494" s="718">
        <f>B494*C494</f>
        <v>8.0850000000000009</v>
      </c>
      <c r="E494" s="718"/>
      <c r="F494" s="718"/>
      <c r="G494" s="743">
        <f>D494-F494</f>
        <v>8.0850000000000009</v>
      </c>
      <c r="H494" s="652"/>
      <c r="I494" s="652"/>
      <c r="J494" s="652"/>
      <c r="K494" s="652"/>
      <c r="L494" s="652"/>
      <c r="M494" s="652"/>
    </row>
    <row r="495" spans="1:13">
      <c r="A495" s="2235"/>
      <c r="B495" s="2155"/>
      <c r="C495" s="2155"/>
      <c r="D495" s="2155"/>
      <c r="E495" s="2155"/>
      <c r="F495" s="2155"/>
      <c r="G495" s="2156"/>
      <c r="H495" s="652"/>
      <c r="I495" s="652"/>
      <c r="J495" s="652"/>
      <c r="K495" s="652"/>
      <c r="L495" s="652"/>
      <c r="M495" s="652"/>
    </row>
    <row r="496" spans="1:13">
      <c r="A496" s="2172" t="s">
        <v>1995</v>
      </c>
      <c r="B496" s="2175"/>
      <c r="C496" s="2175"/>
      <c r="D496" s="2175"/>
      <c r="E496" s="2175"/>
      <c r="F496" s="2175"/>
      <c r="G496" s="2176"/>
      <c r="H496" s="652"/>
      <c r="I496" s="652"/>
      <c r="J496" s="652"/>
      <c r="K496" s="652"/>
      <c r="L496" s="652"/>
      <c r="M496" s="652"/>
    </row>
    <row r="497" spans="1:13">
      <c r="A497" s="2276"/>
      <c r="B497" s="2277"/>
      <c r="C497" s="2282" t="s">
        <v>692</v>
      </c>
      <c r="D497" s="2283"/>
      <c r="E497" s="2283"/>
      <c r="F497" s="2284"/>
      <c r="G497" s="743"/>
      <c r="H497" s="652"/>
      <c r="I497" s="652"/>
      <c r="J497" s="652"/>
      <c r="K497" s="652"/>
      <c r="L497" s="652"/>
      <c r="M497" s="652"/>
    </row>
    <row r="498" spans="1:13">
      <c r="A498" s="2278"/>
      <c r="B498" s="2279"/>
      <c r="C498" s="2285" t="s">
        <v>283</v>
      </c>
      <c r="D498" s="2286"/>
      <c r="E498" s="2286"/>
      <c r="F498" s="2287"/>
      <c r="G498" s="806">
        <f>ROUNDUP(G480+G481+G482+G483+G486+G484+G485+G487+G488,2)</f>
        <v>64.990000000000009</v>
      </c>
      <c r="H498" s="652"/>
      <c r="I498" s="652"/>
      <c r="J498" s="652"/>
      <c r="K498" s="652"/>
      <c r="L498" s="652"/>
      <c r="M498" s="652"/>
    </row>
    <row r="499" spans="1:13">
      <c r="A499" s="2278"/>
      <c r="B499" s="2279"/>
      <c r="C499" s="2282" t="s">
        <v>702</v>
      </c>
      <c r="D499" s="2283"/>
      <c r="E499" s="2283"/>
      <c r="F499" s="2284"/>
      <c r="G499" s="807"/>
      <c r="H499" s="652"/>
      <c r="I499" s="652"/>
      <c r="J499" s="652"/>
      <c r="K499" s="652"/>
      <c r="L499" s="652"/>
      <c r="M499" s="652"/>
    </row>
    <row r="500" spans="1:13">
      <c r="A500" s="2280"/>
      <c r="B500" s="2281"/>
      <c r="C500" s="2285" t="s">
        <v>283</v>
      </c>
      <c r="D500" s="2286"/>
      <c r="E500" s="2286"/>
      <c r="F500" s="2287"/>
      <c r="G500" s="806">
        <f>ROUNDUP(G491+G492+G493+G494,2)</f>
        <v>30.66</v>
      </c>
      <c r="H500" s="652"/>
      <c r="I500" s="652"/>
      <c r="J500" s="652"/>
      <c r="K500" s="652"/>
      <c r="L500" s="652"/>
      <c r="M500" s="652"/>
    </row>
    <row r="501" spans="1:13" ht="15.75" thickBot="1">
      <c r="A501" s="2273" t="s">
        <v>316</v>
      </c>
      <c r="B501" s="2274"/>
      <c r="C501" s="2274"/>
      <c r="D501" s="2274"/>
      <c r="E501" s="2274"/>
      <c r="F501" s="2275"/>
      <c r="G501" s="827">
        <f>ROUNDUP(G498+G500,2)</f>
        <v>95.65</v>
      </c>
      <c r="H501" s="652"/>
      <c r="I501" s="652"/>
      <c r="J501" s="652"/>
      <c r="K501" s="652"/>
      <c r="L501" s="652"/>
      <c r="M501" s="652"/>
    </row>
    <row r="502" spans="1:13" ht="15.75" thickBot="1">
      <c r="A502" s="824"/>
      <c r="B502" s="825"/>
      <c r="C502" s="825"/>
      <c r="D502" s="825"/>
      <c r="E502" s="825"/>
      <c r="F502" s="825"/>
      <c r="G502" s="826"/>
      <c r="H502" s="652"/>
      <c r="I502" s="652"/>
      <c r="J502" s="652"/>
      <c r="K502" s="652"/>
      <c r="L502" s="652"/>
      <c r="M502" s="652"/>
    </row>
    <row r="503" spans="1:13" ht="15.75" thickBot="1">
      <c r="A503" s="666" t="s">
        <v>113</v>
      </c>
      <c r="B503" s="2163" t="s">
        <v>753</v>
      </c>
      <c r="C503" s="2164"/>
      <c r="D503" s="2164"/>
      <c r="E503" s="2164"/>
      <c r="F503" s="2164"/>
      <c r="G503" s="2165"/>
      <c r="H503" s="652"/>
      <c r="I503" s="652"/>
      <c r="J503" s="652"/>
      <c r="K503" s="652"/>
      <c r="L503" s="652"/>
      <c r="M503" s="652"/>
    </row>
    <row r="504" spans="1:13">
      <c r="A504" s="2166" t="s">
        <v>279</v>
      </c>
      <c r="B504" s="2167"/>
      <c r="C504" s="2167"/>
      <c r="D504" s="2167"/>
      <c r="E504" s="2167"/>
      <c r="F504" s="2167"/>
      <c r="G504" s="2168"/>
      <c r="H504" s="652"/>
      <c r="I504" s="652"/>
      <c r="J504" s="652"/>
      <c r="K504" s="652"/>
      <c r="L504" s="652"/>
      <c r="M504" s="652"/>
    </row>
    <row r="505" spans="1:13">
      <c r="A505" s="2320" t="s">
        <v>361</v>
      </c>
      <c r="B505" s="2321"/>
      <c r="C505" s="2321"/>
      <c r="D505" s="2321"/>
      <c r="E505" s="2321"/>
      <c r="F505" s="2321"/>
      <c r="G505" s="2322"/>
      <c r="H505" s="652"/>
      <c r="I505" s="652"/>
      <c r="J505" s="652"/>
      <c r="K505" s="652"/>
      <c r="L505" s="652"/>
      <c r="M505" s="652"/>
    </row>
    <row r="506" spans="1:13">
      <c r="A506" s="681" t="s">
        <v>298</v>
      </c>
      <c r="B506" s="682" t="s">
        <v>298</v>
      </c>
      <c r="C506" s="682" t="s">
        <v>308</v>
      </c>
      <c r="D506" s="682" t="s">
        <v>309</v>
      </c>
      <c r="E506" s="682" t="s">
        <v>310</v>
      </c>
      <c r="F506" s="682" t="s">
        <v>311</v>
      </c>
      <c r="G506" s="740" t="s">
        <v>312</v>
      </c>
      <c r="H506" s="652"/>
      <c r="I506" s="652"/>
      <c r="J506" s="652"/>
      <c r="K506" s="652"/>
      <c r="L506" s="652"/>
      <c r="M506" s="652"/>
    </row>
    <row r="507" spans="1:13">
      <c r="A507" s="2288" t="s">
        <v>692</v>
      </c>
      <c r="B507" s="2289"/>
      <c r="C507" s="2289"/>
      <c r="D507" s="2289"/>
      <c r="E507" s="2289"/>
      <c r="F507" s="2289"/>
      <c r="G507" s="2290"/>
      <c r="H507" s="652"/>
      <c r="I507" s="652"/>
      <c r="J507" s="652"/>
      <c r="K507" s="652"/>
      <c r="L507" s="652"/>
      <c r="M507" s="652"/>
    </row>
    <row r="508" spans="1:13">
      <c r="A508" s="741">
        <v>1.5</v>
      </c>
      <c r="B508" s="718">
        <v>1.5</v>
      </c>
      <c r="C508" s="718">
        <v>2.82</v>
      </c>
      <c r="D508" s="718">
        <f>B508*C508</f>
        <v>4.2299999999999995</v>
      </c>
      <c r="E508" s="718"/>
      <c r="F508" s="718"/>
      <c r="G508" s="743">
        <f>D508</f>
        <v>4.2299999999999995</v>
      </c>
      <c r="H508" s="652"/>
      <c r="I508" s="652"/>
      <c r="J508" s="652"/>
      <c r="K508" s="652"/>
      <c r="L508" s="652"/>
      <c r="M508" s="652"/>
    </row>
    <row r="509" spans="1:13">
      <c r="A509" s="741">
        <v>1.5</v>
      </c>
      <c r="B509" s="718">
        <v>1.5</v>
      </c>
      <c r="C509" s="718">
        <v>2.2799999999999998</v>
      </c>
      <c r="D509" s="718">
        <f>B509*C509</f>
        <v>3.42</v>
      </c>
      <c r="E509" s="718"/>
      <c r="F509" s="718"/>
      <c r="G509" s="743">
        <f>D509</f>
        <v>3.42</v>
      </c>
      <c r="H509" s="652"/>
      <c r="I509" s="652"/>
      <c r="J509" s="652"/>
      <c r="K509" s="652"/>
      <c r="L509" s="652"/>
      <c r="M509" s="652"/>
    </row>
    <row r="510" spans="1:13" ht="24">
      <c r="A510" s="696" t="s">
        <v>754</v>
      </c>
      <c r="B510" s="718">
        <f>4.75+9.5+4.75</f>
        <v>19</v>
      </c>
      <c r="C510" s="718">
        <v>0.15</v>
      </c>
      <c r="D510" s="718">
        <f t="shared" ref="D510:D515" si="18">C510*B510</f>
        <v>2.85</v>
      </c>
      <c r="E510" s="718"/>
      <c r="F510" s="718"/>
      <c r="G510" s="743">
        <f t="shared" ref="G510:G515" si="19">D510-F510</f>
        <v>2.85</v>
      </c>
      <c r="H510" s="652"/>
      <c r="I510" s="652"/>
      <c r="J510" s="652"/>
      <c r="K510" s="652"/>
      <c r="L510" s="652"/>
      <c r="M510" s="652"/>
    </row>
    <row r="511" spans="1:13" ht="36">
      <c r="A511" s="696" t="s">
        <v>755</v>
      </c>
      <c r="B511" s="718">
        <f>4.15+4+1.6+3.08+4.5+1.65+5.15+4</f>
        <v>28.129999999999995</v>
      </c>
      <c r="C511" s="718">
        <v>0.15</v>
      </c>
      <c r="D511" s="718">
        <f t="shared" si="18"/>
        <v>4.2194999999999991</v>
      </c>
      <c r="E511" s="718"/>
      <c r="F511" s="718"/>
      <c r="G511" s="743">
        <f t="shared" si="19"/>
        <v>4.2194999999999991</v>
      </c>
      <c r="H511" s="652"/>
      <c r="I511" s="652"/>
      <c r="J511" s="652"/>
      <c r="K511" s="652"/>
      <c r="L511" s="652"/>
      <c r="M511" s="652"/>
    </row>
    <row r="512" spans="1:13" ht="24">
      <c r="A512" s="696" t="s">
        <v>756</v>
      </c>
      <c r="B512" s="718">
        <f>3.85+3.85+9.8+9.8</f>
        <v>27.3</v>
      </c>
      <c r="C512" s="718">
        <v>0.15</v>
      </c>
      <c r="D512" s="718">
        <f t="shared" si="18"/>
        <v>4.0949999999999998</v>
      </c>
      <c r="E512" s="718"/>
      <c r="F512" s="718"/>
      <c r="G512" s="743">
        <f t="shared" si="19"/>
        <v>4.0949999999999998</v>
      </c>
      <c r="H512" s="652"/>
      <c r="I512" s="652"/>
      <c r="J512" s="652"/>
      <c r="K512" s="652"/>
      <c r="L512" s="652"/>
      <c r="M512" s="652"/>
    </row>
    <row r="513" spans="1:13" ht="36">
      <c r="A513" s="696" t="s">
        <v>757</v>
      </c>
      <c r="B513" s="718">
        <f>7.8+7.5+17.1+3.35</f>
        <v>35.750000000000007</v>
      </c>
      <c r="C513" s="718">
        <v>0.15</v>
      </c>
      <c r="D513" s="718">
        <f t="shared" si="18"/>
        <v>5.3625000000000007</v>
      </c>
      <c r="E513" s="718"/>
      <c r="F513" s="718"/>
      <c r="G513" s="743">
        <f t="shared" si="19"/>
        <v>5.3625000000000007</v>
      </c>
      <c r="H513" s="652"/>
      <c r="I513" s="652"/>
      <c r="J513" s="652"/>
      <c r="K513" s="652"/>
      <c r="L513" s="652"/>
      <c r="M513" s="652"/>
    </row>
    <row r="514" spans="1:13" ht="24">
      <c r="A514" s="696" t="s">
        <v>758</v>
      </c>
      <c r="B514" s="718">
        <f>3.35+1.8</f>
        <v>5.15</v>
      </c>
      <c r="C514" s="718">
        <v>1.28</v>
      </c>
      <c r="D514" s="718">
        <f t="shared" si="18"/>
        <v>6.5920000000000005</v>
      </c>
      <c r="E514" s="718"/>
      <c r="F514" s="718"/>
      <c r="G514" s="743">
        <f t="shared" si="19"/>
        <v>6.5920000000000005</v>
      </c>
      <c r="H514" s="652"/>
      <c r="I514" s="652"/>
      <c r="J514" s="652"/>
      <c r="K514" s="652"/>
      <c r="L514" s="652"/>
      <c r="M514" s="652"/>
    </row>
    <row r="515" spans="1:13" ht="24">
      <c r="A515" s="696" t="s">
        <v>759</v>
      </c>
      <c r="B515" s="718">
        <f>7.8+7.5</f>
        <v>15.3</v>
      </c>
      <c r="C515" s="718">
        <v>1.28</v>
      </c>
      <c r="D515" s="718">
        <f t="shared" si="18"/>
        <v>19.584</v>
      </c>
      <c r="E515" s="718"/>
      <c r="F515" s="718"/>
      <c r="G515" s="743">
        <f t="shared" si="19"/>
        <v>19.584</v>
      </c>
      <c r="H515" s="652"/>
      <c r="I515" s="652"/>
      <c r="J515" s="652"/>
      <c r="K515" s="652"/>
      <c r="L515" s="652"/>
      <c r="M515" s="652"/>
    </row>
    <row r="516" spans="1:13">
      <c r="A516" s="2235"/>
      <c r="B516" s="2155"/>
      <c r="C516" s="2155"/>
      <c r="D516" s="2155"/>
      <c r="E516" s="2155"/>
      <c r="F516" s="2155"/>
      <c r="G516" s="2156"/>
      <c r="H516" s="652"/>
      <c r="I516" s="652"/>
      <c r="J516" s="652"/>
      <c r="K516" s="652"/>
      <c r="L516" s="652"/>
      <c r="M516" s="652"/>
    </row>
    <row r="517" spans="1:13">
      <c r="A517" s="2288" t="s">
        <v>702</v>
      </c>
      <c r="B517" s="2289"/>
      <c r="C517" s="2289"/>
      <c r="D517" s="2289"/>
      <c r="E517" s="2289"/>
      <c r="F517" s="2289"/>
      <c r="G517" s="2290"/>
      <c r="H517" s="652"/>
      <c r="I517" s="652"/>
      <c r="J517" s="652"/>
      <c r="K517" s="652"/>
      <c r="L517" s="652"/>
      <c r="M517" s="652"/>
    </row>
    <row r="518" spans="1:13">
      <c r="A518" s="741">
        <v>4.1500000000000004</v>
      </c>
      <c r="B518" s="718">
        <v>4.1500000000000004</v>
      </c>
      <c r="C518" s="718">
        <v>2.2799999999999998</v>
      </c>
      <c r="D518" s="718">
        <f>C518*B518</f>
        <v>9.4619999999999997</v>
      </c>
      <c r="E518" s="718"/>
      <c r="F518" s="718"/>
      <c r="G518" s="743">
        <f>D518*C518</f>
        <v>21.573359999999997</v>
      </c>
      <c r="H518" s="652"/>
      <c r="I518" s="652"/>
      <c r="J518" s="652"/>
      <c r="K518" s="652"/>
      <c r="L518" s="652"/>
      <c r="M518" s="652"/>
    </row>
    <row r="519" spans="1:13">
      <c r="A519" s="741">
        <v>1.5</v>
      </c>
      <c r="B519" s="718">
        <v>1.5</v>
      </c>
      <c r="C519" s="718">
        <v>4.32</v>
      </c>
      <c r="D519" s="718">
        <f>B519*C519</f>
        <v>6.48</v>
      </c>
      <c r="E519" s="718"/>
      <c r="F519" s="718"/>
      <c r="G519" s="743">
        <f>D519</f>
        <v>6.48</v>
      </c>
      <c r="H519" s="652"/>
      <c r="I519" s="652"/>
      <c r="J519" s="652"/>
      <c r="K519" s="652"/>
      <c r="L519" s="652"/>
      <c r="M519" s="652"/>
    </row>
    <row r="520" spans="1:13">
      <c r="A520" s="741">
        <v>3.35</v>
      </c>
      <c r="B520" s="718">
        <v>3.35</v>
      </c>
      <c r="C520" s="718">
        <v>4.32</v>
      </c>
      <c r="D520" s="718">
        <f t="shared" ref="D520:D526" si="20">C520*B520</f>
        <v>14.472000000000001</v>
      </c>
      <c r="E520" s="718"/>
      <c r="F520" s="718"/>
      <c r="G520" s="743">
        <f>D520</f>
        <v>14.472000000000001</v>
      </c>
      <c r="H520" s="652"/>
      <c r="I520" s="652"/>
      <c r="J520" s="652"/>
      <c r="K520" s="652"/>
      <c r="L520" s="652"/>
      <c r="M520" s="652"/>
    </row>
    <row r="521" spans="1:13">
      <c r="A521" s="741">
        <v>2.35</v>
      </c>
      <c r="B521" s="718">
        <v>2.35</v>
      </c>
      <c r="C521" s="718">
        <v>4.32</v>
      </c>
      <c r="D521" s="718">
        <f t="shared" si="20"/>
        <v>10.152000000000001</v>
      </c>
      <c r="E521" s="742" t="s">
        <v>710</v>
      </c>
      <c r="F521" s="718">
        <f>2.2*1.1</f>
        <v>2.4200000000000004</v>
      </c>
      <c r="G521" s="743">
        <f>D521-F521</f>
        <v>7.7320000000000011</v>
      </c>
      <c r="H521" s="652"/>
      <c r="I521" s="652"/>
      <c r="J521" s="652"/>
      <c r="K521" s="652"/>
      <c r="L521" s="652"/>
      <c r="M521" s="652"/>
    </row>
    <row r="522" spans="1:13">
      <c r="A522" s="741">
        <v>4.1500000000000004</v>
      </c>
      <c r="B522" s="718">
        <v>4.1500000000000004</v>
      </c>
      <c r="C522" s="718">
        <v>1.27</v>
      </c>
      <c r="D522" s="718">
        <f t="shared" si="20"/>
        <v>5.2705000000000002</v>
      </c>
      <c r="E522" s="718"/>
      <c r="F522" s="718"/>
      <c r="G522" s="743">
        <f>D522</f>
        <v>5.2705000000000002</v>
      </c>
      <c r="H522" s="652"/>
      <c r="I522" s="652"/>
      <c r="J522" s="652"/>
      <c r="K522" s="652"/>
      <c r="L522" s="652"/>
      <c r="M522" s="652"/>
    </row>
    <row r="523" spans="1:13">
      <c r="A523" s="696" t="s">
        <v>760</v>
      </c>
      <c r="B523" s="718">
        <v>4.1500000000000004</v>
      </c>
      <c r="C523" s="718">
        <v>1.27</v>
      </c>
      <c r="D523" s="718">
        <f t="shared" si="20"/>
        <v>5.2705000000000002</v>
      </c>
      <c r="E523" s="718"/>
      <c r="F523" s="718"/>
      <c r="G523" s="743">
        <f>D523</f>
        <v>5.2705000000000002</v>
      </c>
      <c r="H523" s="652"/>
      <c r="I523" s="652"/>
      <c r="J523" s="652"/>
      <c r="K523" s="652"/>
      <c r="L523" s="652"/>
      <c r="M523" s="652"/>
    </row>
    <row r="524" spans="1:13" ht="24">
      <c r="A524" s="696" t="s">
        <v>761</v>
      </c>
      <c r="B524" s="718">
        <f>4.45+4.6+4.6</f>
        <v>13.65</v>
      </c>
      <c r="C524" s="718">
        <v>1.78</v>
      </c>
      <c r="D524" s="718">
        <f t="shared" si="20"/>
        <v>24.297000000000001</v>
      </c>
      <c r="E524" s="718"/>
      <c r="F524" s="718"/>
      <c r="G524" s="743">
        <f>D524</f>
        <v>24.297000000000001</v>
      </c>
      <c r="H524" s="652"/>
      <c r="I524" s="652"/>
      <c r="J524" s="652"/>
      <c r="K524" s="652"/>
      <c r="L524" s="652"/>
      <c r="M524" s="652"/>
    </row>
    <row r="525" spans="1:13">
      <c r="A525" s="696" t="s">
        <v>762</v>
      </c>
      <c r="B525" s="718">
        <v>2.5</v>
      </c>
      <c r="C525" s="718">
        <v>2.2799999999999998</v>
      </c>
      <c r="D525" s="718">
        <f t="shared" si="20"/>
        <v>5.6999999999999993</v>
      </c>
      <c r="E525" s="718"/>
      <c r="F525" s="718"/>
      <c r="G525" s="743">
        <f>D525</f>
        <v>5.6999999999999993</v>
      </c>
      <c r="H525" s="652"/>
      <c r="I525" s="652"/>
      <c r="J525" s="652"/>
      <c r="K525" s="652"/>
      <c r="L525" s="652"/>
      <c r="M525" s="652"/>
    </row>
    <row r="526" spans="1:13" ht="24">
      <c r="A526" s="696" t="s">
        <v>763</v>
      </c>
      <c r="B526" s="718">
        <f>3.85+3.85</f>
        <v>7.7</v>
      </c>
      <c r="C526" s="718">
        <v>2.2799999999999998</v>
      </c>
      <c r="D526" s="718">
        <f t="shared" si="20"/>
        <v>17.555999999999997</v>
      </c>
      <c r="E526" s="718"/>
      <c r="F526" s="718"/>
      <c r="G526" s="743">
        <f>D526</f>
        <v>17.555999999999997</v>
      </c>
      <c r="H526" s="652"/>
      <c r="I526" s="652"/>
      <c r="J526" s="652"/>
      <c r="K526" s="652"/>
      <c r="L526" s="652"/>
      <c r="M526" s="652"/>
    </row>
    <row r="527" spans="1:13" ht="24">
      <c r="A527" s="801" t="s">
        <v>764</v>
      </c>
      <c r="B527" s="802">
        <v>4.5999999999999996</v>
      </c>
      <c r="C527" s="779">
        <v>1.93</v>
      </c>
      <c r="D527" s="779">
        <f>B527*C527</f>
        <v>8.8779999999999983</v>
      </c>
      <c r="E527" s="779"/>
      <c r="F527" s="779"/>
      <c r="G527" s="804">
        <f>D527-F527</f>
        <v>8.8779999999999983</v>
      </c>
      <c r="H527" s="652"/>
      <c r="I527" s="652"/>
      <c r="J527" s="652"/>
      <c r="K527" s="652"/>
      <c r="L527" s="652"/>
      <c r="M527" s="652"/>
    </row>
    <row r="528" spans="1:13">
      <c r="A528" s="2235"/>
      <c r="B528" s="2155"/>
      <c r="C528" s="2155"/>
      <c r="D528" s="2155"/>
      <c r="E528" s="2155"/>
      <c r="F528" s="2155"/>
      <c r="G528" s="2156"/>
      <c r="H528" s="652"/>
      <c r="I528" s="652"/>
      <c r="J528" s="652"/>
      <c r="K528" s="652"/>
      <c r="L528" s="652"/>
      <c r="M528" s="652"/>
    </row>
    <row r="529" spans="1:13">
      <c r="A529" s="2288" t="s">
        <v>720</v>
      </c>
      <c r="B529" s="2289"/>
      <c r="C529" s="2289"/>
      <c r="D529" s="2289"/>
      <c r="E529" s="2289"/>
      <c r="F529" s="2289"/>
      <c r="G529" s="2290"/>
      <c r="H529" s="652"/>
      <c r="I529" s="652"/>
      <c r="J529" s="652"/>
      <c r="K529" s="652"/>
      <c r="L529" s="652"/>
      <c r="M529" s="652"/>
    </row>
    <row r="530" spans="1:13" ht="36">
      <c r="A530" s="696" t="s">
        <v>765</v>
      </c>
      <c r="B530" s="718">
        <f>3.65+4.8</f>
        <v>8.4499999999999993</v>
      </c>
      <c r="C530" s="718">
        <v>4.32</v>
      </c>
      <c r="D530" s="718">
        <f>B530*C530</f>
        <v>36.503999999999998</v>
      </c>
      <c r="E530" s="742" t="s">
        <v>766</v>
      </c>
      <c r="F530" s="718">
        <f>(2.2*1.1)+(2.3+1.1)</f>
        <v>5.82</v>
      </c>
      <c r="G530" s="743">
        <f>D530-F530</f>
        <v>30.683999999999997</v>
      </c>
      <c r="H530" s="652"/>
      <c r="I530" s="652"/>
      <c r="J530" s="652"/>
      <c r="K530" s="652"/>
      <c r="L530" s="652"/>
      <c r="M530" s="652"/>
    </row>
    <row r="531" spans="1:13" ht="24">
      <c r="A531" s="696" t="s">
        <v>767</v>
      </c>
      <c r="B531" s="747">
        <f>9.8+4.15</f>
        <v>13.950000000000001</v>
      </c>
      <c r="C531" s="718">
        <v>2.82</v>
      </c>
      <c r="D531" s="718">
        <f>B531*C531</f>
        <v>39.338999999999999</v>
      </c>
      <c r="E531" s="742" t="s">
        <v>768</v>
      </c>
      <c r="F531" s="718">
        <f>1.1*0.6*6</f>
        <v>3.96</v>
      </c>
      <c r="G531" s="743">
        <f>D531-F531</f>
        <v>35.378999999999998</v>
      </c>
      <c r="H531" s="652"/>
      <c r="I531" s="652"/>
      <c r="J531" s="652"/>
      <c r="K531" s="652"/>
      <c r="L531" s="652"/>
      <c r="M531" s="652"/>
    </row>
    <row r="532" spans="1:13">
      <c r="A532" s="741">
        <v>9.8000000000000007</v>
      </c>
      <c r="B532" s="800">
        <v>9.8000000000000007</v>
      </c>
      <c r="C532" s="718">
        <v>2.2799999999999998</v>
      </c>
      <c r="D532" s="718">
        <f>C532*B532</f>
        <v>22.344000000000001</v>
      </c>
      <c r="E532" s="718"/>
      <c r="F532" s="718"/>
      <c r="G532" s="743">
        <f>D532</f>
        <v>22.344000000000001</v>
      </c>
      <c r="H532" s="652"/>
      <c r="I532" s="652"/>
      <c r="J532" s="652"/>
      <c r="K532" s="652"/>
      <c r="L532" s="652"/>
      <c r="M532" s="652"/>
    </row>
    <row r="533" spans="1:13" ht="60">
      <c r="A533" s="696" t="s">
        <v>769</v>
      </c>
      <c r="B533" s="800">
        <f>7.8+7.8+17.25</f>
        <v>32.85</v>
      </c>
      <c r="C533" s="718">
        <v>4.32</v>
      </c>
      <c r="D533" s="718">
        <f>B533*C533</f>
        <v>141.91200000000001</v>
      </c>
      <c r="E533" s="742" t="s">
        <v>770</v>
      </c>
      <c r="F533" s="718">
        <f>((2.3*1.1)*3)+((1.1*0.6)*2)+(1.6*2.1)</f>
        <v>12.27</v>
      </c>
      <c r="G533" s="743">
        <f>D533-F533</f>
        <v>129.642</v>
      </c>
      <c r="H533" s="652"/>
      <c r="I533" s="652"/>
      <c r="J533" s="652"/>
      <c r="K533" s="652"/>
      <c r="L533" s="652"/>
      <c r="M533" s="652"/>
    </row>
    <row r="534" spans="1:13">
      <c r="A534" s="741">
        <v>5.15</v>
      </c>
      <c r="B534" s="800">
        <v>5.15</v>
      </c>
      <c r="C534" s="718">
        <v>4.2699999999999996</v>
      </c>
      <c r="D534" s="718">
        <f>B534*C534</f>
        <v>21.990500000000001</v>
      </c>
      <c r="E534" s="718"/>
      <c r="F534" s="718"/>
      <c r="G534" s="743">
        <f>D534</f>
        <v>21.990500000000001</v>
      </c>
      <c r="H534" s="652"/>
      <c r="I534" s="652"/>
      <c r="J534" s="652"/>
      <c r="K534" s="652"/>
      <c r="L534" s="652"/>
      <c r="M534" s="652"/>
    </row>
    <row r="535" spans="1:13" ht="24">
      <c r="A535" s="741">
        <v>4.1500000000000004</v>
      </c>
      <c r="B535" s="800">
        <v>4.1500000000000004</v>
      </c>
      <c r="C535" s="718">
        <v>2.84</v>
      </c>
      <c r="D535" s="718">
        <f>B535*C535</f>
        <v>11.786</v>
      </c>
      <c r="E535" s="742" t="s">
        <v>771</v>
      </c>
      <c r="F535" s="718">
        <f>(1.3*2.1)+(2.3*1.1)</f>
        <v>5.26</v>
      </c>
      <c r="G535" s="743">
        <f>D535-F535</f>
        <v>6.5259999999999998</v>
      </c>
      <c r="H535" s="652"/>
      <c r="I535" s="652"/>
      <c r="J535" s="652"/>
      <c r="K535" s="652"/>
      <c r="L535" s="652"/>
      <c r="M535" s="652"/>
    </row>
    <row r="536" spans="1:13">
      <c r="A536" s="696" t="s">
        <v>772</v>
      </c>
      <c r="B536" s="718">
        <v>7.5</v>
      </c>
      <c r="C536" s="718">
        <v>1.78</v>
      </c>
      <c r="D536" s="718">
        <f>C536*B536</f>
        <v>13.35</v>
      </c>
      <c r="E536" s="718"/>
      <c r="F536" s="718"/>
      <c r="G536" s="743">
        <f>D536-F536</f>
        <v>13.35</v>
      </c>
      <c r="H536" s="652"/>
      <c r="I536" s="652"/>
      <c r="J536" s="652"/>
      <c r="K536" s="652"/>
      <c r="L536" s="652"/>
      <c r="M536" s="652"/>
    </row>
    <row r="537" spans="1:13">
      <c r="A537" s="696" t="s">
        <v>773</v>
      </c>
      <c r="B537" s="718">
        <v>16.95</v>
      </c>
      <c r="C537" s="718">
        <v>1.28</v>
      </c>
      <c r="D537" s="718">
        <f>C537*B537</f>
        <v>21.695999999999998</v>
      </c>
      <c r="E537" s="718"/>
      <c r="F537" s="718"/>
      <c r="G537" s="743">
        <f>D537-F537</f>
        <v>21.695999999999998</v>
      </c>
      <c r="H537" s="652"/>
      <c r="I537" s="652"/>
      <c r="J537" s="652"/>
      <c r="K537" s="652"/>
      <c r="L537" s="652"/>
      <c r="M537" s="652"/>
    </row>
    <row r="538" spans="1:13" ht="24">
      <c r="A538" s="696" t="s">
        <v>774</v>
      </c>
      <c r="B538" s="718">
        <f>9.5+9.5+9.5</f>
        <v>28.5</v>
      </c>
      <c r="C538" s="718">
        <v>2.2799999999999998</v>
      </c>
      <c r="D538" s="718">
        <f>C538*B538</f>
        <v>64.97999999999999</v>
      </c>
      <c r="E538" s="718"/>
      <c r="F538" s="718"/>
      <c r="G538" s="743">
        <f>D538-F538</f>
        <v>64.97999999999999</v>
      </c>
      <c r="H538" s="652"/>
      <c r="I538" s="652"/>
      <c r="J538" s="652"/>
      <c r="K538" s="652"/>
      <c r="L538" s="652"/>
      <c r="M538" s="652"/>
    </row>
    <row r="539" spans="1:13">
      <c r="A539" s="2235"/>
      <c r="B539" s="2155"/>
      <c r="C539" s="2155"/>
      <c r="D539" s="2155"/>
      <c r="E539" s="2155"/>
      <c r="F539" s="2155"/>
      <c r="G539" s="2156"/>
      <c r="H539" s="652"/>
      <c r="I539" s="652"/>
      <c r="J539" s="652"/>
      <c r="K539" s="652"/>
      <c r="L539" s="652"/>
      <c r="M539" s="652"/>
    </row>
    <row r="540" spans="1:13">
      <c r="A540" s="2172" t="s">
        <v>1994</v>
      </c>
      <c r="B540" s="2175"/>
      <c r="C540" s="2175"/>
      <c r="D540" s="2175"/>
      <c r="E540" s="2175"/>
      <c r="F540" s="2175"/>
      <c r="G540" s="2176"/>
      <c r="H540" s="652"/>
      <c r="I540" s="828"/>
      <c r="J540" s="828"/>
      <c r="K540" s="652"/>
      <c r="L540" s="652"/>
      <c r="M540" s="652"/>
    </row>
    <row r="541" spans="1:13">
      <c r="A541" s="2276"/>
      <c r="B541" s="2277"/>
      <c r="C541" s="2282" t="s">
        <v>692</v>
      </c>
      <c r="D541" s="2283"/>
      <c r="E541" s="2283"/>
      <c r="F541" s="2284"/>
      <c r="G541" s="743"/>
      <c r="H541" s="652"/>
      <c r="I541" s="652"/>
      <c r="J541" s="652"/>
      <c r="K541" s="652"/>
      <c r="L541" s="652"/>
      <c r="M541" s="652"/>
    </row>
    <row r="542" spans="1:13">
      <c r="A542" s="2278"/>
      <c r="B542" s="2279"/>
      <c r="C542" s="2285" t="s">
        <v>283</v>
      </c>
      <c r="D542" s="2286"/>
      <c r="E542" s="2286"/>
      <c r="F542" s="2287"/>
      <c r="G542" s="806">
        <f>ROUNDUP(G508+G509+G510+G511+G512+G513+G514+G515,2)</f>
        <v>50.36</v>
      </c>
      <c r="H542" s="652"/>
      <c r="I542" s="652"/>
      <c r="J542" s="652"/>
      <c r="K542" s="652"/>
      <c r="L542" s="652"/>
      <c r="M542" s="652"/>
    </row>
    <row r="543" spans="1:13">
      <c r="A543" s="2278"/>
      <c r="B543" s="2279"/>
      <c r="C543" s="2282" t="s">
        <v>702</v>
      </c>
      <c r="D543" s="2283"/>
      <c r="E543" s="2283"/>
      <c r="F543" s="2284"/>
      <c r="G543" s="807"/>
      <c r="H543" s="652"/>
      <c r="I543" s="652"/>
      <c r="J543" s="652"/>
      <c r="K543" s="652"/>
      <c r="L543" s="652"/>
      <c r="M543" s="652"/>
    </row>
    <row r="544" spans="1:13">
      <c r="A544" s="2278"/>
      <c r="B544" s="2279"/>
      <c r="C544" s="2285" t="s">
        <v>283</v>
      </c>
      <c r="D544" s="2286"/>
      <c r="E544" s="2286"/>
      <c r="F544" s="2287"/>
      <c r="G544" s="806">
        <f>ROUNDUP(G518+G519+G520+G521+G522+G523+G524+G525+G526+G527,2)</f>
        <v>117.23</v>
      </c>
      <c r="H544" s="652"/>
      <c r="I544" s="652"/>
      <c r="J544" s="652"/>
      <c r="K544" s="652"/>
      <c r="L544" s="652"/>
      <c r="M544" s="652"/>
    </row>
    <row r="545" spans="1:13">
      <c r="A545" s="2278"/>
      <c r="B545" s="2279"/>
      <c r="C545" s="2282" t="s">
        <v>720</v>
      </c>
      <c r="D545" s="2283"/>
      <c r="E545" s="2283"/>
      <c r="F545" s="2284"/>
      <c r="G545" s="807"/>
      <c r="H545" s="652"/>
      <c r="I545" s="652"/>
      <c r="J545" s="652"/>
      <c r="K545" s="652"/>
      <c r="L545" s="652"/>
      <c r="M545" s="652"/>
    </row>
    <row r="546" spans="1:13">
      <c r="A546" s="2280"/>
      <c r="B546" s="2281"/>
      <c r="C546" s="2285" t="s">
        <v>283</v>
      </c>
      <c r="D546" s="2286"/>
      <c r="E546" s="2286"/>
      <c r="F546" s="2287"/>
      <c r="G546" s="806">
        <f>ROUNDUP(G530+G531+G532+G533+G534+G535+G536+G537+G538,2)</f>
        <v>346.59999999999997</v>
      </c>
      <c r="H546" s="652"/>
      <c r="I546" s="652"/>
      <c r="J546" s="652"/>
      <c r="K546" s="652"/>
      <c r="L546" s="652"/>
      <c r="M546" s="652"/>
    </row>
    <row r="547" spans="1:13" ht="15.75" thickBot="1">
      <c r="A547" s="2273" t="s">
        <v>316</v>
      </c>
      <c r="B547" s="2274"/>
      <c r="C547" s="2274"/>
      <c r="D547" s="2274"/>
      <c r="E547" s="2274"/>
      <c r="F547" s="2275"/>
      <c r="G547" s="827">
        <f>ROUNDUP(G542+G544+G546,2)</f>
        <v>514.19000000000005</v>
      </c>
      <c r="H547" s="652"/>
      <c r="I547" s="652"/>
      <c r="J547" s="652"/>
      <c r="K547" s="652"/>
      <c r="L547" s="652"/>
      <c r="M547" s="652"/>
    </row>
    <row r="548" spans="1:13" ht="15.75" thickBot="1">
      <c r="A548" s="824"/>
      <c r="B548" s="825"/>
      <c r="C548" s="825"/>
      <c r="D548" s="825"/>
      <c r="E548" s="825"/>
      <c r="F548" s="825"/>
      <c r="G548" s="826"/>
      <c r="H548" s="652"/>
      <c r="I548" s="652"/>
      <c r="J548" s="652"/>
      <c r="K548" s="652"/>
      <c r="L548" s="652"/>
      <c r="M548" s="652"/>
    </row>
    <row r="549" spans="1:13" ht="15.75" thickBot="1">
      <c r="A549" s="666" t="s">
        <v>114</v>
      </c>
      <c r="B549" s="2163" t="s">
        <v>775</v>
      </c>
      <c r="C549" s="2164"/>
      <c r="D549" s="2164"/>
      <c r="E549" s="2164"/>
      <c r="F549" s="2164"/>
      <c r="G549" s="2165"/>
      <c r="H549" s="652"/>
      <c r="I549" s="652"/>
      <c r="J549" s="652"/>
      <c r="K549" s="652"/>
      <c r="L549" s="652"/>
      <c r="M549" s="652"/>
    </row>
    <row r="550" spans="1:13">
      <c r="A550" s="2166" t="s">
        <v>279</v>
      </c>
      <c r="B550" s="2167"/>
      <c r="C550" s="2167"/>
      <c r="D550" s="2167"/>
      <c r="E550" s="2167"/>
      <c r="F550" s="2167"/>
      <c r="G550" s="2168"/>
      <c r="H550" s="652"/>
      <c r="I550" s="652"/>
      <c r="J550" s="652"/>
      <c r="K550" s="652"/>
      <c r="L550" s="652"/>
      <c r="M550" s="652"/>
    </row>
    <row r="551" spans="1:13">
      <c r="A551" s="2320" t="s">
        <v>361</v>
      </c>
      <c r="B551" s="2321"/>
      <c r="C551" s="2321"/>
      <c r="D551" s="2321"/>
      <c r="E551" s="2321"/>
      <c r="F551" s="2321"/>
      <c r="G551" s="2322"/>
      <c r="H551" s="652"/>
      <c r="I551" s="652"/>
      <c r="J551" s="652"/>
      <c r="K551" s="652"/>
      <c r="L551" s="652"/>
      <c r="M551" s="652"/>
    </row>
    <row r="552" spans="1:13">
      <c r="A552" s="681" t="s">
        <v>298</v>
      </c>
      <c r="B552" s="682" t="s">
        <v>298</v>
      </c>
      <c r="C552" s="682" t="s">
        <v>308</v>
      </c>
      <c r="D552" s="682" t="s">
        <v>309</v>
      </c>
      <c r="E552" s="682" t="s">
        <v>310</v>
      </c>
      <c r="F552" s="682" t="s">
        <v>311</v>
      </c>
      <c r="G552" s="740" t="s">
        <v>312</v>
      </c>
      <c r="H552" s="652"/>
      <c r="I552" s="652"/>
      <c r="J552" s="652"/>
      <c r="K552" s="652"/>
      <c r="L552" s="652"/>
      <c r="M552" s="652"/>
    </row>
    <row r="553" spans="1:13">
      <c r="A553" s="2288" t="s">
        <v>692</v>
      </c>
      <c r="B553" s="2289"/>
      <c r="C553" s="2289"/>
      <c r="D553" s="2289"/>
      <c r="E553" s="2289"/>
      <c r="F553" s="2289"/>
      <c r="G553" s="2290"/>
      <c r="H553" s="652"/>
      <c r="I553" s="652"/>
      <c r="J553" s="652"/>
      <c r="K553" s="652"/>
      <c r="L553" s="652"/>
      <c r="M553" s="652"/>
    </row>
    <row r="554" spans="1:13">
      <c r="A554" s="741">
        <v>1.5</v>
      </c>
      <c r="B554" s="718">
        <v>1.5</v>
      </c>
      <c r="C554" s="718">
        <v>2.82</v>
      </c>
      <c r="D554" s="718">
        <f>B554*C554</f>
        <v>4.2299999999999995</v>
      </c>
      <c r="E554" s="718"/>
      <c r="F554" s="718"/>
      <c r="G554" s="743">
        <f>D554</f>
        <v>4.2299999999999995</v>
      </c>
      <c r="H554" s="652"/>
      <c r="I554" s="652"/>
      <c r="J554" s="652"/>
      <c r="K554" s="652"/>
      <c r="L554" s="652"/>
      <c r="M554" s="652"/>
    </row>
    <row r="555" spans="1:13">
      <c r="A555" s="741">
        <v>1.5</v>
      </c>
      <c r="B555" s="718">
        <v>1.5</v>
      </c>
      <c r="C555" s="718">
        <v>2.2799999999999998</v>
      </c>
      <c r="D555" s="718">
        <f>B555*C555</f>
        <v>3.42</v>
      </c>
      <c r="E555" s="718"/>
      <c r="F555" s="718"/>
      <c r="G555" s="743">
        <f>D555</f>
        <v>3.42</v>
      </c>
      <c r="H555" s="652"/>
      <c r="I555" s="652"/>
      <c r="J555" s="652"/>
      <c r="K555" s="652"/>
      <c r="L555" s="652"/>
      <c r="M555" s="652"/>
    </row>
    <row r="556" spans="1:13">
      <c r="A556" s="2235"/>
      <c r="B556" s="2155"/>
      <c r="C556" s="2155"/>
      <c r="D556" s="2155"/>
      <c r="E556" s="2155"/>
      <c r="F556" s="2155"/>
      <c r="G556" s="2156"/>
      <c r="H556" s="652"/>
      <c r="I556" s="652"/>
      <c r="J556" s="652"/>
      <c r="K556" s="652"/>
      <c r="L556" s="652"/>
      <c r="M556" s="652"/>
    </row>
    <row r="557" spans="1:13">
      <c r="A557" s="2288" t="s">
        <v>702</v>
      </c>
      <c r="B557" s="2289"/>
      <c r="C557" s="2289"/>
      <c r="D557" s="2289"/>
      <c r="E557" s="2289"/>
      <c r="F557" s="2289"/>
      <c r="G557" s="2290"/>
      <c r="H557" s="652"/>
      <c r="I557" s="652"/>
      <c r="J557" s="652"/>
      <c r="K557" s="652"/>
      <c r="L557" s="652"/>
      <c r="M557" s="652"/>
    </row>
    <row r="558" spans="1:13">
      <c r="A558" s="741">
        <v>1.5</v>
      </c>
      <c r="B558" s="718">
        <v>1.5</v>
      </c>
      <c r="C558" s="718">
        <v>4.32</v>
      </c>
      <c r="D558" s="718">
        <f>B558*C558</f>
        <v>6.48</v>
      </c>
      <c r="E558" s="718"/>
      <c r="F558" s="718"/>
      <c r="G558" s="743">
        <f>D558</f>
        <v>6.48</v>
      </c>
      <c r="H558" s="652"/>
      <c r="I558" s="652"/>
      <c r="J558" s="652"/>
      <c r="K558" s="652"/>
      <c r="L558" s="652"/>
      <c r="M558" s="652"/>
    </row>
    <row r="559" spans="1:13">
      <c r="A559" s="696" t="s">
        <v>762</v>
      </c>
      <c r="B559" s="718">
        <v>2.5</v>
      </c>
      <c r="C559" s="718">
        <v>2.2799999999999998</v>
      </c>
      <c r="D559" s="718">
        <f>C559*B559</f>
        <v>5.6999999999999993</v>
      </c>
      <c r="E559" s="718"/>
      <c r="F559" s="718"/>
      <c r="G559" s="743">
        <f>D559-F559</f>
        <v>5.6999999999999993</v>
      </c>
      <c r="H559" s="652"/>
      <c r="I559" s="652"/>
      <c r="J559" s="652"/>
      <c r="K559" s="652"/>
      <c r="L559" s="652"/>
      <c r="M559" s="652"/>
    </row>
    <row r="560" spans="1:13">
      <c r="A560" s="2235"/>
      <c r="B560" s="2155"/>
      <c r="C560" s="2155"/>
      <c r="D560" s="2155"/>
      <c r="E560" s="2155"/>
      <c r="F560" s="2155"/>
      <c r="G560" s="2156"/>
      <c r="H560" s="652"/>
      <c r="I560" s="652"/>
      <c r="J560" s="652"/>
      <c r="K560" s="652"/>
      <c r="L560" s="652"/>
      <c r="M560" s="652"/>
    </row>
    <row r="561" spans="1:13">
      <c r="A561" s="2288" t="s">
        <v>720</v>
      </c>
      <c r="B561" s="2289"/>
      <c r="C561" s="2289"/>
      <c r="D561" s="2289"/>
      <c r="E561" s="2289"/>
      <c r="F561" s="2289"/>
      <c r="G561" s="2290"/>
      <c r="H561" s="652"/>
      <c r="I561" s="652"/>
      <c r="J561" s="652"/>
      <c r="K561" s="652"/>
      <c r="L561" s="652"/>
      <c r="M561" s="652"/>
    </row>
    <row r="562" spans="1:13" ht="36">
      <c r="A562" s="696" t="s">
        <v>765</v>
      </c>
      <c r="B562" s="718">
        <f>3.65+4.8</f>
        <v>8.4499999999999993</v>
      </c>
      <c r="C562" s="718">
        <v>4.32</v>
      </c>
      <c r="D562" s="718">
        <f>B562*C562</f>
        <v>36.503999999999998</v>
      </c>
      <c r="E562" s="742" t="s">
        <v>766</v>
      </c>
      <c r="F562" s="718">
        <f>(2.2*1.1)+(2.3+1.1)</f>
        <v>5.82</v>
      </c>
      <c r="G562" s="743">
        <f>D562-F562</f>
        <v>30.683999999999997</v>
      </c>
      <c r="H562" s="652"/>
      <c r="I562" s="652"/>
      <c r="J562" s="652"/>
      <c r="K562" s="652"/>
      <c r="L562" s="652"/>
      <c r="M562" s="652"/>
    </row>
    <row r="563" spans="1:13" ht="24">
      <c r="A563" s="696" t="s">
        <v>767</v>
      </c>
      <c r="B563" s="747">
        <f>9.8+4.15</f>
        <v>13.950000000000001</v>
      </c>
      <c r="C563" s="718">
        <v>2.82</v>
      </c>
      <c r="D563" s="718">
        <f>B563*C563</f>
        <v>39.338999999999999</v>
      </c>
      <c r="E563" s="742" t="s">
        <v>768</v>
      </c>
      <c r="F563" s="718">
        <f>1.1*0.6*6</f>
        <v>3.96</v>
      </c>
      <c r="G563" s="743">
        <f>D563-F563</f>
        <v>35.378999999999998</v>
      </c>
      <c r="H563" s="652"/>
      <c r="I563" s="652"/>
      <c r="J563" s="652"/>
      <c r="K563" s="652"/>
      <c r="L563" s="652"/>
      <c r="M563" s="652"/>
    </row>
    <row r="564" spans="1:13">
      <c r="A564" s="741">
        <v>9.8000000000000007</v>
      </c>
      <c r="B564" s="800">
        <v>9.8000000000000007</v>
      </c>
      <c r="C564" s="718">
        <v>2.2799999999999998</v>
      </c>
      <c r="D564" s="718">
        <f>C564*B564</f>
        <v>22.344000000000001</v>
      </c>
      <c r="E564" s="718"/>
      <c r="F564" s="718"/>
      <c r="G564" s="743">
        <f>D564-F564</f>
        <v>22.344000000000001</v>
      </c>
      <c r="H564" s="652"/>
      <c r="I564" s="652"/>
      <c r="J564" s="652"/>
      <c r="K564" s="652"/>
      <c r="L564" s="652"/>
      <c r="M564" s="652"/>
    </row>
    <row r="565" spans="1:13">
      <c r="A565" s="2235"/>
      <c r="B565" s="2155"/>
      <c r="C565" s="2155"/>
      <c r="D565" s="2155"/>
      <c r="E565" s="2155"/>
      <c r="F565" s="2155"/>
      <c r="G565" s="2156"/>
      <c r="H565" s="652"/>
      <c r="I565" s="652"/>
      <c r="J565" s="652"/>
      <c r="K565" s="652"/>
      <c r="L565" s="652"/>
      <c r="M565" s="652"/>
    </row>
    <row r="566" spans="1:13">
      <c r="A566" s="2172" t="s">
        <v>733</v>
      </c>
      <c r="B566" s="2175"/>
      <c r="C566" s="2175"/>
      <c r="D566" s="2175"/>
      <c r="E566" s="2175"/>
      <c r="F566" s="2175"/>
      <c r="G566" s="2176"/>
      <c r="H566" s="652"/>
      <c r="I566" s="652"/>
      <c r="J566" s="652"/>
      <c r="K566" s="652"/>
      <c r="L566" s="652"/>
      <c r="M566" s="652"/>
    </row>
    <row r="567" spans="1:13">
      <c r="A567" s="2276"/>
      <c r="B567" s="2277"/>
      <c r="C567" s="2282" t="s">
        <v>692</v>
      </c>
      <c r="D567" s="2283"/>
      <c r="E567" s="2283"/>
      <c r="F567" s="2284"/>
      <c r="G567" s="743"/>
      <c r="H567" s="652"/>
      <c r="I567" s="652"/>
      <c r="J567" s="652"/>
      <c r="K567" s="652"/>
      <c r="L567" s="652"/>
      <c r="M567" s="652"/>
    </row>
    <row r="568" spans="1:13">
      <c r="A568" s="2278"/>
      <c r="B568" s="2279"/>
      <c r="C568" s="2285" t="s">
        <v>283</v>
      </c>
      <c r="D568" s="2286"/>
      <c r="E568" s="2286"/>
      <c r="F568" s="2287"/>
      <c r="G568" s="806">
        <f>ROUNDUP(G554+G555,2)</f>
        <v>7.65</v>
      </c>
      <c r="H568" s="652"/>
      <c r="I568" s="652"/>
      <c r="J568" s="652"/>
      <c r="K568" s="652"/>
      <c r="L568" s="652"/>
      <c r="M568" s="652"/>
    </row>
    <row r="569" spans="1:13">
      <c r="A569" s="2278"/>
      <c r="B569" s="2279"/>
      <c r="C569" s="2282" t="s">
        <v>702</v>
      </c>
      <c r="D569" s="2283"/>
      <c r="E569" s="2283"/>
      <c r="F569" s="2284"/>
      <c r="G569" s="807"/>
      <c r="H569" s="652"/>
      <c r="I569" s="652"/>
      <c r="J569" s="652"/>
      <c r="K569" s="652"/>
      <c r="L569" s="652"/>
      <c r="M569" s="652"/>
    </row>
    <row r="570" spans="1:13">
      <c r="A570" s="2278"/>
      <c r="B570" s="2279"/>
      <c r="C570" s="2285" t="s">
        <v>283</v>
      </c>
      <c r="D570" s="2286"/>
      <c r="E570" s="2286"/>
      <c r="F570" s="2287"/>
      <c r="G570" s="806">
        <f>ROUNDUP(G558+G559,2)</f>
        <v>12.18</v>
      </c>
      <c r="H570" s="652"/>
      <c r="I570" s="652"/>
      <c r="J570" s="652"/>
      <c r="K570" s="652"/>
      <c r="L570" s="652"/>
      <c r="M570" s="652"/>
    </row>
    <row r="571" spans="1:13">
      <c r="A571" s="2278"/>
      <c r="B571" s="2279"/>
      <c r="C571" s="2282" t="s">
        <v>720</v>
      </c>
      <c r="D571" s="2283"/>
      <c r="E571" s="2283"/>
      <c r="F571" s="2284"/>
      <c r="G571" s="807"/>
      <c r="H571" s="652"/>
      <c r="I571" s="652"/>
      <c r="J571" s="652"/>
      <c r="K571" s="652"/>
      <c r="L571" s="652"/>
      <c r="M571" s="652"/>
    </row>
    <row r="572" spans="1:13">
      <c r="A572" s="2280"/>
      <c r="B572" s="2281"/>
      <c r="C572" s="2285" t="s">
        <v>283</v>
      </c>
      <c r="D572" s="2286"/>
      <c r="E572" s="2286"/>
      <c r="F572" s="2287"/>
      <c r="G572" s="806">
        <f>ROUNDUP(G562+G563+G564,2)</f>
        <v>88.410000000000011</v>
      </c>
      <c r="H572" s="652"/>
      <c r="I572" s="652"/>
      <c r="J572" s="652"/>
      <c r="K572" s="652"/>
      <c r="L572" s="652"/>
      <c r="M572" s="652"/>
    </row>
    <row r="573" spans="1:13" ht="15.75" thickBot="1">
      <c r="A573" s="2273" t="s">
        <v>316</v>
      </c>
      <c r="B573" s="2274"/>
      <c r="C573" s="2274"/>
      <c r="D573" s="2274"/>
      <c r="E573" s="2274"/>
      <c r="F573" s="2275"/>
      <c r="G573" s="827">
        <f>ROUNDUP(G568+G570+G572,2)</f>
        <v>108.24</v>
      </c>
      <c r="H573" s="652"/>
      <c r="I573" s="652"/>
      <c r="J573" s="652"/>
      <c r="K573" s="652"/>
      <c r="L573" s="652"/>
      <c r="M573" s="652"/>
    </row>
    <row r="574" spans="1:13" ht="15.75" thickBot="1">
      <c r="A574" s="824"/>
      <c r="B574" s="825"/>
      <c r="C574" s="825"/>
      <c r="D574" s="825"/>
      <c r="E574" s="825"/>
      <c r="F574" s="825"/>
      <c r="G574" s="826"/>
      <c r="H574" s="652"/>
      <c r="I574" s="652"/>
      <c r="J574" s="652"/>
      <c r="K574" s="652"/>
      <c r="L574" s="652"/>
      <c r="M574" s="652"/>
    </row>
    <row r="575" spans="1:13" ht="15.75" thickBot="1">
      <c r="A575" s="666" t="s">
        <v>115</v>
      </c>
      <c r="B575" s="2163" t="s">
        <v>1996</v>
      </c>
      <c r="C575" s="2164"/>
      <c r="D575" s="2164"/>
      <c r="E575" s="2164"/>
      <c r="F575" s="2164"/>
      <c r="G575" s="2165"/>
      <c r="H575" s="652"/>
      <c r="I575" s="805"/>
      <c r="J575" s="652"/>
      <c r="K575" s="652"/>
      <c r="L575" s="652"/>
      <c r="M575" s="652"/>
    </row>
    <row r="576" spans="1:13">
      <c r="A576" s="2166" t="s">
        <v>279</v>
      </c>
      <c r="B576" s="2167"/>
      <c r="C576" s="2167"/>
      <c r="D576" s="2167"/>
      <c r="E576" s="2167"/>
      <c r="F576" s="2167"/>
      <c r="G576" s="2168"/>
      <c r="H576" s="652"/>
      <c r="I576" s="652"/>
      <c r="J576" s="652"/>
      <c r="K576" s="652"/>
      <c r="L576" s="652"/>
      <c r="M576" s="652"/>
    </row>
    <row r="577" spans="1:13">
      <c r="A577" s="2320" t="s">
        <v>361</v>
      </c>
      <c r="B577" s="2321"/>
      <c r="C577" s="2321"/>
      <c r="D577" s="2321"/>
      <c r="E577" s="2321"/>
      <c r="F577" s="2321"/>
      <c r="G577" s="2322"/>
      <c r="H577" s="652"/>
      <c r="I577" s="652"/>
      <c r="J577" s="652"/>
      <c r="K577" s="652"/>
      <c r="L577" s="652"/>
      <c r="M577" s="652"/>
    </row>
    <row r="578" spans="1:13">
      <c r="A578" s="681" t="s">
        <v>298</v>
      </c>
      <c r="B578" s="682" t="s">
        <v>298</v>
      </c>
      <c r="C578" s="682" t="s">
        <v>308</v>
      </c>
      <c r="D578" s="682" t="s">
        <v>309</v>
      </c>
      <c r="E578" s="682" t="s">
        <v>310</v>
      </c>
      <c r="F578" s="682" t="s">
        <v>311</v>
      </c>
      <c r="G578" s="740" t="s">
        <v>312</v>
      </c>
      <c r="H578" s="652"/>
      <c r="I578" s="652"/>
      <c r="J578" s="652"/>
      <c r="K578" s="652"/>
      <c r="L578" s="652"/>
      <c r="M578" s="652"/>
    </row>
    <row r="579" spans="1:13">
      <c r="A579" s="2288" t="s">
        <v>692</v>
      </c>
      <c r="B579" s="2289"/>
      <c r="C579" s="2289"/>
      <c r="D579" s="2289"/>
      <c r="E579" s="2289"/>
      <c r="F579" s="2289"/>
      <c r="G579" s="2290"/>
      <c r="H579" s="652"/>
      <c r="I579" s="652"/>
      <c r="J579" s="652"/>
      <c r="K579" s="652"/>
      <c r="L579" s="652"/>
      <c r="M579" s="652"/>
    </row>
    <row r="580" spans="1:13" ht="24">
      <c r="A580" s="696" t="s">
        <v>754</v>
      </c>
      <c r="B580" s="718">
        <f>4.75+9.5+4.75</f>
        <v>19</v>
      </c>
      <c r="C580" s="718">
        <v>0.15</v>
      </c>
      <c r="D580" s="718">
        <f t="shared" ref="D580:D585" si="21">C580*B580</f>
        <v>2.85</v>
      </c>
      <c r="E580" s="718"/>
      <c r="F580" s="718"/>
      <c r="G580" s="743">
        <f t="shared" ref="G580:G585" si="22">D580-F580</f>
        <v>2.85</v>
      </c>
      <c r="H580" s="652"/>
      <c r="I580" s="652"/>
      <c r="J580" s="652"/>
      <c r="K580" s="652"/>
      <c r="L580" s="652"/>
      <c r="M580" s="652"/>
    </row>
    <row r="581" spans="1:13" ht="36">
      <c r="A581" s="696" t="s">
        <v>755</v>
      </c>
      <c r="B581" s="718">
        <f>4.15+4+1.6+3.08+4.5+1.65+5.15+4</f>
        <v>28.129999999999995</v>
      </c>
      <c r="C581" s="718">
        <v>0.15</v>
      </c>
      <c r="D581" s="718">
        <f t="shared" si="21"/>
        <v>4.2194999999999991</v>
      </c>
      <c r="E581" s="718"/>
      <c r="F581" s="718"/>
      <c r="G581" s="743">
        <f t="shared" si="22"/>
        <v>4.2194999999999991</v>
      </c>
      <c r="H581" s="652"/>
      <c r="I581" s="652"/>
      <c r="J581" s="652"/>
      <c r="K581" s="652"/>
      <c r="L581" s="652"/>
      <c r="M581" s="652"/>
    </row>
    <row r="582" spans="1:13" ht="24">
      <c r="A582" s="696" t="s">
        <v>756</v>
      </c>
      <c r="B582" s="718">
        <f>3.85+3.85+9.8+9.8</f>
        <v>27.3</v>
      </c>
      <c r="C582" s="718">
        <v>0.15</v>
      </c>
      <c r="D582" s="718">
        <f t="shared" si="21"/>
        <v>4.0949999999999998</v>
      </c>
      <c r="E582" s="718"/>
      <c r="F582" s="718"/>
      <c r="G582" s="743">
        <f t="shared" si="22"/>
        <v>4.0949999999999998</v>
      </c>
      <c r="H582" s="652"/>
      <c r="I582" s="652"/>
      <c r="J582" s="652"/>
      <c r="K582" s="652"/>
      <c r="L582" s="652"/>
      <c r="M582" s="652"/>
    </row>
    <row r="583" spans="1:13" ht="36">
      <c r="A583" s="696" t="s">
        <v>757</v>
      </c>
      <c r="B583" s="718">
        <f>7.8+7.5+17.1+3.35</f>
        <v>35.750000000000007</v>
      </c>
      <c r="C583" s="718">
        <v>0.15</v>
      </c>
      <c r="D583" s="718">
        <f t="shared" si="21"/>
        <v>5.3625000000000007</v>
      </c>
      <c r="E583" s="718"/>
      <c r="F583" s="718"/>
      <c r="G583" s="743">
        <f t="shared" si="22"/>
        <v>5.3625000000000007</v>
      </c>
      <c r="H583" s="652"/>
      <c r="I583" s="652"/>
      <c r="J583" s="652"/>
      <c r="K583" s="652"/>
      <c r="L583" s="652"/>
      <c r="M583" s="652"/>
    </row>
    <row r="584" spans="1:13" ht="24">
      <c r="A584" s="696" t="s">
        <v>758</v>
      </c>
      <c r="B584" s="718">
        <f>3.35+1.8</f>
        <v>5.15</v>
      </c>
      <c r="C584" s="718">
        <v>1.28</v>
      </c>
      <c r="D584" s="718">
        <f t="shared" si="21"/>
        <v>6.5920000000000005</v>
      </c>
      <c r="E584" s="718"/>
      <c r="F584" s="718"/>
      <c r="G584" s="743">
        <f t="shared" si="22"/>
        <v>6.5920000000000005</v>
      </c>
      <c r="H584" s="652"/>
      <c r="I584" s="652"/>
      <c r="J584" s="652"/>
      <c r="K584" s="652"/>
      <c r="L584" s="652"/>
      <c r="M584" s="652"/>
    </row>
    <row r="585" spans="1:13" ht="24">
      <c r="A585" s="696" t="s">
        <v>759</v>
      </c>
      <c r="B585" s="718">
        <f>7.8+7.5</f>
        <v>15.3</v>
      </c>
      <c r="C585" s="718">
        <v>1.28</v>
      </c>
      <c r="D585" s="718">
        <f t="shared" si="21"/>
        <v>19.584</v>
      </c>
      <c r="E585" s="718"/>
      <c r="F585" s="718"/>
      <c r="G585" s="743">
        <f t="shared" si="22"/>
        <v>19.584</v>
      </c>
      <c r="H585" s="652"/>
      <c r="I585" s="652"/>
      <c r="J585" s="652"/>
      <c r="K585" s="652"/>
      <c r="L585" s="652"/>
      <c r="M585" s="652"/>
    </row>
    <row r="586" spans="1:13">
      <c r="A586" s="2235"/>
      <c r="B586" s="2155"/>
      <c r="C586" s="2155"/>
      <c r="D586" s="2155"/>
      <c r="E586" s="2155"/>
      <c r="F586" s="2155"/>
      <c r="G586" s="2156"/>
      <c r="H586" s="652"/>
      <c r="I586" s="652"/>
      <c r="J586" s="652"/>
      <c r="K586" s="652"/>
      <c r="L586" s="652"/>
      <c r="M586" s="652"/>
    </row>
    <row r="587" spans="1:13">
      <c r="A587" s="2288" t="s">
        <v>702</v>
      </c>
      <c r="B587" s="2289"/>
      <c r="C587" s="2289"/>
      <c r="D587" s="2289"/>
      <c r="E587" s="2289"/>
      <c r="F587" s="2289"/>
      <c r="G587" s="2290"/>
      <c r="H587" s="652"/>
      <c r="I587" s="652"/>
      <c r="J587" s="652"/>
      <c r="K587" s="652"/>
      <c r="L587" s="652"/>
      <c r="M587" s="652"/>
    </row>
    <row r="588" spans="1:13">
      <c r="A588" s="741">
        <v>4.1500000000000004</v>
      </c>
      <c r="B588" s="718">
        <v>4.1500000000000004</v>
      </c>
      <c r="C588" s="718">
        <v>2.2799999999999998</v>
      </c>
      <c r="D588" s="718">
        <f t="shared" ref="D588:D594" si="23">C588*B588</f>
        <v>9.4619999999999997</v>
      </c>
      <c r="E588" s="718"/>
      <c r="F588" s="718"/>
      <c r="G588" s="743">
        <f>D588*C588</f>
        <v>21.573359999999997</v>
      </c>
      <c r="H588" s="652"/>
      <c r="I588" s="652"/>
      <c r="J588" s="652"/>
      <c r="K588" s="652"/>
      <c r="L588" s="652"/>
      <c r="M588" s="652"/>
    </row>
    <row r="589" spans="1:13">
      <c r="A589" s="741">
        <v>3.35</v>
      </c>
      <c r="B589" s="718">
        <v>3.35</v>
      </c>
      <c r="C589" s="718">
        <v>4.32</v>
      </c>
      <c r="D589" s="718">
        <f t="shared" si="23"/>
        <v>14.472000000000001</v>
      </c>
      <c r="E589" s="718"/>
      <c r="F589" s="718"/>
      <c r="G589" s="743">
        <f>D589</f>
        <v>14.472000000000001</v>
      </c>
      <c r="H589" s="652"/>
      <c r="I589" s="652"/>
      <c r="J589" s="652"/>
      <c r="K589" s="652"/>
      <c r="L589" s="652"/>
      <c r="M589" s="652"/>
    </row>
    <row r="590" spans="1:13">
      <c r="A590" s="741">
        <v>2.35</v>
      </c>
      <c r="B590" s="718">
        <v>2.35</v>
      </c>
      <c r="C590" s="718">
        <v>4.32</v>
      </c>
      <c r="D590" s="718">
        <f t="shared" si="23"/>
        <v>10.152000000000001</v>
      </c>
      <c r="E590" s="742" t="s">
        <v>710</v>
      </c>
      <c r="F590" s="718">
        <f>2.2*1.1</f>
        <v>2.4200000000000004</v>
      </c>
      <c r="G590" s="743">
        <f>D590-F590</f>
        <v>7.7320000000000011</v>
      </c>
      <c r="H590" s="652"/>
      <c r="I590" s="652"/>
      <c r="J590" s="652"/>
      <c r="K590" s="652"/>
      <c r="L590" s="652"/>
      <c r="M590" s="652"/>
    </row>
    <row r="591" spans="1:13">
      <c r="A591" s="741">
        <v>4.1500000000000004</v>
      </c>
      <c r="B591" s="718">
        <v>4.1500000000000004</v>
      </c>
      <c r="C591" s="718">
        <v>1.27</v>
      </c>
      <c r="D591" s="718">
        <f t="shared" si="23"/>
        <v>5.2705000000000002</v>
      </c>
      <c r="E591" s="718"/>
      <c r="F591" s="718"/>
      <c r="G591" s="743">
        <f>D591</f>
        <v>5.2705000000000002</v>
      </c>
      <c r="H591" s="652"/>
      <c r="I591" s="652"/>
      <c r="J591" s="652"/>
      <c r="K591" s="652"/>
      <c r="L591" s="652"/>
      <c r="M591" s="652"/>
    </row>
    <row r="592" spans="1:13">
      <c r="A592" s="696" t="s">
        <v>760</v>
      </c>
      <c r="B592" s="718">
        <v>4.1500000000000004</v>
      </c>
      <c r="C592" s="718">
        <v>1.27</v>
      </c>
      <c r="D592" s="718">
        <f t="shared" si="23"/>
        <v>5.2705000000000002</v>
      </c>
      <c r="E592" s="718"/>
      <c r="F592" s="718"/>
      <c r="G592" s="743">
        <f>D592</f>
        <v>5.2705000000000002</v>
      </c>
      <c r="H592" s="652"/>
      <c r="I592" s="652"/>
      <c r="J592" s="652"/>
      <c r="K592" s="652"/>
      <c r="L592" s="652"/>
      <c r="M592" s="652"/>
    </row>
    <row r="593" spans="1:13" ht="24">
      <c r="A593" s="696" t="s">
        <v>761</v>
      </c>
      <c r="B593" s="718">
        <f>4.45+4.6+4.6</f>
        <v>13.65</v>
      </c>
      <c r="C593" s="718">
        <v>1.78</v>
      </c>
      <c r="D593" s="718">
        <f t="shared" si="23"/>
        <v>24.297000000000001</v>
      </c>
      <c r="E593" s="718"/>
      <c r="F593" s="718"/>
      <c r="G593" s="743">
        <f>D593</f>
        <v>24.297000000000001</v>
      </c>
      <c r="H593" s="652"/>
      <c r="I593" s="652"/>
      <c r="J593" s="652"/>
      <c r="K593" s="652"/>
      <c r="L593" s="652"/>
      <c r="M593" s="652"/>
    </row>
    <row r="594" spans="1:13" ht="24">
      <c r="A594" s="696" t="s">
        <v>763</v>
      </c>
      <c r="B594" s="718">
        <f>3.85+3.85</f>
        <v>7.7</v>
      </c>
      <c r="C594" s="718">
        <v>2.2799999999999998</v>
      </c>
      <c r="D594" s="718">
        <f t="shared" si="23"/>
        <v>17.555999999999997</v>
      </c>
      <c r="E594" s="718"/>
      <c r="F594" s="718"/>
      <c r="G594" s="743">
        <f>D594</f>
        <v>17.555999999999997</v>
      </c>
      <c r="H594" s="652"/>
      <c r="I594" s="652"/>
      <c r="J594" s="652"/>
      <c r="K594" s="652"/>
      <c r="L594" s="652"/>
      <c r="M594" s="652"/>
    </row>
    <row r="595" spans="1:13" ht="24">
      <c r="A595" s="801" t="s">
        <v>764</v>
      </c>
      <c r="B595" s="802">
        <v>4.5999999999999996</v>
      </c>
      <c r="C595" s="779">
        <v>1.93</v>
      </c>
      <c r="D595" s="779">
        <f>B595*C595</f>
        <v>8.8779999999999983</v>
      </c>
      <c r="E595" s="779"/>
      <c r="F595" s="779"/>
      <c r="G595" s="804">
        <f>D595-F595</f>
        <v>8.8779999999999983</v>
      </c>
      <c r="H595" s="652"/>
      <c r="I595" s="652"/>
      <c r="J595" s="652"/>
      <c r="K595" s="652"/>
      <c r="L595" s="652"/>
      <c r="M595" s="652"/>
    </row>
    <row r="596" spans="1:13">
      <c r="A596" s="2235"/>
      <c r="B596" s="2155"/>
      <c r="C596" s="2155"/>
      <c r="D596" s="2155"/>
      <c r="E596" s="2155"/>
      <c r="F596" s="2155"/>
      <c r="G596" s="2156"/>
      <c r="H596" s="652"/>
      <c r="I596" s="652"/>
      <c r="J596" s="652"/>
      <c r="K596" s="652"/>
      <c r="L596" s="652"/>
      <c r="M596" s="652"/>
    </row>
    <row r="597" spans="1:13">
      <c r="A597" s="2288" t="s">
        <v>720</v>
      </c>
      <c r="B597" s="2289"/>
      <c r="C597" s="2289"/>
      <c r="D597" s="2289"/>
      <c r="E597" s="2289"/>
      <c r="F597" s="2289"/>
      <c r="G597" s="2290"/>
      <c r="H597" s="652"/>
      <c r="I597" s="652"/>
      <c r="J597" s="652"/>
      <c r="K597" s="652"/>
      <c r="L597" s="652"/>
      <c r="M597" s="652"/>
    </row>
    <row r="598" spans="1:13" ht="36">
      <c r="A598" s="696" t="s">
        <v>765</v>
      </c>
      <c r="B598" s="718">
        <f>3.65+4.8</f>
        <v>8.4499999999999993</v>
      </c>
      <c r="C598" s="718">
        <v>4.32</v>
      </c>
      <c r="D598" s="718">
        <f>B598*C598</f>
        <v>36.503999999999998</v>
      </c>
      <c r="E598" s="742" t="s">
        <v>766</v>
      </c>
      <c r="F598" s="718">
        <f>(2.2*1.1)+(2.3+1.1)</f>
        <v>5.82</v>
      </c>
      <c r="G598" s="743">
        <f>D598-F598</f>
        <v>30.683999999999997</v>
      </c>
      <c r="H598" s="652"/>
      <c r="I598" s="652"/>
      <c r="J598" s="652"/>
      <c r="K598" s="652"/>
      <c r="L598" s="652"/>
      <c r="M598" s="652"/>
    </row>
    <row r="599" spans="1:13" ht="60">
      <c r="A599" s="696" t="s">
        <v>769</v>
      </c>
      <c r="B599" s="800">
        <f>7.8+7.8+17.25</f>
        <v>32.85</v>
      </c>
      <c r="C599" s="718">
        <v>4.32</v>
      </c>
      <c r="D599" s="718">
        <f>B599*C599</f>
        <v>141.91200000000001</v>
      </c>
      <c r="E599" s="742" t="s">
        <v>770</v>
      </c>
      <c r="F599" s="718">
        <f>((2.3*1.1)*3)+((1.1*0.6)*2)+(1.6*2.1)</f>
        <v>12.27</v>
      </c>
      <c r="G599" s="743">
        <f>D599-F599</f>
        <v>129.642</v>
      </c>
      <c r="H599" s="652"/>
      <c r="I599" s="652"/>
      <c r="J599" s="652"/>
      <c r="K599" s="652"/>
      <c r="L599" s="652"/>
      <c r="M599" s="652"/>
    </row>
    <row r="600" spans="1:13">
      <c r="A600" s="741">
        <v>5.15</v>
      </c>
      <c r="B600" s="800">
        <v>5.15</v>
      </c>
      <c r="C600" s="718">
        <v>4.2699999999999996</v>
      </c>
      <c r="D600" s="718">
        <f>B600*C600</f>
        <v>21.990500000000001</v>
      </c>
      <c r="E600" s="718"/>
      <c r="F600" s="718"/>
      <c r="G600" s="743">
        <f>D600</f>
        <v>21.990500000000001</v>
      </c>
      <c r="H600" s="652"/>
      <c r="I600" s="652"/>
      <c r="J600" s="652"/>
      <c r="K600" s="652"/>
      <c r="L600" s="652"/>
      <c r="M600" s="652"/>
    </row>
    <row r="601" spans="1:13" ht="24">
      <c r="A601" s="741">
        <v>4.1500000000000004</v>
      </c>
      <c r="B601" s="800">
        <v>4.1500000000000004</v>
      </c>
      <c r="C601" s="718">
        <v>2.84</v>
      </c>
      <c r="D601" s="718">
        <f>B601*C601</f>
        <v>11.786</v>
      </c>
      <c r="E601" s="742" t="s">
        <v>771</v>
      </c>
      <c r="F601" s="718">
        <f>(1.3*2.1)+(2.3*1.1)</f>
        <v>5.26</v>
      </c>
      <c r="G601" s="743">
        <f>D601-F601</f>
        <v>6.5259999999999998</v>
      </c>
      <c r="H601" s="652"/>
      <c r="I601" s="652"/>
      <c r="J601" s="652"/>
      <c r="K601" s="652"/>
      <c r="L601" s="652"/>
      <c r="M601" s="652"/>
    </row>
    <row r="602" spans="1:13">
      <c r="A602" s="696" t="s">
        <v>772</v>
      </c>
      <c r="B602" s="718">
        <v>7.5</v>
      </c>
      <c r="C602" s="718">
        <v>1.78</v>
      </c>
      <c r="D602" s="718">
        <f>C602*B602</f>
        <v>13.35</v>
      </c>
      <c r="E602" s="718"/>
      <c r="F602" s="718"/>
      <c r="G602" s="743">
        <f>D602-F602</f>
        <v>13.35</v>
      </c>
      <c r="H602" s="652"/>
      <c r="I602" s="652"/>
      <c r="J602" s="652"/>
      <c r="K602" s="652"/>
      <c r="L602" s="652"/>
      <c r="M602" s="652"/>
    </row>
    <row r="603" spans="1:13">
      <c r="A603" s="696" t="s">
        <v>773</v>
      </c>
      <c r="B603" s="718">
        <v>16.95</v>
      </c>
      <c r="C603" s="718">
        <v>1.28</v>
      </c>
      <c r="D603" s="718">
        <f>C603*B603</f>
        <v>21.695999999999998</v>
      </c>
      <c r="E603" s="718"/>
      <c r="F603" s="718"/>
      <c r="G603" s="743">
        <f>D603-F603</f>
        <v>21.695999999999998</v>
      </c>
      <c r="H603" s="652"/>
      <c r="I603" s="652"/>
      <c r="J603" s="652"/>
      <c r="K603" s="652"/>
      <c r="L603" s="652"/>
      <c r="M603" s="652"/>
    </row>
    <row r="604" spans="1:13" ht="24">
      <c r="A604" s="696" t="s">
        <v>774</v>
      </c>
      <c r="B604" s="718">
        <f>9.5+9.5+9.5</f>
        <v>28.5</v>
      </c>
      <c r="C604" s="718">
        <v>2.2799999999999998</v>
      </c>
      <c r="D604" s="718">
        <f>C604*B604</f>
        <v>64.97999999999999</v>
      </c>
      <c r="E604" s="718"/>
      <c r="F604" s="718"/>
      <c r="G604" s="743">
        <f>D604-F604</f>
        <v>64.97999999999999</v>
      </c>
      <c r="H604" s="652"/>
      <c r="I604" s="652"/>
      <c r="J604" s="652"/>
      <c r="K604" s="652"/>
      <c r="L604" s="652"/>
      <c r="M604" s="652"/>
    </row>
    <row r="605" spans="1:13">
      <c r="A605" s="2235"/>
      <c r="B605" s="2155"/>
      <c r="C605" s="2155"/>
      <c r="D605" s="2155"/>
      <c r="E605" s="2155"/>
      <c r="F605" s="2155"/>
      <c r="G605" s="2156"/>
      <c r="H605" s="652"/>
      <c r="I605" s="652"/>
      <c r="J605" s="652"/>
      <c r="K605" s="652"/>
      <c r="L605" s="652"/>
      <c r="M605" s="652"/>
    </row>
    <row r="606" spans="1:13">
      <c r="A606" s="2172" t="s">
        <v>1991</v>
      </c>
      <c r="B606" s="2175"/>
      <c r="C606" s="2175"/>
      <c r="D606" s="2175"/>
      <c r="E606" s="2175"/>
      <c r="F606" s="2175"/>
      <c r="G606" s="2176"/>
      <c r="H606" s="652"/>
      <c r="I606" s="805"/>
      <c r="J606" s="652"/>
      <c r="K606" s="652"/>
      <c r="L606" s="652"/>
      <c r="M606" s="652"/>
    </row>
    <row r="607" spans="1:13">
      <c r="A607" s="2276"/>
      <c r="B607" s="2277"/>
      <c r="C607" s="2282" t="s">
        <v>692</v>
      </c>
      <c r="D607" s="2283"/>
      <c r="E607" s="2283"/>
      <c r="F607" s="2284"/>
      <c r="G607" s="743"/>
      <c r="H607" s="652"/>
      <c r="I607" s="652"/>
      <c r="J607" s="652"/>
      <c r="K607" s="652"/>
      <c r="L607" s="652"/>
      <c r="M607" s="652"/>
    </row>
    <row r="608" spans="1:13">
      <c r="A608" s="2278"/>
      <c r="B608" s="2279"/>
      <c r="C608" s="2285" t="s">
        <v>283</v>
      </c>
      <c r="D608" s="2286"/>
      <c r="E608" s="2286"/>
      <c r="F608" s="2287"/>
      <c r="G608" s="806">
        <f>ROUNDUP(G580+G581+G582+G583+G584+G585,2)</f>
        <v>42.71</v>
      </c>
      <c r="H608" s="652"/>
      <c r="I608" s="652"/>
      <c r="J608" s="652"/>
      <c r="K608" s="652"/>
      <c r="L608" s="652"/>
      <c r="M608" s="652"/>
    </row>
    <row r="609" spans="1:13">
      <c r="A609" s="2278"/>
      <c r="B609" s="2279"/>
      <c r="C609" s="2282" t="s">
        <v>702</v>
      </c>
      <c r="D609" s="2283"/>
      <c r="E609" s="2283"/>
      <c r="F609" s="2284"/>
      <c r="G609" s="807"/>
      <c r="H609" s="652"/>
      <c r="I609" s="652"/>
      <c r="J609" s="652"/>
      <c r="K609" s="652"/>
      <c r="L609" s="652"/>
      <c r="M609" s="652"/>
    </row>
    <row r="610" spans="1:13">
      <c r="A610" s="2278"/>
      <c r="B610" s="2279"/>
      <c r="C610" s="2285" t="s">
        <v>283</v>
      </c>
      <c r="D610" s="2286"/>
      <c r="E610" s="2286"/>
      <c r="F610" s="2287"/>
      <c r="G610" s="806">
        <f>ROUNDUP(G588+G589+G590+G591+G592+G593+G594+G595,2)</f>
        <v>105.05000000000001</v>
      </c>
      <c r="H610" s="652"/>
      <c r="I610" s="652"/>
      <c r="J610" s="652"/>
      <c r="K610" s="652"/>
      <c r="L610" s="652"/>
      <c r="M610" s="652"/>
    </row>
    <row r="611" spans="1:13">
      <c r="A611" s="2278"/>
      <c r="B611" s="2279"/>
      <c r="C611" s="2282" t="s">
        <v>720</v>
      </c>
      <c r="D611" s="2283"/>
      <c r="E611" s="2283"/>
      <c r="F611" s="2284"/>
      <c r="G611" s="807"/>
      <c r="H611" s="652"/>
      <c r="I611" s="652"/>
      <c r="J611" s="652"/>
      <c r="K611" s="652"/>
      <c r="L611" s="652"/>
      <c r="M611" s="652"/>
    </row>
    <row r="612" spans="1:13">
      <c r="A612" s="2280"/>
      <c r="B612" s="2281"/>
      <c r="C612" s="2285" t="s">
        <v>283</v>
      </c>
      <c r="D612" s="2286"/>
      <c r="E612" s="2286"/>
      <c r="F612" s="2287"/>
      <c r="G612" s="806">
        <f>ROUNDUP(G598+G599+G600+G601+G602+G603+G604,2)</f>
        <v>288.87</v>
      </c>
      <c r="H612" s="652"/>
      <c r="I612" s="652"/>
      <c r="J612" s="652"/>
      <c r="K612" s="652"/>
      <c r="L612" s="652"/>
      <c r="M612" s="652"/>
    </row>
    <row r="613" spans="1:13" ht="15.75" thickBot="1">
      <c r="A613" s="2273" t="s">
        <v>316</v>
      </c>
      <c r="B613" s="2274"/>
      <c r="C613" s="2274"/>
      <c r="D613" s="2274"/>
      <c r="E613" s="2274"/>
      <c r="F613" s="2275"/>
      <c r="G613" s="827">
        <f>ROUNDUP(G608+G610+G612,2)</f>
        <v>436.63</v>
      </c>
      <c r="H613" s="652"/>
      <c r="I613" s="652"/>
      <c r="J613" s="652"/>
      <c r="K613" s="652"/>
      <c r="L613" s="652"/>
      <c r="M613" s="652"/>
    </row>
    <row r="614" spans="1:13" ht="15.75" thickBot="1">
      <c r="A614" s="829"/>
      <c r="B614" s="830"/>
      <c r="C614" s="830"/>
      <c r="D614" s="830"/>
      <c r="E614" s="830"/>
      <c r="F614" s="830"/>
      <c r="G614" s="831"/>
      <c r="H614" s="652"/>
      <c r="I614" s="652"/>
      <c r="J614" s="652"/>
      <c r="K614" s="652"/>
      <c r="L614" s="652"/>
      <c r="M614" s="652"/>
    </row>
    <row r="615" spans="1:13" ht="15.75" thickBot="1">
      <c r="A615" s="666" t="s">
        <v>547</v>
      </c>
      <c r="B615" s="2163" t="s">
        <v>776</v>
      </c>
      <c r="C615" s="2164"/>
      <c r="D615" s="2164"/>
      <c r="E615" s="2164"/>
      <c r="F615" s="2164"/>
      <c r="G615" s="2165"/>
      <c r="H615" s="652"/>
      <c r="I615" s="652"/>
      <c r="J615" s="652"/>
      <c r="K615" s="652"/>
      <c r="L615" s="652"/>
      <c r="M615" s="652"/>
    </row>
    <row r="616" spans="1:13">
      <c r="A616" s="2166" t="s">
        <v>279</v>
      </c>
      <c r="B616" s="2167"/>
      <c r="C616" s="2167"/>
      <c r="D616" s="2167"/>
      <c r="E616" s="2167"/>
      <c r="F616" s="2167"/>
      <c r="G616" s="2168"/>
      <c r="H616" s="652"/>
      <c r="I616" s="652"/>
      <c r="J616" s="652"/>
      <c r="K616" s="652"/>
      <c r="L616" s="652"/>
      <c r="M616" s="652"/>
    </row>
    <row r="617" spans="1:13">
      <c r="A617" s="2320" t="s">
        <v>361</v>
      </c>
      <c r="B617" s="2321"/>
      <c r="C617" s="2321"/>
      <c r="D617" s="2321"/>
      <c r="E617" s="2321"/>
      <c r="F617" s="2321"/>
      <c r="G617" s="2322"/>
      <c r="H617" s="652"/>
      <c r="I617" s="652"/>
      <c r="J617" s="652"/>
      <c r="K617" s="652"/>
      <c r="L617" s="652"/>
      <c r="M617" s="652"/>
    </row>
    <row r="618" spans="1:13">
      <c r="A618" s="681" t="s">
        <v>298</v>
      </c>
      <c r="B618" s="682" t="s">
        <v>298</v>
      </c>
      <c r="C618" s="682" t="s">
        <v>308</v>
      </c>
      <c r="D618" s="682" t="s">
        <v>309</v>
      </c>
      <c r="E618" s="682" t="s">
        <v>310</v>
      </c>
      <c r="F618" s="682" t="s">
        <v>311</v>
      </c>
      <c r="G618" s="740" t="s">
        <v>312</v>
      </c>
      <c r="H618" s="652"/>
      <c r="I618" s="652"/>
      <c r="J618" s="652"/>
      <c r="K618" s="652"/>
      <c r="L618" s="652"/>
      <c r="M618" s="652"/>
    </row>
    <row r="619" spans="1:13">
      <c r="A619" s="2288" t="s">
        <v>692</v>
      </c>
      <c r="B619" s="2289"/>
      <c r="C619" s="2289"/>
      <c r="D619" s="2289"/>
      <c r="E619" s="2289"/>
      <c r="F619" s="2289"/>
      <c r="G619" s="2290"/>
      <c r="H619" s="652"/>
      <c r="I619" s="652"/>
      <c r="J619" s="652"/>
      <c r="K619" s="652"/>
      <c r="L619" s="652"/>
      <c r="M619" s="652"/>
    </row>
    <row r="620" spans="1:13">
      <c r="A620" s="741">
        <v>1.5</v>
      </c>
      <c r="B620" s="718">
        <v>1.5</v>
      </c>
      <c r="C620" s="718">
        <v>2.82</v>
      </c>
      <c r="D620" s="718">
        <f>B620*C620</f>
        <v>4.2299999999999995</v>
      </c>
      <c r="E620" s="718"/>
      <c r="F620" s="718"/>
      <c r="G620" s="743">
        <f>D620</f>
        <v>4.2299999999999995</v>
      </c>
      <c r="H620" s="652"/>
      <c r="I620" s="652"/>
      <c r="J620" s="652"/>
      <c r="K620" s="652"/>
      <c r="L620" s="652"/>
      <c r="M620" s="652"/>
    </row>
    <row r="621" spans="1:13">
      <c r="A621" s="741">
        <v>1.5</v>
      </c>
      <c r="B621" s="718">
        <v>1.5</v>
      </c>
      <c r="C621" s="718">
        <v>2.2799999999999998</v>
      </c>
      <c r="D621" s="718">
        <f>B621*C621</f>
        <v>3.42</v>
      </c>
      <c r="E621" s="718"/>
      <c r="F621" s="718"/>
      <c r="G621" s="743">
        <f>D621</f>
        <v>3.42</v>
      </c>
      <c r="H621" s="652"/>
      <c r="I621" s="652"/>
      <c r="J621" s="652"/>
      <c r="K621" s="652"/>
      <c r="L621" s="652"/>
      <c r="M621" s="652"/>
    </row>
    <row r="622" spans="1:13">
      <c r="A622" s="2235"/>
      <c r="B622" s="2155"/>
      <c r="C622" s="2155"/>
      <c r="D622" s="2155"/>
      <c r="E622" s="2155"/>
      <c r="F622" s="2155"/>
      <c r="G622" s="2156"/>
      <c r="H622" s="652"/>
      <c r="I622" s="652"/>
      <c r="J622" s="652"/>
      <c r="K622" s="652"/>
      <c r="L622" s="652"/>
      <c r="M622" s="652"/>
    </row>
    <row r="623" spans="1:13">
      <c r="A623" s="2288" t="s">
        <v>702</v>
      </c>
      <c r="B623" s="2289"/>
      <c r="C623" s="2289"/>
      <c r="D623" s="2289"/>
      <c r="E623" s="2289"/>
      <c r="F623" s="2289"/>
      <c r="G623" s="2290"/>
      <c r="H623" s="652"/>
      <c r="I623" s="652"/>
      <c r="J623" s="652"/>
      <c r="K623" s="652"/>
      <c r="L623" s="652"/>
      <c r="M623" s="652"/>
    </row>
    <row r="624" spans="1:13">
      <c r="A624" s="741">
        <v>1.5</v>
      </c>
      <c r="B624" s="718">
        <v>1.5</v>
      </c>
      <c r="C624" s="718">
        <v>4.32</v>
      </c>
      <c r="D624" s="718">
        <f>B624*C624</f>
        <v>6.48</v>
      </c>
      <c r="E624" s="718"/>
      <c r="F624" s="718"/>
      <c r="G624" s="743">
        <f>D624</f>
        <v>6.48</v>
      </c>
      <c r="H624" s="652"/>
      <c r="I624" s="652"/>
      <c r="J624" s="652"/>
      <c r="K624" s="652"/>
      <c r="L624" s="652"/>
      <c r="M624" s="652"/>
    </row>
    <row r="625" spans="1:13">
      <c r="A625" s="696" t="s">
        <v>762</v>
      </c>
      <c r="B625" s="718">
        <v>2.5</v>
      </c>
      <c r="C625" s="718">
        <v>2.2799999999999998</v>
      </c>
      <c r="D625" s="718">
        <f>C625*B625</f>
        <v>5.6999999999999993</v>
      </c>
      <c r="E625" s="718"/>
      <c r="F625" s="718"/>
      <c r="G625" s="743">
        <f>D625-F625</f>
        <v>5.6999999999999993</v>
      </c>
      <c r="H625" s="652"/>
      <c r="I625" s="652"/>
      <c r="J625" s="652"/>
      <c r="K625" s="652"/>
      <c r="L625" s="652"/>
      <c r="M625" s="652"/>
    </row>
    <row r="626" spans="1:13">
      <c r="A626" s="2235"/>
      <c r="B626" s="2155"/>
      <c r="C626" s="2155"/>
      <c r="D626" s="2155"/>
      <c r="E626" s="2155"/>
      <c r="F626" s="2155"/>
      <c r="G626" s="2156"/>
      <c r="H626" s="652"/>
      <c r="I626" s="652"/>
      <c r="J626" s="652"/>
      <c r="K626" s="652"/>
      <c r="L626" s="652"/>
      <c r="M626" s="652"/>
    </row>
    <row r="627" spans="1:13">
      <c r="A627" s="2288" t="s">
        <v>720</v>
      </c>
      <c r="B627" s="2289"/>
      <c r="C627" s="2289"/>
      <c r="D627" s="2289"/>
      <c r="E627" s="2289"/>
      <c r="F627" s="2289"/>
      <c r="G627" s="2290"/>
      <c r="H627" s="652"/>
      <c r="I627" s="652"/>
      <c r="J627" s="652"/>
      <c r="K627" s="652"/>
      <c r="L627" s="652"/>
      <c r="M627" s="652"/>
    </row>
    <row r="628" spans="1:13" ht="36">
      <c r="A628" s="696" t="s">
        <v>765</v>
      </c>
      <c r="B628" s="718">
        <f>3.65+4.8</f>
        <v>8.4499999999999993</v>
      </c>
      <c r="C628" s="718">
        <v>4.32</v>
      </c>
      <c r="D628" s="718">
        <f>B628*C628</f>
        <v>36.503999999999998</v>
      </c>
      <c r="E628" s="742" t="s">
        <v>766</v>
      </c>
      <c r="F628" s="718">
        <f>(2.2*1.1)+(2.3+1.1)</f>
        <v>5.82</v>
      </c>
      <c r="G628" s="743">
        <f>D628-F628</f>
        <v>30.683999999999997</v>
      </c>
      <c r="H628" s="652"/>
      <c r="I628" s="652"/>
      <c r="J628" s="652"/>
      <c r="K628" s="652"/>
      <c r="L628" s="652"/>
      <c r="M628" s="652"/>
    </row>
    <row r="629" spans="1:13" ht="24">
      <c r="A629" s="696" t="s">
        <v>767</v>
      </c>
      <c r="B629" s="747">
        <f>9.8+4.15</f>
        <v>13.950000000000001</v>
      </c>
      <c r="C629" s="718">
        <v>2.82</v>
      </c>
      <c r="D629" s="718">
        <f>B629*C629</f>
        <v>39.338999999999999</v>
      </c>
      <c r="E629" s="742" t="s">
        <v>768</v>
      </c>
      <c r="F629" s="718">
        <f>1.1*0.6*6</f>
        <v>3.96</v>
      </c>
      <c r="G629" s="743">
        <f>D629-F629</f>
        <v>35.378999999999998</v>
      </c>
      <c r="H629" s="652"/>
      <c r="I629" s="652"/>
      <c r="J629" s="652"/>
      <c r="K629" s="652"/>
      <c r="L629" s="652"/>
      <c r="M629" s="652"/>
    </row>
    <row r="630" spans="1:13">
      <c r="A630" s="741">
        <v>9.8000000000000007</v>
      </c>
      <c r="B630" s="800">
        <v>9.8000000000000007</v>
      </c>
      <c r="C630" s="718">
        <v>2.2799999999999998</v>
      </c>
      <c r="D630" s="718">
        <f>C630*B630</f>
        <v>22.344000000000001</v>
      </c>
      <c r="E630" s="718"/>
      <c r="F630" s="718"/>
      <c r="G630" s="743">
        <f>D630-F630</f>
        <v>22.344000000000001</v>
      </c>
      <c r="H630" s="652"/>
      <c r="I630" s="652"/>
      <c r="J630" s="652"/>
      <c r="K630" s="652"/>
      <c r="L630" s="652"/>
      <c r="M630" s="652"/>
    </row>
    <row r="631" spans="1:13">
      <c r="A631" s="2235"/>
      <c r="B631" s="2155"/>
      <c r="C631" s="2155"/>
      <c r="D631" s="2155"/>
      <c r="E631" s="2155"/>
      <c r="F631" s="2155"/>
      <c r="G631" s="2156"/>
      <c r="H631" s="652"/>
      <c r="I631" s="652"/>
      <c r="J631" s="652"/>
      <c r="K631" s="652"/>
      <c r="L631" s="652"/>
      <c r="M631" s="652"/>
    </row>
    <row r="632" spans="1:13">
      <c r="A632" s="2172" t="s">
        <v>733</v>
      </c>
      <c r="B632" s="2175"/>
      <c r="C632" s="2175"/>
      <c r="D632" s="2175"/>
      <c r="E632" s="2175"/>
      <c r="F632" s="2175"/>
      <c r="G632" s="2176"/>
      <c r="H632" s="652"/>
      <c r="I632" s="652"/>
      <c r="J632" s="652"/>
      <c r="K632" s="652"/>
      <c r="L632" s="652"/>
      <c r="M632" s="652"/>
    </row>
    <row r="633" spans="1:13">
      <c r="A633" s="2276"/>
      <c r="B633" s="2277"/>
      <c r="C633" s="2282" t="s">
        <v>692</v>
      </c>
      <c r="D633" s="2283"/>
      <c r="E633" s="2283"/>
      <c r="F633" s="2284"/>
      <c r="G633" s="743"/>
      <c r="H633" s="652"/>
      <c r="I633" s="652"/>
      <c r="J633" s="652"/>
      <c r="K633" s="652"/>
      <c r="L633" s="652"/>
      <c r="M633" s="652"/>
    </row>
    <row r="634" spans="1:13">
      <c r="A634" s="2278"/>
      <c r="B634" s="2279"/>
      <c r="C634" s="2285" t="s">
        <v>283</v>
      </c>
      <c r="D634" s="2286"/>
      <c r="E634" s="2286"/>
      <c r="F634" s="2287"/>
      <c r="G634" s="806">
        <f>ROUNDUP(G620+G621,2)</f>
        <v>7.65</v>
      </c>
      <c r="H634" s="652"/>
      <c r="I634" s="652"/>
      <c r="J634" s="652"/>
      <c r="K634" s="652"/>
      <c r="L634" s="652"/>
      <c r="M634" s="652"/>
    </row>
    <row r="635" spans="1:13">
      <c r="A635" s="2278"/>
      <c r="B635" s="2279"/>
      <c r="C635" s="2282" t="s">
        <v>702</v>
      </c>
      <c r="D635" s="2283"/>
      <c r="E635" s="2283"/>
      <c r="F635" s="2284"/>
      <c r="G635" s="807"/>
      <c r="H635" s="652"/>
      <c r="I635" s="652"/>
      <c r="J635" s="652"/>
      <c r="K635" s="652"/>
      <c r="L635" s="652"/>
      <c r="M635" s="652"/>
    </row>
    <row r="636" spans="1:13">
      <c r="A636" s="2278"/>
      <c r="B636" s="2279"/>
      <c r="C636" s="2285" t="s">
        <v>283</v>
      </c>
      <c r="D636" s="2286"/>
      <c r="E636" s="2286"/>
      <c r="F636" s="2287"/>
      <c r="G636" s="806">
        <f>ROUNDUP(G624+G625,2)</f>
        <v>12.18</v>
      </c>
      <c r="H636" s="652"/>
      <c r="I636" s="652"/>
      <c r="J636" s="652"/>
      <c r="K636" s="652"/>
      <c r="L636" s="652"/>
      <c r="M636" s="652"/>
    </row>
    <row r="637" spans="1:13">
      <c r="A637" s="2278"/>
      <c r="B637" s="2279"/>
      <c r="C637" s="2282" t="s">
        <v>720</v>
      </c>
      <c r="D637" s="2283"/>
      <c r="E637" s="2283"/>
      <c r="F637" s="2284"/>
      <c r="G637" s="807"/>
      <c r="H637" s="652"/>
      <c r="I637" s="652"/>
      <c r="J637" s="652"/>
      <c r="K637" s="652"/>
      <c r="L637" s="652"/>
      <c r="M637" s="652"/>
    </row>
    <row r="638" spans="1:13">
      <c r="A638" s="2280"/>
      <c r="B638" s="2281"/>
      <c r="C638" s="2285" t="s">
        <v>283</v>
      </c>
      <c r="D638" s="2286"/>
      <c r="E638" s="2286"/>
      <c r="F638" s="2287"/>
      <c r="G638" s="806">
        <f>ROUNDUP(G628+G629+G630,2)</f>
        <v>88.410000000000011</v>
      </c>
      <c r="H638" s="652"/>
      <c r="I638" s="652"/>
      <c r="J638" s="652"/>
      <c r="K638" s="652"/>
      <c r="L638" s="652"/>
      <c r="M638" s="652"/>
    </row>
    <row r="639" spans="1:13" ht="15.75" thickBot="1">
      <c r="A639" s="2273" t="s">
        <v>316</v>
      </c>
      <c r="B639" s="2274"/>
      <c r="C639" s="2274"/>
      <c r="D639" s="2274"/>
      <c r="E639" s="2274"/>
      <c r="F639" s="2275"/>
      <c r="G639" s="827">
        <f>ROUNDUP(G634+G636+G638,2)</f>
        <v>108.24</v>
      </c>
      <c r="H639" s="652"/>
      <c r="I639" s="652"/>
      <c r="J639" s="652"/>
      <c r="K639" s="652"/>
      <c r="L639" s="652"/>
      <c r="M639" s="652"/>
    </row>
    <row r="640" spans="1:13" ht="15.75" thickBot="1">
      <c r="A640" s="824"/>
      <c r="B640" s="825"/>
      <c r="C640" s="825"/>
      <c r="D640" s="825"/>
      <c r="E640" s="825"/>
      <c r="F640" s="825"/>
      <c r="G640" s="826"/>
      <c r="H640" s="652"/>
      <c r="I640" s="652"/>
      <c r="J640" s="652"/>
      <c r="K640" s="652"/>
      <c r="L640" s="652"/>
      <c r="M640" s="652"/>
    </row>
    <row r="641" spans="1:13" ht="15.75" thickBot="1">
      <c r="A641" s="666" t="s">
        <v>548</v>
      </c>
      <c r="B641" s="2163" t="s">
        <v>777</v>
      </c>
      <c r="C641" s="2164"/>
      <c r="D641" s="2164"/>
      <c r="E641" s="2164"/>
      <c r="F641" s="2164"/>
      <c r="G641" s="2165"/>
      <c r="H641" s="652"/>
      <c r="I641" s="652"/>
      <c r="J641" s="652"/>
      <c r="K641" s="652"/>
      <c r="L641" s="652"/>
      <c r="M641" s="652"/>
    </row>
    <row r="642" spans="1:13">
      <c r="A642" s="2205" t="s">
        <v>778</v>
      </c>
      <c r="B642" s="2206"/>
      <c r="C642" s="2206"/>
      <c r="D642" s="2206"/>
      <c r="E642" s="2206"/>
      <c r="F642" s="2206"/>
      <c r="G642" s="2207"/>
      <c r="H642" s="652"/>
      <c r="I642" s="652"/>
      <c r="J642" s="652"/>
      <c r="K642" s="652"/>
      <c r="L642" s="652"/>
      <c r="M642" s="652"/>
    </row>
    <row r="643" spans="1:13">
      <c r="A643" s="2169" t="s">
        <v>366</v>
      </c>
      <c r="B643" s="2170"/>
      <c r="C643" s="2170"/>
      <c r="D643" s="2170"/>
      <c r="E643" s="2170"/>
      <c r="F643" s="2170"/>
      <c r="G643" s="2171"/>
      <c r="H643" s="652"/>
      <c r="I643" s="652"/>
      <c r="J643" s="652"/>
      <c r="K643" s="652"/>
      <c r="L643" s="652"/>
      <c r="M643" s="652"/>
    </row>
    <row r="644" spans="1:13">
      <c r="A644" s="2172" t="s">
        <v>367</v>
      </c>
      <c r="B644" s="2173"/>
      <c r="C644" s="682" t="s">
        <v>298</v>
      </c>
      <c r="D644" s="682" t="s">
        <v>281</v>
      </c>
      <c r="E644" s="2174" t="s">
        <v>282</v>
      </c>
      <c r="F644" s="2175"/>
      <c r="G644" s="2176"/>
      <c r="H644" s="652"/>
      <c r="I644" s="652"/>
      <c r="J644" s="652"/>
      <c r="K644" s="652"/>
      <c r="L644" s="652"/>
      <c r="M644" s="652"/>
    </row>
    <row r="645" spans="1:13">
      <c r="A645" s="2152" t="s">
        <v>779</v>
      </c>
      <c r="B645" s="2153"/>
      <c r="C645" s="779">
        <v>24.3</v>
      </c>
      <c r="D645" s="780">
        <v>39.81</v>
      </c>
      <c r="E645" s="2258" t="s">
        <v>780</v>
      </c>
      <c r="F645" s="2259"/>
      <c r="G645" s="2260"/>
      <c r="H645" s="652"/>
      <c r="I645" s="652"/>
      <c r="J645" s="652"/>
      <c r="K645" s="652"/>
      <c r="L645" s="652"/>
      <c r="M645" s="652"/>
    </row>
    <row r="646" spans="1:13">
      <c r="A646" s="2152" t="s">
        <v>781</v>
      </c>
      <c r="B646" s="2153"/>
      <c r="C646" s="779">
        <v>35.700000000000003</v>
      </c>
      <c r="D646" s="780">
        <v>39.81</v>
      </c>
      <c r="E646" s="2261"/>
      <c r="F646" s="2262"/>
      <c r="G646" s="2263"/>
      <c r="H646" s="652"/>
      <c r="I646" s="652"/>
      <c r="J646" s="652"/>
      <c r="K646" s="652"/>
      <c r="L646" s="652"/>
      <c r="M646" s="652"/>
    </row>
    <row r="647" spans="1:13">
      <c r="A647" s="2152" t="s">
        <v>782</v>
      </c>
      <c r="B647" s="2153"/>
      <c r="C647" s="779">
        <v>13</v>
      </c>
      <c r="D647" s="780">
        <v>39.81</v>
      </c>
      <c r="E647" s="2261"/>
      <c r="F647" s="2262"/>
      <c r="G647" s="2263"/>
      <c r="H647" s="652"/>
      <c r="I647" s="652"/>
      <c r="J647" s="652"/>
      <c r="K647" s="652"/>
      <c r="L647" s="652"/>
      <c r="M647" s="652"/>
    </row>
    <row r="648" spans="1:13">
      <c r="A648" s="2152" t="s">
        <v>783</v>
      </c>
      <c r="B648" s="2153"/>
      <c r="C648" s="779">
        <v>16</v>
      </c>
      <c r="D648" s="780">
        <v>39.81</v>
      </c>
      <c r="E648" s="2261"/>
      <c r="F648" s="2262"/>
      <c r="G648" s="2263"/>
      <c r="H648" s="652"/>
      <c r="I648" s="652"/>
      <c r="J648" s="652"/>
      <c r="K648" s="652"/>
      <c r="L648" s="652"/>
      <c r="M648" s="652"/>
    </row>
    <row r="649" spans="1:13">
      <c r="A649" s="2152" t="s">
        <v>784</v>
      </c>
      <c r="B649" s="2153"/>
      <c r="C649" s="779">
        <v>20</v>
      </c>
      <c r="D649" s="780">
        <v>39.81</v>
      </c>
      <c r="E649" s="2261"/>
      <c r="F649" s="2262"/>
      <c r="G649" s="2263"/>
      <c r="H649" s="652"/>
      <c r="I649" s="652"/>
      <c r="J649" s="652"/>
      <c r="K649" s="652"/>
      <c r="L649" s="652"/>
      <c r="M649" s="652"/>
    </row>
    <row r="650" spans="1:13">
      <c r="A650" s="2152" t="s">
        <v>362</v>
      </c>
      <c r="B650" s="2153"/>
      <c r="C650" s="779">
        <v>18</v>
      </c>
      <c r="D650" s="780">
        <v>39.81</v>
      </c>
      <c r="E650" s="2261"/>
      <c r="F650" s="2262"/>
      <c r="G650" s="2263"/>
      <c r="H650" s="652"/>
      <c r="I650" s="652"/>
      <c r="J650" s="652"/>
      <c r="K650" s="652"/>
      <c r="L650" s="652"/>
      <c r="M650" s="652"/>
    </row>
    <row r="651" spans="1:13">
      <c r="A651" s="2152" t="s">
        <v>785</v>
      </c>
      <c r="B651" s="2153"/>
      <c r="C651" s="779">
        <v>11.7</v>
      </c>
      <c r="D651" s="780">
        <v>39.81</v>
      </c>
      <c r="E651" s="2261"/>
      <c r="F651" s="2262"/>
      <c r="G651" s="2263"/>
      <c r="H651" s="652"/>
      <c r="I651" s="652"/>
      <c r="J651" s="652"/>
      <c r="K651" s="652"/>
      <c r="L651" s="652"/>
      <c r="M651" s="652"/>
    </row>
    <row r="652" spans="1:13">
      <c r="A652" s="2152" t="s">
        <v>786</v>
      </c>
      <c r="B652" s="2153"/>
      <c r="C652" s="779">
        <v>7.4</v>
      </c>
      <c r="D652" s="780">
        <v>39.81</v>
      </c>
      <c r="E652" s="2261"/>
      <c r="F652" s="2262"/>
      <c r="G652" s="2263"/>
      <c r="H652" s="652"/>
      <c r="I652" s="652"/>
      <c r="J652" s="652"/>
      <c r="K652" s="652"/>
      <c r="L652" s="652"/>
      <c r="M652" s="652"/>
    </row>
    <row r="653" spans="1:13">
      <c r="A653" s="2152" t="s">
        <v>787</v>
      </c>
      <c r="B653" s="2153"/>
      <c r="C653" s="779">
        <v>13.39</v>
      </c>
      <c r="D653" s="780">
        <v>39.81</v>
      </c>
      <c r="E653" s="2261"/>
      <c r="F653" s="2262"/>
      <c r="G653" s="2263"/>
      <c r="H653" s="652"/>
      <c r="I653" s="652"/>
      <c r="J653" s="652"/>
      <c r="K653" s="652"/>
      <c r="L653" s="652"/>
      <c r="M653" s="652"/>
    </row>
    <row r="654" spans="1:13">
      <c r="A654" s="2152" t="s">
        <v>788</v>
      </c>
      <c r="B654" s="2153"/>
      <c r="C654" s="779">
        <v>3.05</v>
      </c>
      <c r="D654" s="780">
        <v>39.81</v>
      </c>
      <c r="E654" s="2261"/>
      <c r="F654" s="2262"/>
      <c r="G654" s="2263"/>
      <c r="H654" s="652"/>
      <c r="I654" s="652"/>
      <c r="J654" s="652"/>
      <c r="K654" s="652"/>
      <c r="L654" s="652"/>
      <c r="M654" s="652"/>
    </row>
    <row r="655" spans="1:13">
      <c r="A655" s="2152" t="s">
        <v>789</v>
      </c>
      <c r="B655" s="2153"/>
      <c r="C655" s="779">
        <v>3.05</v>
      </c>
      <c r="D655" s="780">
        <v>39.81</v>
      </c>
      <c r="E655" s="2261"/>
      <c r="F655" s="2262"/>
      <c r="G655" s="2263"/>
      <c r="H655" s="652"/>
      <c r="I655" s="652"/>
      <c r="J655" s="652"/>
      <c r="K655" s="652"/>
      <c r="L655" s="652"/>
      <c r="M655" s="652"/>
    </row>
    <row r="656" spans="1:13">
      <c r="A656" s="2152" t="s">
        <v>790</v>
      </c>
      <c r="B656" s="2153"/>
      <c r="C656" s="779">
        <v>13.39</v>
      </c>
      <c r="D656" s="780">
        <v>39.81</v>
      </c>
      <c r="E656" s="2261"/>
      <c r="F656" s="2262"/>
      <c r="G656" s="2263"/>
      <c r="H656" s="652"/>
      <c r="I656" s="652"/>
      <c r="J656" s="652"/>
      <c r="K656" s="652"/>
      <c r="L656" s="652"/>
      <c r="M656" s="652"/>
    </row>
    <row r="657" spans="1:13" ht="15.75" thickBot="1">
      <c r="A657" s="781"/>
      <c r="B657" s="782"/>
      <c r="C657" s="783" t="s">
        <v>283</v>
      </c>
      <c r="D657" s="784">
        <f>SUM(D645:D656)</f>
        <v>477.72</v>
      </c>
      <c r="E657" s="2264"/>
      <c r="F657" s="2265"/>
      <c r="G657" s="2266"/>
      <c r="H657" s="652"/>
      <c r="I657" s="652"/>
      <c r="J657" s="652"/>
      <c r="K657" s="652"/>
      <c r="L657" s="652"/>
      <c r="M657" s="652"/>
    </row>
    <row r="658" spans="1:13" ht="15.75" thickBot="1">
      <c r="A658" s="832"/>
      <c r="B658" s="833"/>
      <c r="C658" s="833"/>
      <c r="D658" s="833"/>
      <c r="E658" s="761"/>
      <c r="F658" s="761"/>
      <c r="G658" s="834"/>
      <c r="H658" s="652"/>
      <c r="I658" s="652"/>
      <c r="J658" s="652"/>
      <c r="K658" s="652"/>
      <c r="L658" s="652"/>
      <c r="M658" s="652"/>
    </row>
    <row r="659" spans="1:13" ht="15.75" thickBot="1">
      <c r="A659" s="666" t="s">
        <v>549</v>
      </c>
      <c r="B659" s="2163" t="s">
        <v>1997</v>
      </c>
      <c r="C659" s="2164"/>
      <c r="D659" s="2164"/>
      <c r="E659" s="2164"/>
      <c r="F659" s="2164"/>
      <c r="G659" s="2165"/>
      <c r="H659" s="652"/>
      <c r="I659" s="835"/>
      <c r="J659" s="652"/>
      <c r="K659" s="652"/>
      <c r="L659" s="652"/>
      <c r="M659" s="652"/>
    </row>
    <row r="660" spans="1:13">
      <c r="A660" s="2205" t="s">
        <v>778</v>
      </c>
      <c r="B660" s="2206"/>
      <c r="C660" s="2206"/>
      <c r="D660" s="2206"/>
      <c r="E660" s="2206"/>
      <c r="F660" s="2206"/>
      <c r="G660" s="2207"/>
      <c r="H660" s="652"/>
      <c r="I660" s="652"/>
      <c r="J660" s="652"/>
      <c r="K660" s="652"/>
      <c r="L660" s="652"/>
      <c r="M660" s="652"/>
    </row>
    <row r="661" spans="1:13">
      <c r="A661" s="2169" t="s">
        <v>366</v>
      </c>
      <c r="B661" s="2170"/>
      <c r="C661" s="2170"/>
      <c r="D661" s="2170"/>
      <c r="E661" s="2170"/>
      <c r="F661" s="2170"/>
      <c r="G661" s="2171"/>
      <c r="H661" s="652"/>
      <c r="I661" s="652"/>
      <c r="J661" s="652"/>
      <c r="K661" s="652"/>
      <c r="L661" s="652"/>
      <c r="M661" s="652"/>
    </row>
    <row r="662" spans="1:13">
      <c r="A662" s="2172" t="s">
        <v>367</v>
      </c>
      <c r="B662" s="2173"/>
      <c r="C662" s="682" t="s">
        <v>298</v>
      </c>
      <c r="D662" s="682" t="s">
        <v>281</v>
      </c>
      <c r="E662" s="2174" t="s">
        <v>282</v>
      </c>
      <c r="F662" s="2175"/>
      <c r="G662" s="2176"/>
      <c r="H662" s="652"/>
      <c r="I662" s="652"/>
      <c r="J662" s="652"/>
      <c r="K662" s="652"/>
      <c r="L662" s="652"/>
      <c r="M662" s="652"/>
    </row>
    <row r="663" spans="1:13">
      <c r="A663" s="2152" t="s">
        <v>779</v>
      </c>
      <c r="B663" s="2153"/>
      <c r="C663" s="779">
        <v>24.3</v>
      </c>
      <c r="D663" s="780">
        <v>39.81</v>
      </c>
      <c r="E663" s="2258" t="s">
        <v>780</v>
      </c>
      <c r="F663" s="2259"/>
      <c r="G663" s="2260"/>
      <c r="H663" s="652"/>
      <c r="I663" s="652"/>
      <c r="J663" s="652"/>
      <c r="K663" s="652"/>
      <c r="L663" s="652"/>
      <c r="M663" s="652"/>
    </row>
    <row r="664" spans="1:13">
      <c r="A664" s="2152" t="s">
        <v>781</v>
      </c>
      <c r="B664" s="2153"/>
      <c r="C664" s="779">
        <v>35.700000000000003</v>
      </c>
      <c r="D664" s="780">
        <v>39.81</v>
      </c>
      <c r="E664" s="2261"/>
      <c r="F664" s="2262"/>
      <c r="G664" s="2263"/>
      <c r="H664" s="652"/>
      <c r="I664" s="652"/>
      <c r="J664" s="652"/>
      <c r="K664" s="652"/>
      <c r="L664" s="652"/>
      <c r="M664" s="652"/>
    </row>
    <row r="665" spans="1:13">
      <c r="A665" s="2152" t="s">
        <v>782</v>
      </c>
      <c r="B665" s="2153"/>
      <c r="C665" s="779">
        <v>13</v>
      </c>
      <c r="D665" s="780">
        <v>39.81</v>
      </c>
      <c r="E665" s="2261"/>
      <c r="F665" s="2262"/>
      <c r="G665" s="2263"/>
      <c r="H665" s="652"/>
      <c r="I665" s="652"/>
      <c r="J665" s="652"/>
      <c r="K665" s="652"/>
      <c r="L665" s="652"/>
      <c r="M665" s="652"/>
    </row>
    <row r="666" spans="1:13">
      <c r="A666" s="2152" t="s">
        <v>783</v>
      </c>
      <c r="B666" s="2153"/>
      <c r="C666" s="779">
        <v>16</v>
      </c>
      <c r="D666" s="780">
        <v>39.81</v>
      </c>
      <c r="E666" s="2261"/>
      <c r="F666" s="2262"/>
      <c r="G666" s="2263"/>
      <c r="H666" s="652"/>
      <c r="I666" s="652"/>
      <c r="J666" s="652"/>
      <c r="K666" s="652"/>
      <c r="L666" s="652"/>
      <c r="M666" s="652"/>
    </row>
    <row r="667" spans="1:13">
      <c r="A667" s="2152" t="s">
        <v>784</v>
      </c>
      <c r="B667" s="2153"/>
      <c r="C667" s="779">
        <v>20</v>
      </c>
      <c r="D667" s="780">
        <v>39.81</v>
      </c>
      <c r="E667" s="2261"/>
      <c r="F667" s="2262"/>
      <c r="G667" s="2263"/>
      <c r="H667" s="652"/>
      <c r="I667" s="652"/>
      <c r="J667" s="652"/>
      <c r="K667" s="652"/>
      <c r="L667" s="652"/>
      <c r="M667" s="652"/>
    </row>
    <row r="668" spans="1:13">
      <c r="A668" s="2152" t="s">
        <v>362</v>
      </c>
      <c r="B668" s="2153"/>
      <c r="C668" s="779">
        <v>18</v>
      </c>
      <c r="D668" s="780">
        <v>39.81</v>
      </c>
      <c r="E668" s="2261"/>
      <c r="F668" s="2262"/>
      <c r="G668" s="2263"/>
      <c r="H668" s="652"/>
      <c r="I668" s="652"/>
      <c r="J668" s="652"/>
      <c r="K668" s="652"/>
      <c r="L668" s="652"/>
      <c r="M668" s="652"/>
    </row>
    <row r="669" spans="1:13">
      <c r="A669" s="2152" t="s">
        <v>785</v>
      </c>
      <c r="B669" s="2153"/>
      <c r="C669" s="779">
        <v>11.7</v>
      </c>
      <c r="D669" s="780">
        <v>39.81</v>
      </c>
      <c r="E669" s="2261"/>
      <c r="F669" s="2262"/>
      <c r="G669" s="2263"/>
      <c r="H669" s="652"/>
      <c r="I669" s="652"/>
      <c r="J669" s="652"/>
      <c r="K669" s="652"/>
      <c r="L669" s="652"/>
      <c r="M669" s="652"/>
    </row>
    <row r="670" spans="1:13">
      <c r="A670" s="2152" t="s">
        <v>786</v>
      </c>
      <c r="B670" s="2153"/>
      <c r="C670" s="779">
        <v>7.4</v>
      </c>
      <c r="D670" s="780">
        <v>39.81</v>
      </c>
      <c r="E670" s="2261"/>
      <c r="F670" s="2262"/>
      <c r="G670" s="2263"/>
      <c r="H670" s="652"/>
      <c r="I670" s="652"/>
      <c r="J670" s="652"/>
      <c r="K670" s="652"/>
      <c r="L670" s="652"/>
      <c r="M670" s="652"/>
    </row>
    <row r="671" spans="1:13">
      <c r="A671" s="2152" t="s">
        <v>787</v>
      </c>
      <c r="B671" s="2153"/>
      <c r="C671" s="779">
        <v>13.39</v>
      </c>
      <c r="D671" s="780">
        <v>39.81</v>
      </c>
      <c r="E671" s="2261"/>
      <c r="F671" s="2262"/>
      <c r="G671" s="2263"/>
      <c r="H671" s="652"/>
      <c r="I671" s="652"/>
      <c r="J671" s="652"/>
      <c r="K671" s="652"/>
      <c r="L671" s="652"/>
      <c r="M671" s="652"/>
    </row>
    <row r="672" spans="1:13">
      <c r="A672" s="2152" t="s">
        <v>788</v>
      </c>
      <c r="B672" s="2153"/>
      <c r="C672" s="779">
        <v>3.05</v>
      </c>
      <c r="D672" s="780">
        <v>39.81</v>
      </c>
      <c r="E672" s="2261"/>
      <c r="F672" s="2262"/>
      <c r="G672" s="2263"/>
      <c r="H672" s="652"/>
      <c r="I672" s="652"/>
      <c r="J672" s="652"/>
      <c r="K672" s="652"/>
      <c r="L672" s="652"/>
      <c r="M672" s="652"/>
    </row>
    <row r="673" spans="1:13">
      <c r="A673" s="2152" t="s">
        <v>789</v>
      </c>
      <c r="B673" s="2153"/>
      <c r="C673" s="779">
        <v>3.05</v>
      </c>
      <c r="D673" s="780">
        <v>39.81</v>
      </c>
      <c r="E673" s="2261"/>
      <c r="F673" s="2262"/>
      <c r="G673" s="2263"/>
      <c r="H673" s="652"/>
      <c r="I673" s="652"/>
      <c r="J673" s="652"/>
      <c r="K673" s="652"/>
      <c r="L673" s="652"/>
      <c r="M673" s="652"/>
    </row>
    <row r="674" spans="1:13">
      <c r="A674" s="2152" t="s">
        <v>790</v>
      </c>
      <c r="B674" s="2153"/>
      <c r="C674" s="779">
        <v>13.39</v>
      </c>
      <c r="D674" s="780">
        <v>39.81</v>
      </c>
      <c r="E674" s="2261"/>
      <c r="F674" s="2262"/>
      <c r="G674" s="2263"/>
      <c r="H674" s="652"/>
      <c r="I674" s="652"/>
      <c r="J674" s="652"/>
      <c r="K674" s="652"/>
      <c r="L674" s="652"/>
      <c r="M674" s="652"/>
    </row>
    <row r="675" spans="1:13" ht="15.75" thickBot="1">
      <c r="A675" s="781"/>
      <c r="B675" s="782"/>
      <c r="C675" s="783" t="s">
        <v>283</v>
      </c>
      <c r="D675" s="784">
        <f>SUM(D663:D674)</f>
        <v>477.72</v>
      </c>
      <c r="E675" s="2264"/>
      <c r="F675" s="2265"/>
      <c r="G675" s="2266"/>
      <c r="H675" s="652"/>
      <c r="I675" s="652"/>
      <c r="J675" s="652"/>
      <c r="K675" s="652"/>
      <c r="L675" s="652"/>
      <c r="M675" s="652"/>
    </row>
    <row r="676" spans="1:13" ht="15.75" thickBot="1">
      <c r="A676" s="836"/>
      <c r="B676" s="837"/>
      <c r="C676" s="837"/>
      <c r="D676" s="837"/>
      <c r="E676" s="837"/>
      <c r="F676" s="837"/>
      <c r="G676" s="838"/>
      <c r="H676" s="652"/>
      <c r="I676" s="652"/>
      <c r="J676" s="652"/>
      <c r="K676" s="652"/>
      <c r="L676" s="652"/>
      <c r="M676" s="652"/>
    </row>
    <row r="677" spans="1:13" ht="15.75" thickBot="1">
      <c r="A677" s="666">
        <v>10</v>
      </c>
      <c r="B677" s="2163" t="s">
        <v>364</v>
      </c>
      <c r="C677" s="2164"/>
      <c r="D677" s="2164"/>
      <c r="E677" s="2164"/>
      <c r="F677" s="2164"/>
      <c r="G677" s="2165"/>
      <c r="H677" s="652"/>
      <c r="I677" s="652"/>
      <c r="J677" s="652"/>
      <c r="K677" s="652"/>
      <c r="L677" s="652"/>
      <c r="M677" s="652"/>
    </row>
    <row r="678" spans="1:13" ht="15.75" thickBot="1">
      <c r="A678" s="666" t="s">
        <v>76</v>
      </c>
      <c r="B678" s="2163" t="s">
        <v>791</v>
      </c>
      <c r="C678" s="2164"/>
      <c r="D678" s="2164"/>
      <c r="E678" s="2164"/>
      <c r="F678" s="2164"/>
      <c r="G678" s="2165"/>
      <c r="H678" s="652"/>
      <c r="I678" s="652"/>
      <c r="J678" s="652"/>
      <c r="K678" s="652"/>
      <c r="L678" s="652"/>
      <c r="M678" s="652"/>
    </row>
    <row r="679" spans="1:13">
      <c r="A679" s="2166" t="s">
        <v>365</v>
      </c>
      <c r="B679" s="2167"/>
      <c r="C679" s="2167"/>
      <c r="D679" s="2167"/>
      <c r="E679" s="2167"/>
      <c r="F679" s="2167"/>
      <c r="G679" s="2168"/>
      <c r="H679" s="652"/>
      <c r="I679" s="652"/>
      <c r="J679" s="652"/>
      <c r="K679" s="652"/>
      <c r="L679" s="652"/>
      <c r="M679" s="652"/>
    </row>
    <row r="680" spans="1:13">
      <c r="A680" s="2169" t="s">
        <v>366</v>
      </c>
      <c r="B680" s="2170"/>
      <c r="C680" s="2170"/>
      <c r="D680" s="2170"/>
      <c r="E680" s="2170"/>
      <c r="F680" s="2170"/>
      <c r="G680" s="2171"/>
      <c r="H680" s="652"/>
      <c r="I680" s="652"/>
      <c r="J680" s="652"/>
      <c r="K680" s="652"/>
      <c r="L680" s="652"/>
      <c r="M680" s="652"/>
    </row>
    <row r="681" spans="1:13" ht="24">
      <c r="A681" s="2172" t="s">
        <v>367</v>
      </c>
      <c r="B681" s="2173"/>
      <c r="C681" s="682" t="s">
        <v>281</v>
      </c>
      <c r="D681" s="682" t="s">
        <v>792</v>
      </c>
      <c r="E681" s="2174" t="s">
        <v>282</v>
      </c>
      <c r="F681" s="2175"/>
      <c r="G681" s="2176"/>
      <c r="H681" s="652"/>
      <c r="I681" s="652"/>
      <c r="J681" s="652"/>
      <c r="K681" s="652"/>
      <c r="L681" s="652"/>
      <c r="M681" s="652"/>
    </row>
    <row r="682" spans="1:13" ht="27" customHeight="1">
      <c r="A682" s="2152" t="s">
        <v>793</v>
      </c>
      <c r="B682" s="2153"/>
      <c r="C682" s="742" t="s">
        <v>794</v>
      </c>
      <c r="D682" s="718">
        <f>3.18+2.78+2.78</f>
        <v>8.74</v>
      </c>
      <c r="E682" s="2179" t="s">
        <v>374</v>
      </c>
      <c r="F682" s="2180"/>
      <c r="G682" s="2181"/>
      <c r="H682" s="652"/>
      <c r="I682" s="652"/>
      <c r="J682" s="652"/>
      <c r="K682" s="652"/>
      <c r="L682" s="652"/>
      <c r="M682" s="652"/>
    </row>
    <row r="683" spans="1:13">
      <c r="A683" s="2152" t="s">
        <v>795</v>
      </c>
      <c r="B683" s="2153"/>
      <c r="C683" s="742" t="s">
        <v>796</v>
      </c>
      <c r="D683" s="718">
        <f>7.7+7.68+7.68</f>
        <v>23.06</v>
      </c>
      <c r="E683" s="2179" t="s">
        <v>375</v>
      </c>
      <c r="F683" s="2180"/>
      <c r="G683" s="2181"/>
      <c r="H683" s="652"/>
      <c r="I683" s="652"/>
      <c r="J683" s="652"/>
      <c r="K683" s="652"/>
      <c r="L683" s="652"/>
      <c r="M683" s="652"/>
    </row>
    <row r="684" spans="1:13" ht="48">
      <c r="A684" s="2152" t="s">
        <v>797</v>
      </c>
      <c r="B684" s="2153"/>
      <c r="C684" s="742" t="s">
        <v>798</v>
      </c>
      <c r="D684" s="718">
        <f>34.87+72.37+10.55+16+19.64+20+30.21+10.61</f>
        <v>214.25</v>
      </c>
      <c r="E684" s="2179" t="s">
        <v>376</v>
      </c>
      <c r="F684" s="2180"/>
      <c r="G684" s="2181"/>
      <c r="H684" s="652"/>
      <c r="I684" s="652">
        <f>8.74+23.06+214.25</f>
        <v>246.05</v>
      </c>
      <c r="J684" s="652"/>
      <c r="K684" s="652"/>
      <c r="L684" s="652"/>
      <c r="M684" s="652"/>
    </row>
    <row r="685" spans="1:13" ht="31.5" customHeight="1">
      <c r="A685" s="2152" t="s">
        <v>799</v>
      </c>
      <c r="B685" s="2153"/>
      <c r="C685" s="803" t="s">
        <v>800</v>
      </c>
      <c r="D685" s="779">
        <f>66.73+13.7+31.95+4.46+68.14+108.42</f>
        <v>293.40000000000003</v>
      </c>
      <c r="E685" s="2179" t="s">
        <v>801</v>
      </c>
      <c r="F685" s="2180"/>
      <c r="G685" s="2181"/>
      <c r="H685" s="652"/>
      <c r="I685" s="652"/>
      <c r="J685" s="652"/>
      <c r="K685" s="652"/>
      <c r="L685" s="652"/>
      <c r="M685" s="652"/>
    </row>
    <row r="686" spans="1:13">
      <c r="A686" s="2235"/>
      <c r="B686" s="2236"/>
      <c r="C686" s="779"/>
      <c r="D686" s="779"/>
      <c r="E686" s="2154"/>
      <c r="F686" s="2155"/>
      <c r="G686" s="2156"/>
      <c r="H686" s="652"/>
      <c r="I686" s="652"/>
      <c r="J686" s="652"/>
      <c r="K686" s="652"/>
      <c r="L686" s="652"/>
      <c r="M686" s="652"/>
    </row>
    <row r="687" spans="1:13" ht="15.75" thickBot="1">
      <c r="A687" s="2157" t="s">
        <v>363</v>
      </c>
      <c r="B687" s="2158"/>
      <c r="C687" s="2159"/>
      <c r="D687" s="839">
        <f>SUM(D682:D686)</f>
        <v>539.45000000000005</v>
      </c>
      <c r="E687" s="2222"/>
      <c r="F687" s="2223"/>
      <c r="G687" s="2224"/>
      <c r="H687" s="652"/>
      <c r="I687" s="652"/>
      <c r="J687" s="652"/>
      <c r="K687" s="652"/>
      <c r="L687" s="652"/>
      <c r="M687" s="652"/>
    </row>
    <row r="688" spans="1:13" ht="15.75" thickBot="1">
      <c r="A688" s="785"/>
      <c r="B688" s="773"/>
      <c r="C688" s="773"/>
      <c r="D688" s="729"/>
      <c r="E688" s="772"/>
      <c r="F688" s="772"/>
      <c r="G688" s="840"/>
      <c r="H688" s="652"/>
      <c r="I688" s="652"/>
      <c r="J688" s="652"/>
      <c r="K688" s="652"/>
      <c r="L688" s="652"/>
      <c r="M688" s="652"/>
    </row>
    <row r="689" spans="1:13" ht="15.75" thickBot="1">
      <c r="A689" s="666" t="s">
        <v>77</v>
      </c>
      <c r="B689" s="2163" t="s">
        <v>368</v>
      </c>
      <c r="C689" s="2164"/>
      <c r="D689" s="2164"/>
      <c r="E689" s="2164"/>
      <c r="F689" s="2164"/>
      <c r="G689" s="2165"/>
      <c r="H689" s="652"/>
      <c r="I689" s="652"/>
      <c r="J689" s="652"/>
      <c r="K689" s="652"/>
      <c r="L689" s="652"/>
      <c r="M689" s="652"/>
    </row>
    <row r="690" spans="1:13">
      <c r="A690" s="2166" t="s">
        <v>365</v>
      </c>
      <c r="B690" s="2167"/>
      <c r="C690" s="2167"/>
      <c r="D690" s="2167"/>
      <c r="E690" s="2167"/>
      <c r="F690" s="2167"/>
      <c r="G690" s="2168"/>
      <c r="H690" s="652"/>
      <c r="I690" s="652"/>
      <c r="J690" s="652"/>
      <c r="K690" s="652"/>
      <c r="L690" s="652"/>
      <c r="M690" s="652"/>
    </row>
    <row r="691" spans="1:13">
      <c r="A691" s="2169" t="s">
        <v>366</v>
      </c>
      <c r="B691" s="2170"/>
      <c r="C691" s="2170"/>
      <c r="D691" s="2170"/>
      <c r="E691" s="2170"/>
      <c r="F691" s="2170"/>
      <c r="G691" s="2171"/>
      <c r="H691" s="652"/>
      <c r="I691" s="652"/>
      <c r="J691" s="652"/>
      <c r="K691" s="652"/>
      <c r="L691" s="652"/>
      <c r="M691" s="652"/>
    </row>
    <row r="692" spans="1:13" ht="24">
      <c r="A692" s="2172" t="s">
        <v>367</v>
      </c>
      <c r="B692" s="2173"/>
      <c r="C692" s="682" t="s">
        <v>281</v>
      </c>
      <c r="D692" s="682" t="s">
        <v>792</v>
      </c>
      <c r="E692" s="2174" t="s">
        <v>282</v>
      </c>
      <c r="F692" s="2175"/>
      <c r="G692" s="2176"/>
      <c r="H692" s="652"/>
      <c r="I692" s="652"/>
      <c r="J692" s="652"/>
      <c r="K692" s="652"/>
      <c r="L692" s="652"/>
      <c r="M692" s="652"/>
    </row>
    <row r="693" spans="1:13" ht="27.75" customHeight="1">
      <c r="A693" s="2152" t="s">
        <v>793</v>
      </c>
      <c r="B693" s="2153"/>
      <c r="C693" s="742" t="s">
        <v>794</v>
      </c>
      <c r="D693" s="718">
        <f>3.18+2.78+2.78</f>
        <v>8.74</v>
      </c>
      <c r="E693" s="2179" t="s">
        <v>374</v>
      </c>
      <c r="F693" s="2180"/>
      <c r="G693" s="2181"/>
      <c r="H693" s="652"/>
      <c r="I693" s="652"/>
      <c r="J693" s="652"/>
      <c r="K693" s="652"/>
      <c r="L693" s="652"/>
      <c r="M693" s="652"/>
    </row>
    <row r="694" spans="1:13">
      <c r="A694" s="2152" t="s">
        <v>795</v>
      </c>
      <c r="B694" s="2153"/>
      <c r="C694" s="742" t="s">
        <v>796</v>
      </c>
      <c r="D694" s="718">
        <f>7.7+7.68+7.68</f>
        <v>23.06</v>
      </c>
      <c r="E694" s="2179" t="s">
        <v>375</v>
      </c>
      <c r="F694" s="2180"/>
      <c r="G694" s="2181"/>
      <c r="H694" s="652"/>
      <c r="I694" s="652"/>
      <c r="J694" s="652"/>
      <c r="K694" s="652"/>
      <c r="L694" s="652"/>
      <c r="M694" s="652"/>
    </row>
    <row r="695" spans="1:13" ht="48">
      <c r="A695" s="2152" t="s">
        <v>797</v>
      </c>
      <c r="B695" s="2153"/>
      <c r="C695" s="742" t="s">
        <v>798</v>
      </c>
      <c r="D695" s="718">
        <f>34.87+72.37+10.55+16+19.64+20+30.21+10.61</f>
        <v>214.25</v>
      </c>
      <c r="E695" s="2179" t="s">
        <v>376</v>
      </c>
      <c r="F695" s="2180"/>
      <c r="G695" s="2181"/>
      <c r="H695" s="652"/>
      <c r="I695" s="652">
        <f>8.74+23.06+214.25</f>
        <v>246.05</v>
      </c>
      <c r="J695" s="652"/>
      <c r="K695" s="652"/>
      <c r="L695" s="652"/>
      <c r="M695" s="652"/>
    </row>
    <row r="696" spans="1:13" ht="24">
      <c r="A696" s="2152" t="s">
        <v>802</v>
      </c>
      <c r="B696" s="2153"/>
      <c r="C696" s="803" t="s">
        <v>803</v>
      </c>
      <c r="D696" s="779">
        <f>66.73+13.7+31.95+4.46</f>
        <v>116.84</v>
      </c>
      <c r="E696" s="2179" t="s">
        <v>801</v>
      </c>
      <c r="F696" s="2180"/>
      <c r="G696" s="2181"/>
      <c r="H696" s="652"/>
      <c r="I696" s="652"/>
      <c r="J696" s="652"/>
      <c r="K696" s="652"/>
      <c r="L696" s="652"/>
      <c r="M696" s="652"/>
    </row>
    <row r="697" spans="1:13" ht="15.75" thickBot="1">
      <c r="A697" s="2157" t="s">
        <v>363</v>
      </c>
      <c r="B697" s="2158"/>
      <c r="C697" s="2159"/>
      <c r="D697" s="839">
        <f>SUM(D693:D696)</f>
        <v>362.89</v>
      </c>
      <c r="E697" s="2222"/>
      <c r="F697" s="2223"/>
      <c r="G697" s="2224"/>
      <c r="H697" s="652"/>
      <c r="I697" s="652"/>
      <c r="J697" s="652"/>
      <c r="K697" s="652"/>
      <c r="L697" s="652"/>
      <c r="M697" s="652"/>
    </row>
    <row r="698" spans="1:13" ht="15.75" thickBot="1">
      <c r="A698" s="2232"/>
      <c r="B698" s="2233"/>
      <c r="C698" s="2233"/>
      <c r="D698" s="2233"/>
      <c r="E698" s="2233"/>
      <c r="F698" s="2233"/>
      <c r="G698" s="2234"/>
      <c r="H698" s="652"/>
      <c r="I698" s="652"/>
      <c r="J698" s="652"/>
      <c r="K698" s="652"/>
      <c r="L698" s="652"/>
      <c r="M698" s="652"/>
    </row>
    <row r="699" spans="1:13" ht="15.75" thickBot="1">
      <c r="A699" s="666" t="s">
        <v>78</v>
      </c>
      <c r="B699" s="2163" t="s">
        <v>804</v>
      </c>
      <c r="C699" s="2164"/>
      <c r="D699" s="2164"/>
      <c r="E699" s="2164"/>
      <c r="F699" s="2164"/>
      <c r="G699" s="2165"/>
      <c r="H699" s="652"/>
      <c r="I699" s="652"/>
      <c r="J699" s="652"/>
      <c r="K699" s="652"/>
      <c r="L699" s="652"/>
      <c r="M699" s="652"/>
    </row>
    <row r="700" spans="1:13">
      <c r="A700" s="2166" t="s">
        <v>365</v>
      </c>
      <c r="B700" s="2167"/>
      <c r="C700" s="2167"/>
      <c r="D700" s="2167"/>
      <c r="E700" s="2167"/>
      <c r="F700" s="2167"/>
      <c r="G700" s="2168"/>
      <c r="H700" s="652"/>
      <c r="I700" s="652"/>
      <c r="J700" s="652"/>
      <c r="K700" s="652"/>
      <c r="L700" s="652"/>
      <c r="M700" s="652"/>
    </row>
    <row r="701" spans="1:13">
      <c r="A701" s="2169" t="s">
        <v>366</v>
      </c>
      <c r="B701" s="2170"/>
      <c r="C701" s="2170"/>
      <c r="D701" s="2170"/>
      <c r="E701" s="2170"/>
      <c r="F701" s="2170"/>
      <c r="G701" s="2171"/>
      <c r="H701" s="652"/>
      <c r="I701" s="652"/>
      <c r="J701" s="652"/>
      <c r="K701" s="652"/>
      <c r="L701" s="652"/>
      <c r="M701" s="652"/>
    </row>
    <row r="702" spans="1:13" ht="24">
      <c r="A702" s="2172" t="s">
        <v>367</v>
      </c>
      <c r="B702" s="2173"/>
      <c r="C702" s="682" t="s">
        <v>281</v>
      </c>
      <c r="D702" s="682" t="s">
        <v>792</v>
      </c>
      <c r="E702" s="2174" t="s">
        <v>282</v>
      </c>
      <c r="F702" s="2175"/>
      <c r="G702" s="2176"/>
      <c r="H702" s="652"/>
      <c r="I702" s="652"/>
      <c r="J702" s="652"/>
      <c r="K702" s="652"/>
      <c r="L702" s="652"/>
      <c r="M702" s="652"/>
    </row>
    <row r="703" spans="1:13">
      <c r="A703" s="2152" t="s">
        <v>805</v>
      </c>
      <c r="B703" s="2153"/>
      <c r="C703" s="742" t="s">
        <v>806</v>
      </c>
      <c r="D703" s="718">
        <f>68.14+108.42</f>
        <v>176.56</v>
      </c>
      <c r="E703" s="2154"/>
      <c r="F703" s="2155"/>
      <c r="G703" s="2156"/>
      <c r="H703" s="652"/>
      <c r="I703" s="652"/>
      <c r="J703" s="652"/>
      <c r="K703" s="652"/>
      <c r="L703" s="652"/>
      <c r="M703" s="652"/>
    </row>
    <row r="704" spans="1:13" ht="15.75" thickBot="1">
      <c r="A704" s="2157" t="s">
        <v>363</v>
      </c>
      <c r="B704" s="2158"/>
      <c r="C704" s="2159"/>
      <c r="D704" s="839">
        <f>SUM(D700:D703)</f>
        <v>176.56</v>
      </c>
      <c r="E704" s="2222"/>
      <c r="F704" s="2223"/>
      <c r="G704" s="2224"/>
      <c r="H704" s="652"/>
      <c r="I704" s="652"/>
      <c r="J704" s="652"/>
      <c r="K704" s="652"/>
      <c r="L704" s="652"/>
      <c r="M704" s="652"/>
    </row>
    <row r="705" spans="1:13" ht="15.75" thickBot="1">
      <c r="A705" s="824"/>
      <c r="B705" s="825"/>
      <c r="C705" s="825"/>
      <c r="D705" s="825"/>
      <c r="E705" s="825"/>
      <c r="F705" s="825"/>
      <c r="G705" s="826"/>
      <c r="H705" s="652"/>
      <c r="I705" s="652"/>
      <c r="J705" s="652"/>
      <c r="K705" s="652"/>
      <c r="L705" s="652"/>
      <c r="M705" s="652"/>
    </row>
    <row r="706" spans="1:13" ht="15.75" thickBot="1">
      <c r="A706" s="666" t="s">
        <v>79</v>
      </c>
      <c r="B706" s="2163" t="s">
        <v>807</v>
      </c>
      <c r="C706" s="2164"/>
      <c r="D706" s="2164"/>
      <c r="E706" s="2164"/>
      <c r="F706" s="2164"/>
      <c r="G706" s="2165"/>
      <c r="H706" s="652"/>
      <c r="I706" s="652"/>
      <c r="J706" s="652"/>
      <c r="K706" s="652"/>
      <c r="L706" s="652"/>
      <c r="M706" s="652"/>
    </row>
    <row r="707" spans="1:13">
      <c r="A707" s="2166" t="s">
        <v>365</v>
      </c>
      <c r="B707" s="2167"/>
      <c r="C707" s="2167"/>
      <c r="D707" s="2167"/>
      <c r="E707" s="2167"/>
      <c r="F707" s="2167"/>
      <c r="G707" s="2168"/>
      <c r="H707" s="652"/>
      <c r="I707" s="652"/>
      <c r="J707" s="652"/>
      <c r="K707" s="652"/>
      <c r="L707" s="652"/>
      <c r="M707" s="652"/>
    </row>
    <row r="708" spans="1:13">
      <c r="A708" s="2169" t="s">
        <v>366</v>
      </c>
      <c r="B708" s="2170"/>
      <c r="C708" s="2170"/>
      <c r="D708" s="2170"/>
      <c r="E708" s="2170"/>
      <c r="F708" s="2170"/>
      <c r="G708" s="2171"/>
      <c r="H708" s="652"/>
      <c r="I708" s="652"/>
      <c r="J708" s="652"/>
      <c r="K708" s="652"/>
      <c r="L708" s="652"/>
      <c r="M708" s="652"/>
    </row>
    <row r="709" spans="1:13" ht="24">
      <c r="A709" s="2172" t="s">
        <v>367</v>
      </c>
      <c r="B709" s="2173"/>
      <c r="C709" s="682" t="s">
        <v>281</v>
      </c>
      <c r="D709" s="682" t="s">
        <v>792</v>
      </c>
      <c r="E709" s="2174" t="s">
        <v>282</v>
      </c>
      <c r="F709" s="2175"/>
      <c r="G709" s="2176"/>
      <c r="H709" s="652"/>
      <c r="I709" s="652"/>
      <c r="J709" s="652"/>
      <c r="K709" s="652"/>
      <c r="L709" s="652"/>
      <c r="M709" s="652"/>
    </row>
    <row r="710" spans="1:13" ht="24" customHeight="1">
      <c r="A710" s="2152" t="s">
        <v>793</v>
      </c>
      <c r="B710" s="2153"/>
      <c r="C710" s="742" t="s">
        <v>794</v>
      </c>
      <c r="D710" s="718">
        <f>3.18+2.78+2.78</f>
        <v>8.74</v>
      </c>
      <c r="E710" s="2179" t="s">
        <v>374</v>
      </c>
      <c r="F710" s="2180"/>
      <c r="G710" s="2181"/>
      <c r="H710" s="652"/>
      <c r="I710" s="652"/>
      <c r="J710" s="652"/>
      <c r="K710" s="652"/>
      <c r="L710" s="652"/>
      <c r="M710" s="652"/>
    </row>
    <row r="711" spans="1:13">
      <c r="A711" s="2152" t="s">
        <v>795</v>
      </c>
      <c r="B711" s="2153"/>
      <c r="C711" s="742" t="s">
        <v>796</v>
      </c>
      <c r="D711" s="718">
        <f>7.7+7.68+7.68</f>
        <v>23.06</v>
      </c>
      <c r="E711" s="2179" t="s">
        <v>375</v>
      </c>
      <c r="F711" s="2180"/>
      <c r="G711" s="2181"/>
      <c r="H711" s="652"/>
      <c r="I711" s="652"/>
      <c r="J711" s="652"/>
      <c r="K711" s="652"/>
      <c r="L711" s="652"/>
      <c r="M711" s="652"/>
    </row>
    <row r="712" spans="1:13" ht="42.75" customHeight="1">
      <c r="A712" s="2152" t="s">
        <v>797</v>
      </c>
      <c r="B712" s="2153"/>
      <c r="C712" s="742" t="s">
        <v>798</v>
      </c>
      <c r="D712" s="718">
        <f>34.87+72.37+10.55+16+19.64+20+30.21+10.61</f>
        <v>214.25</v>
      </c>
      <c r="E712" s="2179" t="s">
        <v>376</v>
      </c>
      <c r="F712" s="2180"/>
      <c r="G712" s="2181"/>
      <c r="H712" s="652"/>
      <c r="I712" s="652"/>
      <c r="J712" s="652"/>
      <c r="K712" s="652"/>
      <c r="L712" s="652"/>
      <c r="M712" s="652"/>
    </row>
    <row r="713" spans="1:13" ht="15.75" thickBot="1">
      <c r="A713" s="2157" t="s">
        <v>363</v>
      </c>
      <c r="B713" s="2158"/>
      <c r="C713" s="2159"/>
      <c r="D713" s="839">
        <f>SUM(D710:D712)</f>
        <v>246.05</v>
      </c>
      <c r="E713" s="2222"/>
      <c r="F713" s="2223"/>
      <c r="G713" s="2224"/>
      <c r="H713" s="652"/>
      <c r="I713" s="652"/>
      <c r="J713" s="652"/>
      <c r="K713" s="652"/>
      <c r="L713" s="652"/>
      <c r="M713" s="652"/>
    </row>
    <row r="714" spans="1:13" ht="15.75" thickBot="1">
      <c r="A714" s="717"/>
      <c r="B714" s="754"/>
      <c r="C714" s="754"/>
      <c r="D714" s="754"/>
      <c r="E714" s="755"/>
      <c r="F714" s="755"/>
      <c r="G714" s="841"/>
      <c r="H714" s="652"/>
      <c r="I714" s="652"/>
      <c r="J714" s="652"/>
      <c r="K714" s="652"/>
      <c r="L714" s="652"/>
      <c r="M714" s="652"/>
    </row>
    <row r="715" spans="1:13" ht="15.75" thickBot="1">
      <c r="A715" s="666" t="s">
        <v>236</v>
      </c>
      <c r="B715" s="2163" t="s">
        <v>808</v>
      </c>
      <c r="C715" s="2164"/>
      <c r="D715" s="2164"/>
      <c r="E715" s="2164"/>
      <c r="F715" s="2164"/>
      <c r="G715" s="2165"/>
      <c r="H715" s="652"/>
      <c r="I715" s="652"/>
      <c r="J715" s="652"/>
      <c r="K715" s="652"/>
      <c r="L715" s="652"/>
      <c r="M715" s="652"/>
    </row>
    <row r="716" spans="1:13">
      <c r="A716" s="2166" t="s">
        <v>365</v>
      </c>
      <c r="B716" s="2167"/>
      <c r="C716" s="2167"/>
      <c r="D716" s="2167"/>
      <c r="E716" s="2167"/>
      <c r="F716" s="2167"/>
      <c r="G716" s="2168"/>
      <c r="H716" s="652"/>
      <c r="I716" s="652"/>
      <c r="J716" s="652"/>
      <c r="K716" s="652"/>
      <c r="L716" s="652"/>
      <c r="M716" s="652"/>
    </row>
    <row r="717" spans="1:13">
      <c r="A717" s="2169" t="s">
        <v>366</v>
      </c>
      <c r="B717" s="2170"/>
      <c r="C717" s="2170"/>
      <c r="D717" s="2170"/>
      <c r="E717" s="2170"/>
      <c r="F717" s="2170"/>
      <c r="G717" s="2171"/>
      <c r="H717" s="652"/>
      <c r="I717" s="652"/>
      <c r="J717" s="652"/>
      <c r="K717" s="652"/>
      <c r="L717" s="652"/>
      <c r="M717" s="652"/>
    </row>
    <row r="718" spans="1:13" ht="24">
      <c r="A718" s="2172" t="s">
        <v>367</v>
      </c>
      <c r="B718" s="2173"/>
      <c r="C718" s="682" t="s">
        <v>281</v>
      </c>
      <c r="D718" s="682" t="s">
        <v>792</v>
      </c>
      <c r="E718" s="2174" t="s">
        <v>282</v>
      </c>
      <c r="F718" s="2175"/>
      <c r="G718" s="2176"/>
      <c r="H718" s="652"/>
      <c r="I718" s="652"/>
      <c r="J718" s="652"/>
      <c r="K718" s="652"/>
      <c r="L718" s="652"/>
      <c r="M718" s="652"/>
    </row>
    <row r="719" spans="1:13" ht="26.25" customHeight="1">
      <c r="A719" s="2152" t="s">
        <v>793</v>
      </c>
      <c r="B719" s="2153"/>
      <c r="C719" s="742" t="s">
        <v>794</v>
      </c>
      <c r="D719" s="718">
        <f>3.18+2.78+2.78</f>
        <v>8.74</v>
      </c>
      <c r="E719" s="2179" t="s">
        <v>374</v>
      </c>
      <c r="F719" s="2180"/>
      <c r="G719" s="2181"/>
      <c r="H719" s="652"/>
      <c r="I719" s="652"/>
      <c r="J719" s="652"/>
      <c r="K719" s="652"/>
      <c r="L719" s="652"/>
      <c r="M719" s="652"/>
    </row>
    <row r="720" spans="1:13">
      <c r="A720" s="2152" t="s">
        <v>795</v>
      </c>
      <c r="B720" s="2153"/>
      <c r="C720" s="742" t="s">
        <v>796</v>
      </c>
      <c r="D720" s="718">
        <f>7.7+7.68+7.68</f>
        <v>23.06</v>
      </c>
      <c r="E720" s="2179" t="s">
        <v>375</v>
      </c>
      <c r="F720" s="2180"/>
      <c r="G720" s="2181"/>
      <c r="H720" s="652"/>
      <c r="I720" s="652"/>
      <c r="J720" s="652"/>
      <c r="K720" s="652"/>
      <c r="L720" s="652"/>
      <c r="M720" s="652"/>
    </row>
    <row r="721" spans="1:13" ht="48">
      <c r="A721" s="2152" t="s">
        <v>797</v>
      </c>
      <c r="B721" s="2153"/>
      <c r="C721" s="742" t="s">
        <v>798</v>
      </c>
      <c r="D721" s="718">
        <f>34.87+72.37+10.55+16+19.64+20+30.21+10.61</f>
        <v>214.25</v>
      </c>
      <c r="E721" s="2179" t="s">
        <v>376</v>
      </c>
      <c r="F721" s="2180"/>
      <c r="G721" s="2181"/>
      <c r="H721" s="652"/>
      <c r="I721" s="652"/>
      <c r="J721" s="652"/>
      <c r="K721" s="652"/>
      <c r="L721" s="652"/>
      <c r="M721" s="652"/>
    </row>
    <row r="722" spans="1:13" ht="15.75" thickBot="1">
      <c r="A722" s="2157" t="s">
        <v>363</v>
      </c>
      <c r="B722" s="2158"/>
      <c r="C722" s="2159"/>
      <c r="D722" s="839">
        <f>SUM(D719:D721)</f>
        <v>246.05</v>
      </c>
      <c r="E722" s="2222"/>
      <c r="F722" s="2223"/>
      <c r="G722" s="2224"/>
      <c r="H722" s="652"/>
      <c r="I722" s="652"/>
      <c r="J722" s="652"/>
      <c r="K722" s="652"/>
      <c r="L722" s="652"/>
      <c r="M722" s="652"/>
    </row>
    <row r="723" spans="1:13" ht="15.75" thickBot="1">
      <c r="A723" s="842"/>
      <c r="B723" s="755"/>
      <c r="C723" s="755"/>
      <c r="D723" s="733"/>
      <c r="E723" s="789"/>
      <c r="F723" s="789"/>
      <c r="G723" s="843"/>
      <c r="H723" s="652"/>
      <c r="I723" s="652"/>
      <c r="J723" s="652"/>
      <c r="K723" s="652"/>
      <c r="L723" s="652"/>
      <c r="M723" s="652"/>
    </row>
    <row r="724" spans="1:13" ht="15.75" thickBot="1">
      <c r="A724" s="666" t="s">
        <v>237</v>
      </c>
      <c r="B724" s="2163" t="s">
        <v>809</v>
      </c>
      <c r="C724" s="2164"/>
      <c r="D724" s="2164"/>
      <c r="E724" s="2164"/>
      <c r="F724" s="2164"/>
      <c r="G724" s="2165"/>
      <c r="H724" s="652"/>
      <c r="I724" s="652"/>
      <c r="J724" s="652"/>
      <c r="K724" s="652"/>
      <c r="L724" s="652"/>
      <c r="M724" s="652"/>
    </row>
    <row r="725" spans="1:13">
      <c r="A725" s="2166" t="s">
        <v>810</v>
      </c>
      <c r="B725" s="2167"/>
      <c r="C725" s="2167"/>
      <c r="D725" s="2167"/>
      <c r="E725" s="2167"/>
      <c r="F725" s="2167"/>
      <c r="G725" s="2168"/>
      <c r="H725" s="652"/>
      <c r="I725" s="652"/>
      <c r="J725" s="652"/>
      <c r="K725" s="652"/>
      <c r="L725" s="652"/>
      <c r="M725" s="652"/>
    </row>
    <row r="726" spans="1:13">
      <c r="A726" s="2169" t="s">
        <v>811</v>
      </c>
      <c r="B726" s="2170"/>
      <c r="C726" s="2170"/>
      <c r="D726" s="2170"/>
      <c r="E726" s="2170"/>
      <c r="F726" s="2170"/>
      <c r="G726" s="2171"/>
      <c r="H726" s="652"/>
      <c r="I726" s="652"/>
      <c r="J726" s="652"/>
      <c r="K726" s="652"/>
      <c r="L726" s="652"/>
      <c r="M726" s="652"/>
    </row>
    <row r="727" spans="1:13" ht="36">
      <c r="A727" s="2172" t="s">
        <v>367</v>
      </c>
      <c r="B727" s="2173"/>
      <c r="C727" s="682" t="s">
        <v>812</v>
      </c>
      <c r="D727" s="682" t="s">
        <v>813</v>
      </c>
      <c r="E727" s="682" t="s">
        <v>334</v>
      </c>
      <c r="F727" s="2174" t="s">
        <v>282</v>
      </c>
      <c r="G727" s="2176"/>
      <c r="H727" s="652"/>
      <c r="I727" s="652"/>
      <c r="J727" s="652"/>
      <c r="K727" s="652"/>
      <c r="L727" s="652"/>
      <c r="M727" s="652"/>
    </row>
    <row r="728" spans="1:13">
      <c r="A728" s="2256" t="s">
        <v>814</v>
      </c>
      <c r="B728" s="2257"/>
      <c r="C728" s="2314" t="s">
        <v>2004</v>
      </c>
      <c r="D728" s="2314" t="s">
        <v>815</v>
      </c>
      <c r="E728" s="2317">
        <f>(15.7+19.2+15.2+12.2+33.6+22.7+13.3)*0.15</f>
        <v>19.785</v>
      </c>
      <c r="F728" s="2211"/>
      <c r="G728" s="2213"/>
      <c r="H728" s="652"/>
      <c r="I728" s="652">
        <f>15.7+19.2+15.2+12.2+33.6+22.7+13.3</f>
        <v>131.9</v>
      </c>
      <c r="J728" s="652">
        <f>131.9*0.15</f>
        <v>19.785</v>
      </c>
      <c r="K728" s="652"/>
      <c r="L728" s="652"/>
      <c r="M728" s="652"/>
    </row>
    <row r="729" spans="1:13">
      <c r="A729" s="2310"/>
      <c r="B729" s="2311"/>
      <c r="C729" s="2315"/>
      <c r="D729" s="2315"/>
      <c r="E729" s="2318"/>
      <c r="F729" s="2267"/>
      <c r="G729" s="2269"/>
      <c r="H729" s="652"/>
      <c r="I729" s="652"/>
      <c r="J729" s="652"/>
      <c r="K729" s="652"/>
      <c r="L729" s="652"/>
      <c r="M729" s="652"/>
    </row>
    <row r="730" spans="1:13">
      <c r="A730" s="2312"/>
      <c r="B730" s="2313"/>
      <c r="C730" s="2316"/>
      <c r="D730" s="2316"/>
      <c r="E730" s="2319"/>
      <c r="F730" s="2214"/>
      <c r="G730" s="2216"/>
      <c r="H730" s="652"/>
      <c r="I730" s="652"/>
      <c r="J730" s="652"/>
      <c r="K730" s="652"/>
      <c r="L730" s="652"/>
      <c r="M730" s="652"/>
    </row>
    <row r="731" spans="1:13" ht="15.75" thickBot="1">
      <c r="A731" s="2157" t="s">
        <v>363</v>
      </c>
      <c r="B731" s="2158"/>
      <c r="C731" s="2159"/>
      <c r="D731" s="839">
        <f>E728</f>
        <v>19.785</v>
      </c>
      <c r="E731" s="798"/>
      <c r="F731" s="844"/>
      <c r="G731" s="799"/>
      <c r="H731" s="652"/>
      <c r="I731" s="652"/>
      <c r="J731" s="652"/>
      <c r="K731" s="652"/>
      <c r="L731" s="652"/>
      <c r="M731" s="652"/>
    </row>
    <row r="732" spans="1:13" ht="15.75" thickBot="1">
      <c r="A732" s="842"/>
      <c r="B732" s="755"/>
      <c r="C732" s="755"/>
      <c r="D732" s="733"/>
      <c r="E732" s="789"/>
      <c r="F732" s="789"/>
      <c r="G732" s="843"/>
      <c r="H732" s="652"/>
      <c r="I732" s="652"/>
      <c r="J732" s="652"/>
      <c r="K732" s="652"/>
      <c r="L732" s="652"/>
      <c r="M732" s="652"/>
    </row>
    <row r="733" spans="1:13" ht="15.75" thickBot="1">
      <c r="A733" s="666">
        <v>11</v>
      </c>
      <c r="B733" s="2163" t="s">
        <v>816</v>
      </c>
      <c r="C733" s="2164"/>
      <c r="D733" s="2164"/>
      <c r="E733" s="2164"/>
      <c r="F733" s="2164"/>
      <c r="G733" s="2165"/>
      <c r="H733" s="652"/>
      <c r="I733" s="652"/>
      <c r="J733" s="652"/>
      <c r="K733" s="652"/>
      <c r="L733" s="652"/>
      <c r="M733" s="652"/>
    </row>
    <row r="734" spans="1:13" ht="15.75" thickBot="1">
      <c r="A734" s="666" t="s">
        <v>81</v>
      </c>
      <c r="B734" s="2163" t="s">
        <v>817</v>
      </c>
      <c r="C734" s="2164"/>
      <c r="D734" s="2164"/>
      <c r="E734" s="2164"/>
      <c r="F734" s="2164"/>
      <c r="G734" s="2165"/>
      <c r="H734" s="652"/>
      <c r="I734" s="652"/>
      <c r="J734" s="652"/>
      <c r="K734" s="652"/>
      <c r="L734" s="652"/>
      <c r="M734" s="652"/>
    </row>
    <row r="735" spans="1:13">
      <c r="A735" s="2182" t="s">
        <v>279</v>
      </c>
      <c r="B735" s="2183"/>
      <c r="C735" s="2183"/>
      <c r="D735" s="2183"/>
      <c r="E735" s="2183"/>
      <c r="F735" s="2183"/>
      <c r="G735" s="2184"/>
      <c r="H735" s="652"/>
      <c r="I735" s="652"/>
      <c r="J735" s="652"/>
      <c r="K735" s="652"/>
      <c r="L735" s="652"/>
      <c r="M735" s="652"/>
    </row>
    <row r="736" spans="1:13">
      <c r="A736" s="2169" t="s">
        <v>818</v>
      </c>
      <c r="B736" s="2170"/>
      <c r="C736" s="2170"/>
      <c r="D736" s="2170"/>
      <c r="E736" s="2170"/>
      <c r="F736" s="2170"/>
      <c r="G736" s="2171"/>
      <c r="H736" s="652"/>
      <c r="I736" s="652"/>
      <c r="J736" s="652"/>
      <c r="K736" s="652"/>
      <c r="L736" s="652"/>
      <c r="M736" s="652"/>
    </row>
    <row r="737" spans="1:13">
      <c r="A737" s="681" t="s">
        <v>353</v>
      </c>
      <c r="B737" s="682" t="s">
        <v>298</v>
      </c>
      <c r="C737" s="682" t="s">
        <v>308</v>
      </c>
      <c r="D737" s="682" t="s">
        <v>309</v>
      </c>
      <c r="E737" s="682" t="s">
        <v>310</v>
      </c>
      <c r="F737" s="682" t="s">
        <v>311</v>
      </c>
      <c r="G737" s="740" t="s">
        <v>312</v>
      </c>
      <c r="H737" s="652"/>
      <c r="I737" s="652"/>
      <c r="J737" s="652"/>
      <c r="K737" s="652"/>
      <c r="L737" s="652"/>
      <c r="M737" s="652"/>
    </row>
    <row r="738" spans="1:13" ht="24">
      <c r="A738" s="696" t="s">
        <v>819</v>
      </c>
      <c r="B738" s="742" t="s">
        <v>820</v>
      </c>
      <c r="C738" s="718">
        <v>1.8</v>
      </c>
      <c r="D738" s="718">
        <f>ROUNDUP((((1.85+1.51)*1.8)),2)</f>
        <v>6.05</v>
      </c>
      <c r="E738" s="742" t="s">
        <v>821</v>
      </c>
      <c r="F738" s="718">
        <f>(0.8*1.6*2)+(0.16*2)</f>
        <v>2.8800000000000003</v>
      </c>
      <c r="G738" s="743">
        <f>ROUNDUP(D738-F738,2)</f>
        <v>3.17</v>
      </c>
      <c r="H738" s="652"/>
      <c r="I738" s="652"/>
      <c r="J738" s="652"/>
      <c r="K738" s="652"/>
      <c r="L738" s="652"/>
      <c r="M738" s="652"/>
    </row>
    <row r="739" spans="1:13" ht="24">
      <c r="A739" s="696" t="s">
        <v>822</v>
      </c>
      <c r="B739" s="742" t="s">
        <v>823</v>
      </c>
      <c r="C739" s="718">
        <v>2.8</v>
      </c>
      <c r="D739" s="718">
        <f>ROUNDUP((((1.85+1.51)*1.8)),2)</f>
        <v>6.05</v>
      </c>
      <c r="E739" s="742" t="s">
        <v>821</v>
      </c>
      <c r="F739" s="718">
        <f>(0.8*1.6*2)+(0.16*2)</f>
        <v>2.8800000000000003</v>
      </c>
      <c r="G739" s="743">
        <f>ROUNDUP(D739-F739,2)</f>
        <v>3.17</v>
      </c>
      <c r="H739" s="652"/>
      <c r="I739" s="652"/>
      <c r="J739" s="652"/>
      <c r="K739" s="652"/>
      <c r="L739" s="652"/>
      <c r="M739" s="652"/>
    </row>
    <row r="740" spans="1:13" ht="15.75" thickBot="1">
      <c r="A740" s="2307" t="s">
        <v>283</v>
      </c>
      <c r="B740" s="2308"/>
      <c r="C740" s="2308"/>
      <c r="D740" s="2308"/>
      <c r="E740" s="2308"/>
      <c r="F740" s="2309"/>
      <c r="G740" s="827">
        <f>ROUNDUP(G738+G739,2)</f>
        <v>6.34</v>
      </c>
      <c r="H740" s="652"/>
      <c r="I740" s="652"/>
      <c r="J740" s="652"/>
      <c r="K740" s="652"/>
      <c r="L740" s="652"/>
      <c r="M740" s="652"/>
    </row>
    <row r="741" spans="1:13" ht="15.75" thickBot="1">
      <c r="A741" s="788"/>
      <c r="B741" s="789"/>
      <c r="C741" s="733"/>
      <c r="D741" s="733"/>
      <c r="E741" s="733"/>
      <c r="F741" s="733"/>
      <c r="G741" s="756"/>
      <c r="H741" s="652"/>
      <c r="I741" s="652"/>
      <c r="J741" s="652"/>
      <c r="K741" s="652"/>
      <c r="L741" s="652"/>
      <c r="M741" s="652"/>
    </row>
    <row r="742" spans="1:13" ht="15.75" thickBot="1">
      <c r="A742" s="666">
        <v>12</v>
      </c>
      <c r="B742" s="2163" t="s">
        <v>824</v>
      </c>
      <c r="C742" s="2164"/>
      <c r="D742" s="2164"/>
      <c r="E742" s="2164"/>
      <c r="F742" s="2164"/>
      <c r="G742" s="2165"/>
      <c r="H742" s="652"/>
      <c r="I742" s="652"/>
      <c r="J742" s="652"/>
      <c r="K742" s="652"/>
      <c r="L742" s="652"/>
      <c r="M742" s="652"/>
    </row>
    <row r="743" spans="1:13" ht="15.75" thickBot="1">
      <c r="A743" s="666" t="s">
        <v>83</v>
      </c>
      <c r="B743" s="2163" t="s">
        <v>825</v>
      </c>
      <c r="C743" s="2164"/>
      <c r="D743" s="2164"/>
      <c r="E743" s="2164"/>
      <c r="F743" s="2164"/>
      <c r="G743" s="2165"/>
      <c r="H743" s="652"/>
      <c r="I743" s="652"/>
      <c r="J743" s="652"/>
      <c r="K743" s="652"/>
      <c r="L743" s="652"/>
      <c r="M743" s="652"/>
    </row>
    <row r="744" spans="1:13">
      <c r="A744" s="2166" t="s">
        <v>279</v>
      </c>
      <c r="B744" s="2167"/>
      <c r="C744" s="2167"/>
      <c r="D744" s="2167"/>
      <c r="E744" s="2167"/>
      <c r="F744" s="2167"/>
      <c r="G744" s="2168"/>
      <c r="H744" s="652"/>
      <c r="I744" s="652"/>
      <c r="J744" s="652"/>
      <c r="K744" s="652"/>
      <c r="L744" s="652"/>
      <c r="M744" s="652"/>
    </row>
    <row r="745" spans="1:13">
      <c r="A745" s="2169" t="s">
        <v>826</v>
      </c>
      <c r="B745" s="2170"/>
      <c r="C745" s="2170"/>
      <c r="D745" s="2170"/>
      <c r="E745" s="2170"/>
      <c r="F745" s="2170"/>
      <c r="G745" s="2171"/>
      <c r="H745" s="652"/>
      <c r="I745" s="652"/>
      <c r="J745" s="652"/>
      <c r="K745" s="652"/>
      <c r="L745" s="652"/>
      <c r="M745" s="652"/>
    </row>
    <row r="746" spans="1:13" ht="24">
      <c r="A746" s="681" t="s">
        <v>353</v>
      </c>
      <c r="B746" s="682" t="s">
        <v>827</v>
      </c>
      <c r="C746" s="682" t="s">
        <v>828</v>
      </c>
      <c r="D746" s="682" t="s">
        <v>829</v>
      </c>
      <c r="E746" s="682" t="s">
        <v>830</v>
      </c>
      <c r="F746" s="2174" t="s">
        <v>334</v>
      </c>
      <c r="G746" s="2176"/>
      <c r="H746" s="652"/>
      <c r="I746" s="652"/>
      <c r="J746" s="652"/>
      <c r="K746" s="652"/>
      <c r="L746" s="652"/>
      <c r="M746" s="652"/>
    </row>
    <row r="747" spans="1:13" ht="24">
      <c r="A747" s="765" t="s">
        <v>785</v>
      </c>
      <c r="B747" s="766" t="s">
        <v>831</v>
      </c>
      <c r="C747" s="685" t="s">
        <v>832</v>
      </c>
      <c r="D747" s="718">
        <f>(0.1*(2+0.6+0.6))</f>
        <v>0.32000000000000006</v>
      </c>
      <c r="E747" s="718">
        <f>ROUNDUP((0.6*2),2)</f>
        <v>1.2</v>
      </c>
      <c r="F747" s="2305">
        <f>D747+E747</f>
        <v>1.52</v>
      </c>
      <c r="G747" s="2306"/>
      <c r="H747" s="652"/>
      <c r="I747" s="652"/>
      <c r="J747" s="652"/>
      <c r="K747" s="652"/>
      <c r="L747" s="652"/>
      <c r="M747" s="652"/>
    </row>
    <row r="748" spans="1:13" ht="15.75" thickBot="1">
      <c r="A748" s="2307" t="s">
        <v>283</v>
      </c>
      <c r="B748" s="2308"/>
      <c r="C748" s="2308"/>
      <c r="D748" s="2308"/>
      <c r="E748" s="2309"/>
      <c r="F748" s="2245">
        <f>SUM(F747)</f>
        <v>1.52</v>
      </c>
      <c r="G748" s="2246"/>
      <c r="H748" s="652"/>
      <c r="I748" s="652"/>
      <c r="J748" s="652"/>
      <c r="K748" s="652"/>
      <c r="L748" s="652"/>
      <c r="M748" s="652"/>
    </row>
    <row r="749" spans="1:13" ht="15.75" thickBot="1">
      <c r="A749" s="788"/>
      <c r="B749" s="789"/>
      <c r="C749" s="733"/>
      <c r="D749" s="733"/>
      <c r="E749" s="733"/>
      <c r="F749" s="733"/>
      <c r="G749" s="756"/>
      <c r="H749" s="652"/>
      <c r="I749" s="652"/>
      <c r="J749" s="652"/>
      <c r="K749" s="652"/>
      <c r="L749" s="652"/>
      <c r="M749" s="652"/>
    </row>
    <row r="750" spans="1:13" ht="15.75" thickBot="1">
      <c r="A750" s="666" t="s">
        <v>84</v>
      </c>
      <c r="B750" s="2163" t="s">
        <v>833</v>
      </c>
      <c r="C750" s="2164"/>
      <c r="D750" s="2164"/>
      <c r="E750" s="2164"/>
      <c r="F750" s="2164"/>
      <c r="G750" s="2165"/>
      <c r="H750" s="652"/>
      <c r="I750" s="652"/>
      <c r="J750" s="652"/>
      <c r="K750" s="652"/>
      <c r="L750" s="652"/>
      <c r="M750" s="652"/>
    </row>
    <row r="751" spans="1:13">
      <c r="A751" s="2166" t="s">
        <v>279</v>
      </c>
      <c r="B751" s="2167"/>
      <c r="C751" s="2167"/>
      <c r="D751" s="2167"/>
      <c r="E751" s="2167"/>
      <c r="F751" s="2167"/>
      <c r="G751" s="2168"/>
      <c r="H751" s="652"/>
      <c r="I751" s="652"/>
      <c r="J751" s="652"/>
      <c r="K751" s="652"/>
      <c r="L751" s="652"/>
      <c r="M751" s="652"/>
    </row>
    <row r="752" spans="1:13">
      <c r="A752" s="2169" t="s">
        <v>826</v>
      </c>
      <c r="B752" s="2170"/>
      <c r="C752" s="2170"/>
      <c r="D752" s="2170"/>
      <c r="E752" s="2170"/>
      <c r="F752" s="2170"/>
      <c r="G752" s="2171"/>
      <c r="H752" s="652"/>
      <c r="I752" s="652"/>
      <c r="J752" s="652"/>
      <c r="K752" s="652"/>
      <c r="L752" s="652"/>
      <c r="M752" s="652"/>
    </row>
    <row r="753" spans="1:13" ht="24">
      <c r="A753" s="681" t="s">
        <v>353</v>
      </c>
      <c r="B753" s="682" t="s">
        <v>827</v>
      </c>
      <c r="C753" s="682" t="s">
        <v>828</v>
      </c>
      <c r="D753" s="682" t="s">
        <v>829</v>
      </c>
      <c r="E753" s="682" t="s">
        <v>830</v>
      </c>
      <c r="F753" s="2174" t="s">
        <v>334</v>
      </c>
      <c r="G753" s="2176"/>
      <c r="H753" s="652"/>
      <c r="I753" s="652"/>
      <c r="J753" s="652"/>
      <c r="K753" s="652"/>
      <c r="L753" s="652"/>
      <c r="M753" s="652"/>
    </row>
    <row r="754" spans="1:13" ht="25.5">
      <c r="A754" s="765" t="s">
        <v>834</v>
      </c>
      <c r="B754" s="766" t="s">
        <v>835</v>
      </c>
      <c r="C754" s="685" t="s">
        <v>836</v>
      </c>
      <c r="D754" s="718">
        <f>0.1*0.6*1.3</f>
        <v>7.8E-2</v>
      </c>
      <c r="E754" s="718">
        <f>ROUNDUP((0.6*1.3),2)</f>
        <v>0.78</v>
      </c>
      <c r="F754" s="2305">
        <f>(E754+D754)*2</f>
        <v>1.716</v>
      </c>
      <c r="G754" s="2306"/>
      <c r="H754" s="652"/>
      <c r="I754" s="917" t="s">
        <v>1998</v>
      </c>
      <c r="J754" s="652"/>
      <c r="K754" s="652"/>
      <c r="L754" s="652"/>
      <c r="M754" s="652"/>
    </row>
    <row r="755" spans="1:13" ht="15.75" thickBot="1">
      <c r="A755" s="2307" t="s">
        <v>283</v>
      </c>
      <c r="B755" s="2308"/>
      <c r="C755" s="2308"/>
      <c r="D755" s="2308"/>
      <c r="E755" s="2309"/>
      <c r="F755" s="2245">
        <f>SUM(F754)</f>
        <v>1.716</v>
      </c>
      <c r="G755" s="2246"/>
      <c r="H755" s="652"/>
      <c r="I755" s="652"/>
      <c r="J755" s="652"/>
      <c r="K755" s="652"/>
      <c r="L755" s="652"/>
      <c r="M755" s="652"/>
    </row>
    <row r="756" spans="1:13" ht="15.75" thickBot="1">
      <c r="A756" s="788"/>
      <c r="B756" s="789"/>
      <c r="C756" s="733"/>
      <c r="D756" s="733"/>
      <c r="E756" s="733"/>
      <c r="F756" s="733"/>
      <c r="G756" s="756"/>
      <c r="H756" s="652"/>
      <c r="I756" s="652"/>
      <c r="J756" s="652"/>
      <c r="K756" s="652"/>
      <c r="L756" s="652"/>
      <c r="M756" s="652"/>
    </row>
    <row r="757" spans="1:13" ht="15.75" thickBot="1">
      <c r="A757" s="666" t="s">
        <v>85</v>
      </c>
      <c r="B757" s="2163" t="s">
        <v>837</v>
      </c>
      <c r="C757" s="2164"/>
      <c r="D757" s="2164"/>
      <c r="E757" s="2164"/>
      <c r="F757" s="2164"/>
      <c r="G757" s="2165"/>
      <c r="H757" s="652"/>
      <c r="I757" s="652"/>
      <c r="J757" s="652"/>
      <c r="K757" s="652"/>
      <c r="L757" s="652"/>
      <c r="M757" s="652"/>
    </row>
    <row r="758" spans="1:13">
      <c r="A758" s="2166" t="s">
        <v>279</v>
      </c>
      <c r="B758" s="2167"/>
      <c r="C758" s="2167"/>
      <c r="D758" s="2167"/>
      <c r="E758" s="2167"/>
      <c r="F758" s="2167"/>
      <c r="G758" s="2168"/>
      <c r="H758" s="652"/>
      <c r="I758" s="652"/>
      <c r="J758" s="652"/>
      <c r="K758" s="652"/>
      <c r="L758" s="652"/>
      <c r="M758" s="652"/>
    </row>
    <row r="759" spans="1:13">
      <c r="A759" s="2169" t="s">
        <v>826</v>
      </c>
      <c r="B759" s="2170"/>
      <c r="C759" s="2170"/>
      <c r="D759" s="2170"/>
      <c r="E759" s="2170"/>
      <c r="F759" s="2170"/>
      <c r="G759" s="2171"/>
      <c r="H759" s="652"/>
      <c r="I759" s="652"/>
      <c r="J759" s="652"/>
      <c r="K759" s="652"/>
      <c r="L759" s="652"/>
      <c r="M759" s="652"/>
    </row>
    <row r="760" spans="1:13" ht="24">
      <c r="A760" s="681" t="s">
        <v>353</v>
      </c>
      <c r="B760" s="682" t="s">
        <v>321</v>
      </c>
      <c r="C760" s="682" t="s">
        <v>331</v>
      </c>
      <c r="D760" s="682" t="s">
        <v>838</v>
      </c>
      <c r="E760" s="682" t="s">
        <v>358</v>
      </c>
      <c r="F760" s="2174" t="s">
        <v>282</v>
      </c>
      <c r="G760" s="2176"/>
      <c r="H760" s="652"/>
      <c r="I760" s="652"/>
      <c r="J760" s="652"/>
      <c r="K760" s="652"/>
      <c r="L760" s="652"/>
      <c r="M760" s="652"/>
    </row>
    <row r="761" spans="1:13">
      <c r="A761" s="765" t="s">
        <v>839</v>
      </c>
      <c r="B761" s="766">
        <v>0.35</v>
      </c>
      <c r="C761" s="685">
        <v>1.2</v>
      </c>
      <c r="D761" s="718">
        <f>B761*C761</f>
        <v>0.42</v>
      </c>
      <c r="E761" s="718">
        <f>ROUNDUP(D761,2)</f>
        <v>0.42</v>
      </c>
      <c r="F761" s="2294"/>
      <c r="G761" s="2295"/>
      <c r="H761" s="652"/>
      <c r="I761" s="652"/>
      <c r="J761" s="652"/>
      <c r="K761" s="652"/>
      <c r="L761" s="652"/>
      <c r="M761" s="652"/>
    </row>
    <row r="762" spans="1:13">
      <c r="A762" s="2300"/>
      <c r="B762" s="2301"/>
      <c r="C762" s="2302"/>
      <c r="D762" s="845" t="s">
        <v>283</v>
      </c>
      <c r="E762" s="722">
        <f>ROUNDUP(E761,2)</f>
        <v>0.42</v>
      </c>
      <c r="F762" s="2296"/>
      <c r="G762" s="2297"/>
      <c r="H762" s="652"/>
      <c r="I762" s="652"/>
      <c r="J762" s="652"/>
      <c r="K762" s="652"/>
      <c r="L762" s="652"/>
      <c r="M762" s="652"/>
    </row>
    <row r="763" spans="1:13" ht="36">
      <c r="A763" s="681" t="s">
        <v>840</v>
      </c>
      <c r="B763" s="682" t="s">
        <v>841</v>
      </c>
      <c r="C763" s="682" t="s">
        <v>331</v>
      </c>
      <c r="D763" s="682" t="s">
        <v>1992</v>
      </c>
      <c r="E763" s="682" t="s">
        <v>1993</v>
      </c>
      <c r="F763" s="2296"/>
      <c r="G763" s="2297"/>
      <c r="H763" s="652"/>
      <c r="I763" s="652"/>
      <c r="J763" s="652"/>
      <c r="K763" s="652"/>
      <c r="L763" s="652"/>
      <c r="M763" s="652"/>
    </row>
    <row r="764" spans="1:13">
      <c r="A764" s="765" t="s">
        <v>839</v>
      </c>
      <c r="B764" s="766">
        <v>0.03</v>
      </c>
      <c r="C764" s="685">
        <v>1.2</v>
      </c>
      <c r="D764" s="718">
        <f>C764*B764</f>
        <v>3.5999999999999997E-2</v>
      </c>
      <c r="E764" s="718">
        <f>D764*2</f>
        <v>7.1999999999999995E-2</v>
      </c>
      <c r="F764" s="2296"/>
      <c r="G764" s="2297"/>
      <c r="H764" s="652"/>
      <c r="I764" s="652"/>
      <c r="J764" s="652"/>
      <c r="K764" s="652"/>
      <c r="L764" s="652"/>
      <c r="M764" s="652"/>
    </row>
    <row r="765" spans="1:13" ht="15.75" thickBot="1">
      <c r="A765" s="2303"/>
      <c r="B765" s="2245"/>
      <c r="C765" s="2304"/>
      <c r="D765" s="846" t="s">
        <v>283</v>
      </c>
      <c r="E765" s="676">
        <f>ROUNDUP(E764,2)</f>
        <v>0.08</v>
      </c>
      <c r="F765" s="2298"/>
      <c r="G765" s="2299"/>
      <c r="H765" s="652"/>
      <c r="I765" s="652"/>
      <c r="J765" s="652"/>
      <c r="K765" s="652"/>
      <c r="L765" s="652"/>
      <c r="M765" s="652"/>
    </row>
    <row r="766" spans="1:13" ht="15.75" thickBot="1">
      <c r="A766" s="788"/>
      <c r="B766" s="789"/>
      <c r="C766" s="733"/>
      <c r="D766" s="733"/>
      <c r="E766" s="733"/>
      <c r="F766" s="733"/>
      <c r="G766" s="756"/>
      <c r="H766" s="652"/>
      <c r="I766" s="652"/>
      <c r="J766" s="652"/>
      <c r="K766" s="652"/>
      <c r="L766" s="652"/>
      <c r="M766" s="652"/>
    </row>
    <row r="767" spans="1:13" ht="15.75" thickBot="1">
      <c r="A767" s="666">
        <v>13</v>
      </c>
      <c r="B767" s="2163" t="s">
        <v>370</v>
      </c>
      <c r="C767" s="2164"/>
      <c r="D767" s="2164"/>
      <c r="E767" s="2164"/>
      <c r="F767" s="2164"/>
      <c r="G767" s="2165"/>
      <c r="H767" s="652"/>
      <c r="I767" s="652"/>
      <c r="J767" s="652"/>
      <c r="K767" s="652"/>
      <c r="L767" s="652"/>
      <c r="M767" s="652"/>
    </row>
    <row r="768" spans="1:13" ht="15.75" thickBot="1">
      <c r="A768" s="666" t="s">
        <v>87</v>
      </c>
      <c r="B768" s="2163" t="s">
        <v>842</v>
      </c>
      <c r="C768" s="2164"/>
      <c r="D768" s="2164"/>
      <c r="E768" s="2164"/>
      <c r="F768" s="2164"/>
      <c r="G768" s="2165"/>
      <c r="H768" s="652"/>
      <c r="I768" s="652"/>
      <c r="J768" s="652"/>
      <c r="K768" s="652"/>
      <c r="L768" s="652"/>
      <c r="M768" s="652"/>
    </row>
    <row r="769" spans="1:13">
      <c r="A769" s="2166" t="s">
        <v>843</v>
      </c>
      <c r="B769" s="2167"/>
      <c r="C769" s="2167"/>
      <c r="D769" s="2167"/>
      <c r="E769" s="2167"/>
      <c r="F769" s="2167"/>
      <c r="G769" s="2168"/>
      <c r="H769" s="652"/>
      <c r="I769" s="652"/>
      <c r="J769" s="652"/>
      <c r="K769" s="652"/>
      <c r="L769" s="652"/>
      <c r="M769" s="652"/>
    </row>
    <row r="770" spans="1:13">
      <c r="A770" s="2169" t="s">
        <v>844</v>
      </c>
      <c r="B770" s="2170"/>
      <c r="C770" s="2170"/>
      <c r="D770" s="2170"/>
      <c r="E770" s="2170"/>
      <c r="F770" s="2170"/>
      <c r="G770" s="2171"/>
      <c r="H770" s="652"/>
      <c r="I770" s="652"/>
      <c r="J770" s="652"/>
      <c r="K770" s="652"/>
      <c r="L770" s="652"/>
      <c r="M770" s="652"/>
    </row>
    <row r="771" spans="1:13">
      <c r="A771" s="681" t="s">
        <v>298</v>
      </c>
      <c r="B771" s="682" t="s">
        <v>298</v>
      </c>
      <c r="C771" s="682" t="s">
        <v>308</v>
      </c>
      <c r="D771" s="682" t="s">
        <v>309</v>
      </c>
      <c r="E771" s="682" t="s">
        <v>310</v>
      </c>
      <c r="F771" s="682" t="s">
        <v>311</v>
      </c>
      <c r="G771" s="740" t="s">
        <v>312</v>
      </c>
      <c r="H771" s="652"/>
      <c r="I771" s="652"/>
      <c r="J771" s="652"/>
      <c r="K771" s="652"/>
      <c r="L771" s="652"/>
      <c r="M771" s="652"/>
    </row>
    <row r="772" spans="1:13">
      <c r="A772" s="2288" t="s">
        <v>692</v>
      </c>
      <c r="B772" s="2289"/>
      <c r="C772" s="2289"/>
      <c r="D772" s="2289"/>
      <c r="E772" s="2289"/>
      <c r="F772" s="2289"/>
      <c r="G772" s="2290"/>
      <c r="H772" s="652"/>
      <c r="I772" s="652"/>
      <c r="J772" s="652"/>
      <c r="K772" s="652"/>
      <c r="L772" s="652"/>
      <c r="M772" s="652"/>
    </row>
    <row r="773" spans="1:13">
      <c r="A773" s="696" t="s">
        <v>693</v>
      </c>
      <c r="B773" s="718">
        <v>1.5</v>
      </c>
      <c r="C773" s="718">
        <v>2.8</v>
      </c>
      <c r="D773" s="718">
        <f t="shared" ref="D773:D780" si="24">B773*C773</f>
        <v>4.1999999999999993</v>
      </c>
      <c r="E773" s="718"/>
      <c r="F773" s="718"/>
      <c r="G773" s="743">
        <f t="shared" ref="G773:G780" si="25">D773-F773</f>
        <v>4.1999999999999993</v>
      </c>
      <c r="H773" s="652"/>
      <c r="I773" s="652"/>
      <c r="J773" s="652"/>
      <c r="K773" s="652"/>
      <c r="L773" s="652"/>
      <c r="M773" s="652"/>
    </row>
    <row r="774" spans="1:13">
      <c r="A774" s="696" t="s">
        <v>694</v>
      </c>
      <c r="B774" s="800">
        <v>1.95</v>
      </c>
      <c r="C774" s="718">
        <v>2.8</v>
      </c>
      <c r="D774" s="718">
        <f t="shared" si="24"/>
        <v>5.46</v>
      </c>
      <c r="E774" s="742" t="s">
        <v>695</v>
      </c>
      <c r="F774" s="718">
        <f>0.8*2.1</f>
        <v>1.6800000000000002</v>
      </c>
      <c r="G774" s="743">
        <f t="shared" si="25"/>
        <v>3.78</v>
      </c>
      <c r="H774" s="652"/>
      <c r="I774" s="652"/>
      <c r="J774" s="652"/>
      <c r="K774" s="652"/>
      <c r="L774" s="652"/>
      <c r="M774" s="652"/>
    </row>
    <row r="775" spans="1:13" ht="36">
      <c r="A775" s="696" t="s">
        <v>696</v>
      </c>
      <c r="B775" s="718">
        <f>1.05+2.85+3.85+1.85+1.08+2</f>
        <v>12.68</v>
      </c>
      <c r="C775" s="718">
        <v>0.7</v>
      </c>
      <c r="D775" s="718">
        <f t="shared" si="24"/>
        <v>8.8759999999999994</v>
      </c>
      <c r="E775" s="718"/>
      <c r="F775" s="718"/>
      <c r="G775" s="743">
        <f t="shared" si="25"/>
        <v>8.8759999999999994</v>
      </c>
      <c r="H775" s="652"/>
      <c r="I775" s="652"/>
      <c r="J775" s="652"/>
      <c r="K775" s="652"/>
      <c r="L775" s="652"/>
      <c r="M775" s="652"/>
    </row>
    <row r="776" spans="1:13" ht="36">
      <c r="A776" s="696" t="s">
        <v>697</v>
      </c>
      <c r="B776" s="718">
        <f>1.05+2.85+3.85+1.85+1.08+2</f>
        <v>12.68</v>
      </c>
      <c r="C776" s="718">
        <v>0.7</v>
      </c>
      <c r="D776" s="718">
        <f t="shared" si="24"/>
        <v>8.8759999999999994</v>
      </c>
      <c r="E776" s="718"/>
      <c r="F776" s="718"/>
      <c r="G776" s="743">
        <f t="shared" si="25"/>
        <v>8.8759999999999994</v>
      </c>
      <c r="H776" s="652"/>
      <c r="I776" s="652"/>
      <c r="J776" s="652"/>
      <c r="K776" s="652"/>
      <c r="L776" s="652"/>
      <c r="M776" s="652"/>
    </row>
    <row r="777" spans="1:13" ht="24">
      <c r="A777" s="696" t="s">
        <v>698</v>
      </c>
      <c r="B777" s="718">
        <f>1.85+1.65+1.85+1.65</f>
        <v>7</v>
      </c>
      <c r="C777" s="718">
        <v>0.7</v>
      </c>
      <c r="D777" s="718">
        <f t="shared" si="24"/>
        <v>4.8999999999999995</v>
      </c>
      <c r="E777" s="718"/>
      <c r="F777" s="718"/>
      <c r="G777" s="743">
        <f t="shared" si="25"/>
        <v>4.8999999999999995</v>
      </c>
      <c r="H777" s="652"/>
      <c r="I777" s="652"/>
      <c r="J777" s="652"/>
      <c r="K777" s="652"/>
      <c r="L777" s="652"/>
      <c r="M777" s="652"/>
    </row>
    <row r="778" spans="1:13" ht="24">
      <c r="A778" s="696" t="s">
        <v>699</v>
      </c>
      <c r="B778" s="718">
        <f>1.85+1.65+1.85+1.65</f>
        <v>7</v>
      </c>
      <c r="C778" s="718">
        <v>0.7</v>
      </c>
      <c r="D778" s="718">
        <f t="shared" si="24"/>
        <v>4.8999999999999995</v>
      </c>
      <c r="E778" s="718"/>
      <c r="F778" s="718"/>
      <c r="G778" s="743">
        <f t="shared" si="25"/>
        <v>4.8999999999999995</v>
      </c>
      <c r="H778" s="652"/>
      <c r="I778" s="652"/>
      <c r="J778" s="652"/>
      <c r="K778" s="652"/>
      <c r="L778" s="652"/>
      <c r="M778" s="652"/>
    </row>
    <row r="779" spans="1:13" ht="24">
      <c r="A779" s="696" t="s">
        <v>700</v>
      </c>
      <c r="B779" s="718">
        <f>1.35+1.35+2.35+2.35</f>
        <v>7.4</v>
      </c>
      <c r="C779" s="718">
        <v>0.7</v>
      </c>
      <c r="D779" s="718">
        <f t="shared" si="24"/>
        <v>5.18</v>
      </c>
      <c r="E779" s="718"/>
      <c r="F779" s="718"/>
      <c r="G779" s="743">
        <f t="shared" si="25"/>
        <v>5.18</v>
      </c>
      <c r="H779" s="652"/>
      <c r="I779" s="652"/>
      <c r="J779" s="652"/>
      <c r="K779" s="652"/>
      <c r="L779" s="652"/>
      <c r="M779" s="652"/>
    </row>
    <row r="780" spans="1:13" ht="24">
      <c r="A780" s="696" t="s">
        <v>701</v>
      </c>
      <c r="B780" s="718">
        <f>3.85+3.85+2+2</f>
        <v>11.7</v>
      </c>
      <c r="C780" s="718">
        <v>0.7</v>
      </c>
      <c r="D780" s="718">
        <f t="shared" si="24"/>
        <v>8.19</v>
      </c>
      <c r="E780" s="718"/>
      <c r="F780" s="718"/>
      <c r="G780" s="743">
        <f t="shared" si="25"/>
        <v>8.19</v>
      </c>
      <c r="H780" s="652"/>
      <c r="I780" s="652"/>
      <c r="J780" s="652"/>
      <c r="K780" s="652"/>
      <c r="L780" s="652"/>
      <c r="M780" s="652"/>
    </row>
    <row r="781" spans="1:13">
      <c r="A781" s="2235"/>
      <c r="B781" s="2155"/>
      <c r="C781" s="2155"/>
      <c r="D781" s="2155"/>
      <c r="E781" s="2155"/>
      <c r="F781" s="2155"/>
      <c r="G781" s="2156"/>
      <c r="H781" s="652"/>
      <c r="I781" s="652"/>
      <c r="J781" s="652"/>
      <c r="K781" s="652"/>
      <c r="L781" s="652"/>
      <c r="M781" s="652"/>
    </row>
    <row r="782" spans="1:13">
      <c r="A782" s="2288" t="s">
        <v>702</v>
      </c>
      <c r="B782" s="2289"/>
      <c r="C782" s="2289"/>
      <c r="D782" s="2289"/>
      <c r="E782" s="2289"/>
      <c r="F782" s="2289"/>
      <c r="G782" s="2290"/>
      <c r="H782" s="652"/>
      <c r="I782" s="652"/>
      <c r="J782" s="652"/>
      <c r="K782" s="652"/>
      <c r="L782" s="652"/>
      <c r="M782" s="652"/>
    </row>
    <row r="783" spans="1:13">
      <c r="A783" s="696" t="s">
        <v>703</v>
      </c>
      <c r="B783" s="718">
        <v>3.5</v>
      </c>
      <c r="C783" s="718">
        <v>2.8</v>
      </c>
      <c r="D783" s="718">
        <f t="shared" ref="D783:D794" si="26">B783*C783</f>
        <v>9.7999999999999989</v>
      </c>
      <c r="E783" s="742" t="s">
        <v>695</v>
      </c>
      <c r="F783" s="718">
        <f>0.8*2.1</f>
        <v>1.6800000000000002</v>
      </c>
      <c r="G783" s="743">
        <f t="shared" ref="G783:G794" si="27">D783-F783</f>
        <v>8.1199999999999992</v>
      </c>
      <c r="H783" s="652"/>
      <c r="I783" s="652"/>
      <c r="J783" s="652"/>
      <c r="K783" s="652"/>
      <c r="L783" s="652"/>
      <c r="M783" s="652"/>
    </row>
    <row r="784" spans="1:13" ht="36">
      <c r="A784" s="696" t="s">
        <v>704</v>
      </c>
      <c r="B784" s="718">
        <f>3.15+3.5</f>
        <v>6.65</v>
      </c>
      <c r="C784" s="718">
        <v>2.8</v>
      </c>
      <c r="D784" s="718">
        <f t="shared" si="26"/>
        <v>18.62</v>
      </c>
      <c r="E784" s="742" t="s">
        <v>705</v>
      </c>
      <c r="F784" s="718">
        <f>(0.8*2.1)+(1.1*0.6*2)</f>
        <v>3</v>
      </c>
      <c r="G784" s="743">
        <f t="shared" si="27"/>
        <v>15.620000000000001</v>
      </c>
      <c r="H784" s="652"/>
      <c r="I784" s="652"/>
      <c r="J784" s="652"/>
      <c r="K784" s="652"/>
      <c r="L784" s="652"/>
      <c r="M784" s="652"/>
    </row>
    <row r="785" spans="1:13">
      <c r="A785" s="696" t="s">
        <v>706</v>
      </c>
      <c r="B785" s="718">
        <f>3.35+3.15</f>
        <v>6.5</v>
      </c>
      <c r="C785" s="718">
        <v>2.8</v>
      </c>
      <c r="D785" s="718">
        <f t="shared" si="26"/>
        <v>18.2</v>
      </c>
      <c r="E785" s="718"/>
      <c r="F785" s="718"/>
      <c r="G785" s="743">
        <f t="shared" si="27"/>
        <v>18.2</v>
      </c>
      <c r="H785" s="652"/>
      <c r="I785" s="652"/>
      <c r="J785" s="652"/>
      <c r="K785" s="652"/>
      <c r="L785" s="652"/>
      <c r="M785" s="652"/>
    </row>
    <row r="786" spans="1:13" ht="24">
      <c r="A786" s="696" t="s">
        <v>707</v>
      </c>
      <c r="B786" s="718">
        <v>8</v>
      </c>
      <c r="C786" s="718">
        <v>2.8</v>
      </c>
      <c r="D786" s="718">
        <f t="shared" si="26"/>
        <v>22.4</v>
      </c>
      <c r="E786" s="742" t="s">
        <v>708</v>
      </c>
      <c r="F786" s="718">
        <f>(2.2*1.1)+(0.8*2.1)</f>
        <v>4.1000000000000005</v>
      </c>
      <c r="G786" s="743">
        <f t="shared" si="27"/>
        <v>18.299999999999997</v>
      </c>
      <c r="H786" s="652"/>
      <c r="I786" s="652"/>
      <c r="J786" s="652"/>
      <c r="K786" s="652"/>
      <c r="L786" s="652"/>
      <c r="M786" s="652"/>
    </row>
    <row r="787" spans="1:13" ht="24">
      <c r="A787" s="696" t="s">
        <v>707</v>
      </c>
      <c r="B787" s="718">
        <v>8</v>
      </c>
      <c r="C787" s="718">
        <v>2.8</v>
      </c>
      <c r="D787" s="718">
        <f t="shared" si="26"/>
        <v>22.4</v>
      </c>
      <c r="E787" s="718"/>
      <c r="F787" s="718"/>
      <c r="G787" s="743">
        <f t="shared" si="27"/>
        <v>22.4</v>
      </c>
      <c r="H787" s="652"/>
      <c r="I787" s="652"/>
      <c r="J787" s="652"/>
      <c r="K787" s="652"/>
      <c r="L787" s="652"/>
      <c r="M787" s="652"/>
    </row>
    <row r="788" spans="1:13">
      <c r="A788" s="696" t="s">
        <v>709</v>
      </c>
      <c r="B788" s="718">
        <v>3.5</v>
      </c>
      <c r="C788" s="718">
        <v>2.8</v>
      </c>
      <c r="D788" s="718">
        <f t="shared" si="26"/>
        <v>9.7999999999999989</v>
      </c>
      <c r="E788" s="742" t="s">
        <v>710</v>
      </c>
      <c r="F788" s="718">
        <f>2.2*1.1</f>
        <v>2.4200000000000004</v>
      </c>
      <c r="G788" s="743">
        <f t="shared" si="27"/>
        <v>7.379999999999999</v>
      </c>
      <c r="H788" s="652"/>
      <c r="I788" s="652"/>
      <c r="J788" s="652"/>
      <c r="K788" s="652"/>
      <c r="L788" s="652"/>
      <c r="M788" s="652"/>
    </row>
    <row r="789" spans="1:13">
      <c r="A789" s="696" t="s">
        <v>711</v>
      </c>
      <c r="B789" s="718">
        <f>2.55+2</f>
        <v>4.55</v>
      </c>
      <c r="C789" s="718">
        <v>2.8</v>
      </c>
      <c r="D789" s="718">
        <f t="shared" si="26"/>
        <v>12.739999999999998</v>
      </c>
      <c r="E789" s="718"/>
      <c r="F789" s="718"/>
      <c r="G789" s="743">
        <f t="shared" si="27"/>
        <v>12.739999999999998</v>
      </c>
      <c r="H789" s="652"/>
      <c r="I789" s="652"/>
      <c r="J789" s="652"/>
      <c r="K789" s="652"/>
      <c r="L789" s="652"/>
      <c r="M789" s="652"/>
    </row>
    <row r="790" spans="1:13" ht="24">
      <c r="A790" s="801" t="s">
        <v>712</v>
      </c>
      <c r="B790" s="802">
        <v>4</v>
      </c>
      <c r="C790" s="779">
        <v>2.8</v>
      </c>
      <c r="D790" s="779">
        <f t="shared" si="26"/>
        <v>11.2</v>
      </c>
      <c r="E790" s="803" t="s">
        <v>713</v>
      </c>
      <c r="F790" s="779">
        <f>(1.3*2.1)+(2.3*1.1)</f>
        <v>5.26</v>
      </c>
      <c r="G790" s="804">
        <f t="shared" si="27"/>
        <v>5.9399999999999995</v>
      </c>
      <c r="H790" s="652"/>
      <c r="I790" s="652"/>
      <c r="J790" s="652"/>
      <c r="K790" s="652"/>
      <c r="L790" s="652"/>
      <c r="M790" s="652"/>
    </row>
    <row r="791" spans="1:13" ht="36">
      <c r="A791" s="801" t="s">
        <v>714</v>
      </c>
      <c r="B791" s="802">
        <f>2.15+1.35+1.5</f>
        <v>5</v>
      </c>
      <c r="C791" s="779">
        <v>5.23</v>
      </c>
      <c r="D791" s="779">
        <f t="shared" si="26"/>
        <v>26.150000000000002</v>
      </c>
      <c r="E791" s="803" t="s">
        <v>715</v>
      </c>
      <c r="F791" s="779">
        <f>1.2*1.1+(0.8*2.1)+(0.9*2.1)</f>
        <v>4.8900000000000006</v>
      </c>
      <c r="G791" s="804">
        <f t="shared" si="27"/>
        <v>21.26</v>
      </c>
      <c r="H791" s="652"/>
      <c r="I791" s="652"/>
      <c r="J791" s="652"/>
      <c r="K791" s="652"/>
      <c r="L791" s="652"/>
      <c r="M791" s="652"/>
    </row>
    <row r="792" spans="1:13">
      <c r="A792" s="801" t="s">
        <v>716</v>
      </c>
      <c r="B792" s="802">
        <v>1.5</v>
      </c>
      <c r="C792" s="779">
        <v>5.23</v>
      </c>
      <c r="D792" s="779">
        <f t="shared" si="26"/>
        <v>7.8450000000000006</v>
      </c>
      <c r="E792" s="779"/>
      <c r="F792" s="779"/>
      <c r="G792" s="804">
        <f t="shared" si="27"/>
        <v>7.8450000000000006</v>
      </c>
      <c r="H792" s="652"/>
      <c r="I792" s="652"/>
      <c r="J792" s="652"/>
      <c r="K792" s="652"/>
      <c r="L792" s="652"/>
      <c r="M792" s="652"/>
    </row>
    <row r="793" spans="1:13" ht="48">
      <c r="A793" s="801" t="s">
        <v>717</v>
      </c>
      <c r="B793" s="802">
        <f>4.6+9.6</f>
        <v>14.2</v>
      </c>
      <c r="C793" s="779">
        <v>4.7300000000000004</v>
      </c>
      <c r="D793" s="779">
        <f t="shared" si="26"/>
        <v>67.165999999999997</v>
      </c>
      <c r="E793" s="803" t="s">
        <v>718</v>
      </c>
      <c r="F793" s="779">
        <f>2.3*1.1*2+(0.8*2.1)+(1*2.1)</f>
        <v>8.84</v>
      </c>
      <c r="G793" s="804">
        <f t="shared" si="27"/>
        <v>58.325999999999993</v>
      </c>
      <c r="H793" s="652"/>
      <c r="I793" s="652"/>
      <c r="J793" s="652"/>
      <c r="K793" s="652"/>
      <c r="L793" s="652"/>
      <c r="M793" s="652"/>
    </row>
    <row r="794" spans="1:13">
      <c r="A794" s="801" t="s">
        <v>719</v>
      </c>
      <c r="B794" s="802">
        <v>4.5999999999999996</v>
      </c>
      <c r="C794" s="779">
        <v>1.93</v>
      </c>
      <c r="D794" s="779">
        <f t="shared" si="26"/>
        <v>8.8779999999999983</v>
      </c>
      <c r="E794" s="779"/>
      <c r="F794" s="779"/>
      <c r="G794" s="804">
        <f t="shared" si="27"/>
        <v>8.8779999999999983</v>
      </c>
      <c r="H794" s="652"/>
      <c r="I794" s="652"/>
      <c r="J794" s="652"/>
      <c r="K794" s="652"/>
      <c r="L794" s="652"/>
      <c r="M794" s="652"/>
    </row>
    <row r="795" spans="1:13">
      <c r="A795" s="2235"/>
      <c r="B795" s="2155"/>
      <c r="C795" s="2155"/>
      <c r="D795" s="2155"/>
      <c r="E795" s="2155"/>
      <c r="F795" s="2155"/>
      <c r="G795" s="2156"/>
      <c r="H795" s="652"/>
      <c r="I795" s="652"/>
      <c r="J795" s="652"/>
      <c r="K795" s="652"/>
      <c r="L795" s="652"/>
      <c r="M795" s="652"/>
    </row>
    <row r="796" spans="1:13">
      <c r="A796" s="2288" t="s">
        <v>720</v>
      </c>
      <c r="B796" s="2289"/>
      <c r="C796" s="2289"/>
      <c r="D796" s="2289"/>
      <c r="E796" s="2289"/>
      <c r="F796" s="2289"/>
      <c r="G796" s="2290"/>
      <c r="H796" s="652"/>
      <c r="I796" s="652"/>
      <c r="J796" s="652"/>
      <c r="K796" s="652"/>
      <c r="L796" s="652"/>
      <c r="M796" s="652"/>
    </row>
    <row r="797" spans="1:13" ht="36">
      <c r="A797" s="696" t="s">
        <v>721</v>
      </c>
      <c r="B797" s="747">
        <f>7.5+4.65</f>
        <v>12.15</v>
      </c>
      <c r="C797" s="718">
        <v>2.8</v>
      </c>
      <c r="D797" s="718">
        <f t="shared" ref="D797:D805" si="28">B797*C797</f>
        <v>34.019999999999996</v>
      </c>
      <c r="E797" s="742" t="s">
        <v>722</v>
      </c>
      <c r="F797" s="718">
        <f>(1.6*2.1)+(3*1.1*0.6)</f>
        <v>5.34</v>
      </c>
      <c r="G797" s="743">
        <f t="shared" ref="G797:G805" si="29">D797-F797</f>
        <v>28.679999999999996</v>
      </c>
      <c r="H797" s="652"/>
      <c r="I797" s="652"/>
      <c r="J797" s="652"/>
      <c r="K797" s="652"/>
      <c r="L797" s="652"/>
      <c r="M797" s="652"/>
    </row>
    <row r="798" spans="1:13" ht="24">
      <c r="A798" s="696" t="s">
        <v>721</v>
      </c>
      <c r="B798" s="747">
        <f>7.5+4.65</f>
        <v>12.15</v>
      </c>
      <c r="C798" s="718">
        <v>2.8</v>
      </c>
      <c r="D798" s="718">
        <f t="shared" si="28"/>
        <v>34.019999999999996</v>
      </c>
      <c r="E798" s="718"/>
      <c r="F798" s="718"/>
      <c r="G798" s="743">
        <f t="shared" si="29"/>
        <v>34.019999999999996</v>
      </c>
      <c r="H798" s="652"/>
      <c r="I798" s="652"/>
      <c r="J798" s="652"/>
      <c r="K798" s="652"/>
      <c r="L798" s="652"/>
      <c r="M798" s="652"/>
    </row>
    <row r="799" spans="1:13" ht="36">
      <c r="A799" s="696" t="s">
        <v>723</v>
      </c>
      <c r="B799" s="800">
        <f>8.85+10.35</f>
        <v>19.2</v>
      </c>
      <c r="C799" s="718">
        <v>2.8</v>
      </c>
      <c r="D799" s="718">
        <f t="shared" si="28"/>
        <v>53.76</v>
      </c>
      <c r="E799" s="742" t="s">
        <v>724</v>
      </c>
      <c r="F799" s="718">
        <f>2.3*1.1*5</f>
        <v>12.649999999999999</v>
      </c>
      <c r="G799" s="743">
        <f t="shared" si="29"/>
        <v>41.11</v>
      </c>
      <c r="H799" s="652"/>
      <c r="I799" s="652"/>
      <c r="J799" s="652"/>
      <c r="K799" s="652"/>
      <c r="L799" s="652"/>
      <c r="M799" s="652"/>
    </row>
    <row r="800" spans="1:13" ht="24">
      <c r="A800" s="696" t="s">
        <v>725</v>
      </c>
      <c r="B800" s="800">
        <f>4.65+4</f>
        <v>8.65</v>
      </c>
      <c r="C800" s="718">
        <v>2.8</v>
      </c>
      <c r="D800" s="718">
        <f t="shared" si="28"/>
        <v>24.22</v>
      </c>
      <c r="E800" s="718"/>
      <c r="F800" s="718"/>
      <c r="G800" s="743">
        <f t="shared" si="29"/>
        <v>24.22</v>
      </c>
      <c r="H800" s="652"/>
      <c r="I800" s="652"/>
      <c r="J800" s="652"/>
      <c r="K800" s="652"/>
      <c r="L800" s="652"/>
      <c r="M800" s="652"/>
    </row>
    <row r="801" spans="1:13">
      <c r="A801" s="696" t="s">
        <v>726</v>
      </c>
      <c r="B801" s="800">
        <v>5.5</v>
      </c>
      <c r="C801" s="718">
        <v>2.8</v>
      </c>
      <c r="D801" s="718">
        <f t="shared" si="28"/>
        <v>15.399999999999999</v>
      </c>
      <c r="E801" s="742" t="s">
        <v>727</v>
      </c>
      <c r="F801" s="718">
        <f>2.3*1.1</f>
        <v>2.5299999999999998</v>
      </c>
      <c r="G801" s="743">
        <f t="shared" si="29"/>
        <v>12.87</v>
      </c>
      <c r="H801" s="652"/>
      <c r="I801" s="652"/>
      <c r="J801" s="652"/>
      <c r="K801" s="652"/>
      <c r="L801" s="652"/>
      <c r="M801" s="652"/>
    </row>
    <row r="802" spans="1:13">
      <c r="A802" s="696" t="s">
        <v>728</v>
      </c>
      <c r="B802" s="800">
        <v>4.5</v>
      </c>
      <c r="C802" s="718">
        <v>2.8</v>
      </c>
      <c r="D802" s="718">
        <f t="shared" si="28"/>
        <v>12.6</v>
      </c>
      <c r="E802" s="718"/>
      <c r="F802" s="718"/>
      <c r="G802" s="743">
        <f t="shared" si="29"/>
        <v>12.6</v>
      </c>
      <c r="H802" s="652"/>
      <c r="I802" s="652"/>
      <c r="J802" s="652"/>
      <c r="K802" s="652"/>
      <c r="L802" s="652"/>
      <c r="M802" s="652"/>
    </row>
    <row r="803" spans="1:13">
      <c r="A803" s="801" t="s">
        <v>729</v>
      </c>
      <c r="B803" s="802">
        <v>5</v>
      </c>
      <c r="C803" s="779">
        <v>2.8</v>
      </c>
      <c r="D803" s="779">
        <f t="shared" si="28"/>
        <v>14</v>
      </c>
      <c r="E803" s="779"/>
      <c r="F803" s="779"/>
      <c r="G803" s="804">
        <f t="shared" si="29"/>
        <v>14</v>
      </c>
      <c r="H803" s="652"/>
      <c r="I803" s="652"/>
      <c r="J803" s="652"/>
      <c r="K803" s="652"/>
      <c r="L803" s="652"/>
      <c r="M803" s="652"/>
    </row>
    <row r="804" spans="1:13">
      <c r="A804" s="801" t="s">
        <v>730</v>
      </c>
      <c r="B804" s="802">
        <v>9</v>
      </c>
      <c r="C804" s="779">
        <v>2.8</v>
      </c>
      <c r="D804" s="779">
        <f t="shared" si="28"/>
        <v>25.2</v>
      </c>
      <c r="E804" s="779"/>
      <c r="F804" s="779"/>
      <c r="G804" s="804">
        <f t="shared" si="29"/>
        <v>25.2</v>
      </c>
      <c r="H804" s="652"/>
      <c r="I804" s="652"/>
      <c r="J804" s="652"/>
      <c r="K804" s="652"/>
      <c r="L804" s="652"/>
      <c r="M804" s="652"/>
    </row>
    <row r="805" spans="1:13" ht="24">
      <c r="A805" s="801" t="s">
        <v>731</v>
      </c>
      <c r="B805" s="802">
        <v>6.15</v>
      </c>
      <c r="C805" s="779">
        <v>5.23</v>
      </c>
      <c r="D805" s="779">
        <f t="shared" si="28"/>
        <v>32.164500000000004</v>
      </c>
      <c r="E805" s="803" t="s">
        <v>845</v>
      </c>
      <c r="F805" s="779">
        <f>0.8*2.1*4</f>
        <v>6.7200000000000006</v>
      </c>
      <c r="G805" s="804">
        <f t="shared" si="29"/>
        <v>25.444500000000005</v>
      </c>
      <c r="H805" s="652"/>
      <c r="I805" s="652"/>
      <c r="J805" s="652"/>
      <c r="K805" s="652"/>
      <c r="L805" s="652"/>
      <c r="M805" s="652"/>
    </row>
    <row r="806" spans="1:13">
      <c r="A806" s="2235"/>
      <c r="B806" s="2155"/>
      <c r="C806" s="2155"/>
      <c r="D806" s="2155"/>
      <c r="E806" s="2155"/>
      <c r="F806" s="2155"/>
      <c r="G806" s="2156"/>
      <c r="H806" s="652"/>
      <c r="I806" s="652"/>
      <c r="J806" s="652"/>
      <c r="K806" s="652"/>
      <c r="L806" s="652"/>
      <c r="M806" s="652"/>
    </row>
    <row r="807" spans="1:13">
      <c r="A807" s="2172" t="s">
        <v>1999</v>
      </c>
      <c r="B807" s="2175"/>
      <c r="C807" s="2175"/>
      <c r="D807" s="2175"/>
      <c r="E807" s="2175"/>
      <c r="F807" s="2175"/>
      <c r="G807" s="2176"/>
      <c r="H807" s="652"/>
      <c r="I807" s="918"/>
      <c r="J807" s="652"/>
      <c r="K807" s="652"/>
      <c r="L807" s="652"/>
      <c r="M807" s="652"/>
    </row>
    <row r="808" spans="1:13">
      <c r="A808" s="2276"/>
      <c r="B808" s="2277"/>
      <c r="C808" s="2282" t="s">
        <v>692</v>
      </c>
      <c r="D808" s="2283"/>
      <c r="E808" s="2283"/>
      <c r="F808" s="2284"/>
      <c r="G808" s="743"/>
      <c r="H808" s="652"/>
      <c r="I808" s="652"/>
      <c r="J808" s="652"/>
      <c r="K808" s="652"/>
      <c r="L808" s="652"/>
      <c r="M808" s="652"/>
    </row>
    <row r="809" spans="1:13">
      <c r="A809" s="2278"/>
      <c r="B809" s="2279"/>
      <c r="C809" s="2285" t="s">
        <v>283</v>
      </c>
      <c r="D809" s="2286"/>
      <c r="E809" s="2286"/>
      <c r="F809" s="2287"/>
      <c r="G809" s="806">
        <f>ROUNDUP(G773+G774+G775+G776+G777+G778+G779+G780,2)</f>
        <v>48.91</v>
      </c>
      <c r="H809" s="652"/>
      <c r="I809" s="652"/>
      <c r="J809" s="652"/>
      <c r="K809" s="652"/>
      <c r="L809" s="652"/>
      <c r="M809" s="652"/>
    </row>
    <row r="810" spans="1:13">
      <c r="A810" s="2278"/>
      <c r="B810" s="2279"/>
      <c r="C810" s="2282" t="s">
        <v>702</v>
      </c>
      <c r="D810" s="2283"/>
      <c r="E810" s="2283"/>
      <c r="F810" s="2284"/>
      <c r="G810" s="807"/>
      <c r="H810" s="652"/>
      <c r="I810" s="652"/>
      <c r="J810" s="652"/>
      <c r="K810" s="652"/>
      <c r="L810" s="652"/>
      <c r="M810" s="652"/>
    </row>
    <row r="811" spans="1:13">
      <c r="A811" s="2278"/>
      <c r="B811" s="2279"/>
      <c r="C811" s="2285" t="s">
        <v>283</v>
      </c>
      <c r="D811" s="2286"/>
      <c r="E811" s="2286"/>
      <c r="F811" s="2287"/>
      <c r="G811" s="806">
        <f>ROUNDUP(G783+G784+G785+G786+G787+G788+G789+G790+G791+G792+G793+G794,2)</f>
        <v>205.01</v>
      </c>
      <c r="H811" s="652"/>
      <c r="I811" s="652"/>
      <c r="J811" s="652"/>
      <c r="K811" s="652"/>
      <c r="L811" s="652"/>
      <c r="M811" s="652"/>
    </row>
    <row r="812" spans="1:13">
      <c r="A812" s="2278"/>
      <c r="B812" s="2279"/>
      <c r="C812" s="2282" t="s">
        <v>720</v>
      </c>
      <c r="D812" s="2283"/>
      <c r="E812" s="2283"/>
      <c r="F812" s="2284"/>
      <c r="G812" s="807"/>
      <c r="H812" s="652"/>
      <c r="I812" s="652"/>
      <c r="J812" s="652"/>
      <c r="K812" s="652"/>
      <c r="L812" s="652"/>
      <c r="M812" s="652"/>
    </row>
    <row r="813" spans="1:13">
      <c r="A813" s="2280"/>
      <c r="B813" s="2281"/>
      <c r="C813" s="2285" t="s">
        <v>283</v>
      </c>
      <c r="D813" s="2286"/>
      <c r="E813" s="2286"/>
      <c r="F813" s="2287"/>
      <c r="G813" s="806">
        <f>ROUNDUP(G797+G803+G804+G798+G799+G801+G802+G805,2)</f>
        <v>193.92999999999998</v>
      </c>
      <c r="H813" s="652"/>
      <c r="I813" s="652"/>
      <c r="J813" s="652"/>
      <c r="K813" s="652"/>
      <c r="L813" s="652"/>
      <c r="M813" s="652"/>
    </row>
    <row r="814" spans="1:13" ht="15.75" thickBot="1">
      <c r="A814" s="2273" t="s">
        <v>316</v>
      </c>
      <c r="B814" s="2274"/>
      <c r="C814" s="2274"/>
      <c r="D814" s="2274"/>
      <c r="E814" s="2274"/>
      <c r="F814" s="2275"/>
      <c r="G814" s="827">
        <f>ROUNDUP(G809+G811+G813,2)</f>
        <v>447.85</v>
      </c>
      <c r="H814" s="652"/>
      <c r="I814" s="652"/>
      <c r="J814" s="652"/>
      <c r="K814" s="652"/>
      <c r="L814" s="652"/>
      <c r="M814" s="652"/>
    </row>
    <row r="815" spans="1:13" ht="15.75" thickBot="1">
      <c r="A815" s="847"/>
      <c r="B815" s="848"/>
      <c r="C815" s="848"/>
      <c r="D815" s="848"/>
      <c r="E815" s="848"/>
      <c r="F815" s="848"/>
      <c r="G815" s="849"/>
      <c r="H815" s="652"/>
      <c r="I815" s="652"/>
      <c r="J815" s="652"/>
      <c r="K815" s="652"/>
      <c r="L815" s="652"/>
      <c r="M815" s="652"/>
    </row>
    <row r="816" spans="1:13" ht="15.75" thickBot="1">
      <c r="A816" s="666" t="s">
        <v>88</v>
      </c>
      <c r="B816" s="2163" t="s">
        <v>846</v>
      </c>
      <c r="C816" s="2164"/>
      <c r="D816" s="2164"/>
      <c r="E816" s="2164"/>
      <c r="F816" s="2164"/>
      <c r="G816" s="2165"/>
      <c r="H816" s="652"/>
      <c r="I816" s="652"/>
      <c r="J816" s="652"/>
      <c r="K816" s="652"/>
      <c r="L816" s="652"/>
      <c r="M816" s="652"/>
    </row>
    <row r="817" spans="1:13">
      <c r="A817" s="2166" t="s">
        <v>843</v>
      </c>
      <c r="B817" s="2167"/>
      <c r="C817" s="2167"/>
      <c r="D817" s="2167"/>
      <c r="E817" s="2167"/>
      <c r="F817" s="2167"/>
      <c r="G817" s="2168"/>
      <c r="H817" s="652"/>
      <c r="I817" s="652"/>
      <c r="J817" s="652"/>
      <c r="K817" s="652"/>
      <c r="L817" s="652"/>
      <c r="M817" s="652"/>
    </row>
    <row r="818" spans="1:13">
      <c r="A818" s="2169" t="s">
        <v>844</v>
      </c>
      <c r="B818" s="2170"/>
      <c r="C818" s="2170"/>
      <c r="D818" s="2170"/>
      <c r="E818" s="2170"/>
      <c r="F818" s="2170"/>
      <c r="G818" s="2171"/>
      <c r="H818" s="652"/>
      <c r="I818" s="652"/>
      <c r="J818" s="652"/>
      <c r="K818" s="652"/>
      <c r="L818" s="652"/>
      <c r="M818" s="652"/>
    </row>
    <row r="819" spans="1:13">
      <c r="A819" s="681" t="s">
        <v>298</v>
      </c>
      <c r="B819" s="682" t="s">
        <v>298</v>
      </c>
      <c r="C819" s="682" t="s">
        <v>308</v>
      </c>
      <c r="D819" s="682" t="s">
        <v>309</v>
      </c>
      <c r="E819" s="682" t="s">
        <v>310</v>
      </c>
      <c r="F819" s="682" t="s">
        <v>311</v>
      </c>
      <c r="G819" s="740" t="s">
        <v>312</v>
      </c>
      <c r="H819" s="652"/>
      <c r="I819" s="652"/>
      <c r="J819" s="652"/>
      <c r="K819" s="652"/>
      <c r="L819" s="652"/>
      <c r="M819" s="652"/>
    </row>
    <row r="820" spans="1:13">
      <c r="A820" s="2288" t="s">
        <v>692</v>
      </c>
      <c r="B820" s="2289"/>
      <c r="C820" s="2289"/>
      <c r="D820" s="2289"/>
      <c r="E820" s="2289"/>
      <c r="F820" s="2289"/>
      <c r="G820" s="2290"/>
      <c r="H820" s="652"/>
      <c r="I820" s="652"/>
      <c r="J820" s="652"/>
      <c r="K820" s="652"/>
      <c r="L820" s="652"/>
      <c r="M820" s="652"/>
    </row>
    <row r="821" spans="1:13">
      <c r="A821" s="696" t="s">
        <v>693</v>
      </c>
      <c r="B821" s="718">
        <v>1.5</v>
      </c>
      <c r="C821" s="718">
        <v>2.8</v>
      </c>
      <c r="D821" s="718">
        <f t="shared" ref="D821:D828" si="30">B821*C821</f>
        <v>4.1999999999999993</v>
      </c>
      <c r="E821" s="718"/>
      <c r="F821" s="718"/>
      <c r="G821" s="743">
        <f t="shared" ref="G821:G828" si="31">D821-F821</f>
        <v>4.1999999999999993</v>
      </c>
      <c r="H821" s="652"/>
      <c r="I821" s="652"/>
      <c r="J821" s="652"/>
      <c r="K821" s="652"/>
      <c r="L821" s="652"/>
      <c r="M821" s="652"/>
    </row>
    <row r="822" spans="1:13">
      <c r="A822" s="696" t="s">
        <v>694</v>
      </c>
      <c r="B822" s="800">
        <v>1.95</v>
      </c>
      <c r="C822" s="718">
        <v>2.8</v>
      </c>
      <c r="D822" s="718">
        <f t="shared" si="30"/>
        <v>5.46</v>
      </c>
      <c r="E822" s="742" t="s">
        <v>695</v>
      </c>
      <c r="F822" s="718">
        <f>0.8*2.1</f>
        <v>1.6800000000000002</v>
      </c>
      <c r="G822" s="743">
        <f t="shared" si="31"/>
        <v>3.78</v>
      </c>
      <c r="H822" s="652"/>
      <c r="I822" s="652"/>
      <c r="J822" s="652"/>
      <c r="K822" s="652"/>
      <c r="L822" s="652"/>
      <c r="M822" s="652"/>
    </row>
    <row r="823" spans="1:13" ht="36">
      <c r="A823" s="696" t="s">
        <v>696</v>
      </c>
      <c r="B823" s="718">
        <f>1.05+2.85+3.85+1.85+1.08+2</f>
        <v>12.68</v>
      </c>
      <c r="C823" s="718">
        <v>0.7</v>
      </c>
      <c r="D823" s="718">
        <f t="shared" si="30"/>
        <v>8.8759999999999994</v>
      </c>
      <c r="E823" s="718"/>
      <c r="F823" s="718"/>
      <c r="G823" s="743">
        <f t="shared" si="31"/>
        <v>8.8759999999999994</v>
      </c>
      <c r="H823" s="652"/>
      <c r="I823" s="652"/>
      <c r="J823" s="652"/>
      <c r="K823" s="652"/>
      <c r="L823" s="652"/>
      <c r="M823" s="652"/>
    </row>
    <row r="824" spans="1:13" ht="36">
      <c r="A824" s="696" t="s">
        <v>697</v>
      </c>
      <c r="B824" s="718">
        <f>1.05+2.85+3.85+1.85+1.08+2</f>
        <v>12.68</v>
      </c>
      <c r="C824" s="718">
        <v>0.7</v>
      </c>
      <c r="D824" s="718">
        <f t="shared" si="30"/>
        <v>8.8759999999999994</v>
      </c>
      <c r="E824" s="718"/>
      <c r="F824" s="718"/>
      <c r="G824" s="743">
        <f t="shared" si="31"/>
        <v>8.8759999999999994</v>
      </c>
      <c r="H824" s="652"/>
      <c r="I824" s="652"/>
      <c r="J824" s="652"/>
      <c r="K824" s="652"/>
      <c r="L824" s="652"/>
      <c r="M824" s="652"/>
    </row>
    <row r="825" spans="1:13" ht="24">
      <c r="A825" s="696" t="s">
        <v>698</v>
      </c>
      <c r="B825" s="718">
        <f>1.85+1.65+1.85+1.65</f>
        <v>7</v>
      </c>
      <c r="C825" s="718">
        <v>0.7</v>
      </c>
      <c r="D825" s="718">
        <f t="shared" si="30"/>
        <v>4.8999999999999995</v>
      </c>
      <c r="E825" s="718"/>
      <c r="F825" s="718"/>
      <c r="G825" s="743">
        <f t="shared" si="31"/>
        <v>4.8999999999999995</v>
      </c>
      <c r="H825" s="652"/>
      <c r="I825" s="652"/>
      <c r="J825" s="652"/>
      <c r="K825" s="652"/>
      <c r="L825" s="652"/>
      <c r="M825" s="652"/>
    </row>
    <row r="826" spans="1:13" ht="24">
      <c r="A826" s="696" t="s">
        <v>699</v>
      </c>
      <c r="B826" s="718">
        <f>1.85+1.65+1.85+1.65</f>
        <v>7</v>
      </c>
      <c r="C826" s="718">
        <v>0.7</v>
      </c>
      <c r="D826" s="718">
        <f t="shared" si="30"/>
        <v>4.8999999999999995</v>
      </c>
      <c r="E826" s="718"/>
      <c r="F826" s="718"/>
      <c r="G826" s="743">
        <f t="shared" si="31"/>
        <v>4.8999999999999995</v>
      </c>
      <c r="H826" s="652"/>
      <c r="I826" s="652"/>
      <c r="J826" s="652"/>
      <c r="K826" s="652"/>
      <c r="L826" s="652"/>
      <c r="M826" s="652"/>
    </row>
    <row r="827" spans="1:13" ht="24">
      <c r="A827" s="696" t="s">
        <v>700</v>
      </c>
      <c r="B827" s="718">
        <f>1.35+1.35+2.35+2.35</f>
        <v>7.4</v>
      </c>
      <c r="C827" s="718">
        <v>0.7</v>
      </c>
      <c r="D827" s="718">
        <f t="shared" si="30"/>
        <v>5.18</v>
      </c>
      <c r="E827" s="718"/>
      <c r="F827" s="718"/>
      <c r="G827" s="743">
        <f t="shared" si="31"/>
        <v>5.18</v>
      </c>
      <c r="H827" s="652"/>
      <c r="I827" s="652"/>
      <c r="J827" s="652"/>
      <c r="K827" s="652"/>
      <c r="L827" s="652"/>
      <c r="M827" s="652"/>
    </row>
    <row r="828" spans="1:13" ht="24">
      <c r="A828" s="696" t="s">
        <v>701</v>
      </c>
      <c r="B828" s="718">
        <f>3.85+3.85+2+2</f>
        <v>11.7</v>
      </c>
      <c r="C828" s="718">
        <v>0.7</v>
      </c>
      <c r="D828" s="718">
        <f t="shared" si="30"/>
        <v>8.19</v>
      </c>
      <c r="E828" s="718"/>
      <c r="F828" s="718"/>
      <c r="G828" s="743">
        <f t="shared" si="31"/>
        <v>8.19</v>
      </c>
      <c r="H828" s="652"/>
      <c r="I828" s="652"/>
      <c r="J828" s="652"/>
      <c r="K828" s="652"/>
      <c r="L828" s="652"/>
      <c r="M828" s="652"/>
    </row>
    <row r="829" spans="1:13">
      <c r="A829" s="2235"/>
      <c r="B829" s="2155"/>
      <c r="C829" s="2155"/>
      <c r="D829" s="2155"/>
      <c r="E829" s="2155"/>
      <c r="F829" s="2155"/>
      <c r="G829" s="2156"/>
      <c r="H829" s="652"/>
      <c r="I829" s="652"/>
      <c r="J829" s="652"/>
      <c r="K829" s="652"/>
      <c r="L829" s="652"/>
      <c r="M829" s="652"/>
    </row>
    <row r="830" spans="1:13">
      <c r="A830" s="2288" t="s">
        <v>702</v>
      </c>
      <c r="B830" s="2289"/>
      <c r="C830" s="2289"/>
      <c r="D830" s="2289"/>
      <c r="E830" s="2289"/>
      <c r="F830" s="2289"/>
      <c r="G830" s="2290"/>
      <c r="H830" s="652"/>
      <c r="I830" s="652"/>
      <c r="J830" s="652"/>
      <c r="K830" s="652"/>
      <c r="L830" s="652"/>
      <c r="M830" s="652"/>
    </row>
    <row r="831" spans="1:13">
      <c r="A831" s="696" t="s">
        <v>703</v>
      </c>
      <c r="B831" s="718">
        <v>3.5</v>
      </c>
      <c r="C831" s="718">
        <v>2.8</v>
      </c>
      <c r="D831" s="718">
        <f t="shared" ref="D831:D842" si="32">B831*C831</f>
        <v>9.7999999999999989</v>
      </c>
      <c r="E831" s="742" t="s">
        <v>695</v>
      </c>
      <c r="F831" s="718">
        <f>0.8*2.1</f>
        <v>1.6800000000000002</v>
      </c>
      <c r="G831" s="743">
        <f t="shared" ref="G831:G842" si="33">D831-F831</f>
        <v>8.1199999999999992</v>
      </c>
      <c r="H831" s="652"/>
      <c r="I831" s="652"/>
      <c r="J831" s="652"/>
      <c r="K831" s="652"/>
      <c r="L831" s="652"/>
      <c r="M831" s="652"/>
    </row>
    <row r="832" spans="1:13" ht="36">
      <c r="A832" s="696" t="s">
        <v>704</v>
      </c>
      <c r="B832" s="718">
        <f>3.15+3.5</f>
        <v>6.65</v>
      </c>
      <c r="C832" s="718">
        <v>2.8</v>
      </c>
      <c r="D832" s="718">
        <f t="shared" si="32"/>
        <v>18.62</v>
      </c>
      <c r="E832" s="742" t="s">
        <v>705</v>
      </c>
      <c r="F832" s="718">
        <f>(0.8*2.1)+(1.1*0.6*2)</f>
        <v>3</v>
      </c>
      <c r="G832" s="743">
        <f t="shared" si="33"/>
        <v>15.620000000000001</v>
      </c>
      <c r="H832" s="652"/>
      <c r="I832" s="652"/>
      <c r="J832" s="652"/>
      <c r="K832" s="652"/>
      <c r="L832" s="652"/>
      <c r="M832" s="652"/>
    </row>
    <row r="833" spans="1:13">
      <c r="A833" s="696" t="s">
        <v>706</v>
      </c>
      <c r="B833" s="718">
        <f>3.35+3.15</f>
        <v>6.5</v>
      </c>
      <c r="C833" s="718">
        <v>2.8</v>
      </c>
      <c r="D833" s="718">
        <f t="shared" si="32"/>
        <v>18.2</v>
      </c>
      <c r="E833" s="718"/>
      <c r="F833" s="718"/>
      <c r="G833" s="743">
        <f t="shared" si="33"/>
        <v>18.2</v>
      </c>
      <c r="H833" s="652"/>
      <c r="I833" s="652"/>
      <c r="J833" s="652"/>
      <c r="K833" s="652"/>
      <c r="L833" s="652"/>
      <c r="M833" s="652"/>
    </row>
    <row r="834" spans="1:13" ht="24">
      <c r="A834" s="696" t="s">
        <v>707</v>
      </c>
      <c r="B834" s="718">
        <v>8</v>
      </c>
      <c r="C834" s="718">
        <v>2.8</v>
      </c>
      <c r="D834" s="718">
        <f t="shared" si="32"/>
        <v>22.4</v>
      </c>
      <c r="E834" s="742" t="s">
        <v>708</v>
      </c>
      <c r="F834" s="718">
        <f>(2.2*1.1)+(0.8*2.1)</f>
        <v>4.1000000000000005</v>
      </c>
      <c r="G834" s="743">
        <f t="shared" si="33"/>
        <v>18.299999999999997</v>
      </c>
      <c r="H834" s="652"/>
      <c r="I834" s="652"/>
      <c r="J834" s="652"/>
      <c r="K834" s="652"/>
      <c r="L834" s="652"/>
      <c r="M834" s="652"/>
    </row>
    <row r="835" spans="1:13" ht="24">
      <c r="A835" s="696" t="s">
        <v>707</v>
      </c>
      <c r="B835" s="718">
        <v>8</v>
      </c>
      <c r="C835" s="718">
        <v>2.8</v>
      </c>
      <c r="D835" s="718">
        <f t="shared" si="32"/>
        <v>22.4</v>
      </c>
      <c r="E835" s="718"/>
      <c r="F835" s="718"/>
      <c r="G835" s="743">
        <f t="shared" si="33"/>
        <v>22.4</v>
      </c>
      <c r="H835" s="652"/>
      <c r="I835" s="652"/>
      <c r="J835" s="652"/>
      <c r="K835" s="652"/>
      <c r="L835" s="652"/>
      <c r="M835" s="652"/>
    </row>
    <row r="836" spans="1:13">
      <c r="A836" s="696" t="s">
        <v>709</v>
      </c>
      <c r="B836" s="718">
        <v>3.5</v>
      </c>
      <c r="C836" s="718">
        <v>2.8</v>
      </c>
      <c r="D836" s="718">
        <f t="shared" si="32"/>
        <v>9.7999999999999989</v>
      </c>
      <c r="E836" s="742" t="s">
        <v>710</v>
      </c>
      <c r="F836" s="718">
        <f>2.2*1.1</f>
        <v>2.4200000000000004</v>
      </c>
      <c r="G836" s="743">
        <f t="shared" si="33"/>
        <v>7.379999999999999</v>
      </c>
      <c r="H836" s="652"/>
      <c r="I836" s="652"/>
      <c r="J836" s="652"/>
      <c r="K836" s="652"/>
      <c r="L836" s="652"/>
      <c r="M836" s="652"/>
    </row>
    <row r="837" spans="1:13">
      <c r="A837" s="696" t="s">
        <v>711</v>
      </c>
      <c r="B837" s="718">
        <f>2.55+2</f>
        <v>4.55</v>
      </c>
      <c r="C837" s="718">
        <v>2.8</v>
      </c>
      <c r="D837" s="718">
        <f t="shared" si="32"/>
        <v>12.739999999999998</v>
      </c>
      <c r="E837" s="718"/>
      <c r="F837" s="718"/>
      <c r="G837" s="743">
        <f t="shared" si="33"/>
        <v>12.739999999999998</v>
      </c>
      <c r="H837" s="652"/>
      <c r="I837" s="652"/>
      <c r="J837" s="652"/>
      <c r="K837" s="652"/>
      <c r="L837" s="652"/>
      <c r="M837" s="652"/>
    </row>
    <row r="838" spans="1:13" ht="24">
      <c r="A838" s="801" t="s">
        <v>712</v>
      </c>
      <c r="B838" s="802">
        <v>4</v>
      </c>
      <c r="C838" s="779">
        <v>2.8</v>
      </c>
      <c r="D838" s="779">
        <f t="shared" si="32"/>
        <v>11.2</v>
      </c>
      <c r="E838" s="803" t="s">
        <v>713</v>
      </c>
      <c r="F838" s="779">
        <f>(1.3*2.1)+(2.3*1.1)</f>
        <v>5.26</v>
      </c>
      <c r="G838" s="804">
        <f t="shared" si="33"/>
        <v>5.9399999999999995</v>
      </c>
      <c r="H838" s="652"/>
      <c r="I838" s="652"/>
      <c r="J838" s="652"/>
      <c r="K838" s="652"/>
      <c r="L838" s="652"/>
      <c r="M838" s="652"/>
    </row>
    <row r="839" spans="1:13" ht="36">
      <c r="A839" s="801" t="s">
        <v>714</v>
      </c>
      <c r="B839" s="802">
        <f>2.15+1.35+1.5</f>
        <v>5</v>
      </c>
      <c r="C839" s="779">
        <v>5.23</v>
      </c>
      <c r="D839" s="779">
        <f t="shared" si="32"/>
        <v>26.150000000000002</v>
      </c>
      <c r="E839" s="803" t="s">
        <v>715</v>
      </c>
      <c r="F839" s="779">
        <f>1.2*1.1+(0.8*2.1)+(0.9*2.1)</f>
        <v>4.8900000000000006</v>
      </c>
      <c r="G839" s="804">
        <f t="shared" si="33"/>
        <v>21.26</v>
      </c>
      <c r="H839" s="652"/>
      <c r="I839" s="652"/>
      <c r="J839" s="652"/>
      <c r="K839" s="652"/>
      <c r="L839" s="652"/>
      <c r="M839" s="652"/>
    </row>
    <row r="840" spans="1:13">
      <c r="A840" s="801" t="s">
        <v>716</v>
      </c>
      <c r="B840" s="802">
        <v>1.5</v>
      </c>
      <c r="C840" s="779">
        <v>5.23</v>
      </c>
      <c r="D840" s="779">
        <f t="shared" si="32"/>
        <v>7.8450000000000006</v>
      </c>
      <c r="E840" s="779"/>
      <c r="F840" s="779"/>
      <c r="G840" s="804">
        <f t="shared" si="33"/>
        <v>7.8450000000000006</v>
      </c>
      <c r="H840" s="652"/>
      <c r="I840" s="652"/>
      <c r="J840" s="652"/>
      <c r="K840" s="652"/>
      <c r="L840" s="652"/>
      <c r="M840" s="652"/>
    </row>
    <row r="841" spans="1:13" ht="48">
      <c r="A841" s="801" t="s">
        <v>717</v>
      </c>
      <c r="B841" s="802">
        <f>4.6+9.6</f>
        <v>14.2</v>
      </c>
      <c r="C841" s="779">
        <v>4.7300000000000004</v>
      </c>
      <c r="D841" s="779">
        <f t="shared" si="32"/>
        <v>67.165999999999997</v>
      </c>
      <c r="E841" s="803" t="s">
        <v>718</v>
      </c>
      <c r="F841" s="779">
        <f>2.3*1.1*2+(0.8*2.1)+(1*2.1)</f>
        <v>8.84</v>
      </c>
      <c r="G841" s="804">
        <f t="shared" si="33"/>
        <v>58.325999999999993</v>
      </c>
      <c r="H841" s="652"/>
      <c r="I841" s="652"/>
      <c r="J841" s="652"/>
      <c r="K841" s="652"/>
      <c r="L841" s="652"/>
      <c r="M841" s="652"/>
    </row>
    <row r="842" spans="1:13">
      <c r="A842" s="801" t="s">
        <v>719</v>
      </c>
      <c r="B842" s="802">
        <v>4.5999999999999996</v>
      </c>
      <c r="C842" s="779">
        <v>1.93</v>
      </c>
      <c r="D842" s="779">
        <f t="shared" si="32"/>
        <v>8.8779999999999983</v>
      </c>
      <c r="E842" s="779"/>
      <c r="F842" s="779"/>
      <c r="G842" s="804">
        <f t="shared" si="33"/>
        <v>8.8779999999999983</v>
      </c>
      <c r="H842" s="652"/>
      <c r="I842" s="652"/>
      <c r="J842" s="652"/>
      <c r="K842" s="652"/>
      <c r="L842" s="652"/>
      <c r="M842" s="652"/>
    </row>
    <row r="843" spans="1:13">
      <c r="A843" s="2235"/>
      <c r="B843" s="2155"/>
      <c r="C843" s="2155"/>
      <c r="D843" s="2155"/>
      <c r="E843" s="2155"/>
      <c r="F843" s="2155"/>
      <c r="G843" s="2156"/>
      <c r="H843" s="652"/>
      <c r="I843" s="652"/>
      <c r="J843" s="652"/>
      <c r="K843" s="652"/>
      <c r="L843" s="652"/>
      <c r="M843" s="652"/>
    </row>
    <row r="844" spans="1:13">
      <c r="A844" s="2288" t="s">
        <v>720</v>
      </c>
      <c r="B844" s="2289"/>
      <c r="C844" s="2289"/>
      <c r="D844" s="2289"/>
      <c r="E844" s="2289"/>
      <c r="F844" s="2289"/>
      <c r="G844" s="2290"/>
      <c r="H844" s="652"/>
      <c r="I844" s="652"/>
      <c r="J844" s="652"/>
      <c r="K844" s="652"/>
      <c r="L844" s="652"/>
      <c r="M844" s="652"/>
    </row>
    <row r="845" spans="1:13" ht="36">
      <c r="A845" s="696" t="s">
        <v>721</v>
      </c>
      <c r="B845" s="747">
        <f>7.5+4.65</f>
        <v>12.15</v>
      </c>
      <c r="C845" s="718">
        <v>2.8</v>
      </c>
      <c r="D845" s="718">
        <f t="shared" ref="D845:D853" si="34">B845*C845</f>
        <v>34.019999999999996</v>
      </c>
      <c r="E845" s="742" t="s">
        <v>722</v>
      </c>
      <c r="F845" s="718">
        <f>(1.6*2.1)+(3*1.1*0.6)</f>
        <v>5.34</v>
      </c>
      <c r="G845" s="743">
        <f t="shared" ref="G845:G853" si="35">D845-F845</f>
        <v>28.679999999999996</v>
      </c>
      <c r="H845" s="652"/>
      <c r="I845" s="652"/>
      <c r="J845" s="652"/>
      <c r="K845" s="652"/>
      <c r="L845" s="652"/>
      <c r="M845" s="652"/>
    </row>
    <row r="846" spans="1:13" ht="24">
      <c r="A846" s="696" t="s">
        <v>721</v>
      </c>
      <c r="B846" s="747">
        <f>7.5+4.65</f>
        <v>12.15</v>
      </c>
      <c r="C846" s="718">
        <v>2.8</v>
      </c>
      <c r="D846" s="718">
        <f t="shared" si="34"/>
        <v>34.019999999999996</v>
      </c>
      <c r="E846" s="718"/>
      <c r="F846" s="718"/>
      <c r="G846" s="743">
        <f t="shared" si="35"/>
        <v>34.019999999999996</v>
      </c>
      <c r="H846" s="652"/>
      <c r="I846" s="652"/>
      <c r="J846" s="652"/>
      <c r="K846" s="652"/>
      <c r="L846" s="652"/>
      <c r="M846" s="652"/>
    </row>
    <row r="847" spans="1:13" ht="36">
      <c r="A847" s="696" t="s">
        <v>723</v>
      </c>
      <c r="B847" s="800">
        <f>8.85+10.35</f>
        <v>19.2</v>
      </c>
      <c r="C847" s="718">
        <v>2.8</v>
      </c>
      <c r="D847" s="718">
        <f t="shared" si="34"/>
        <v>53.76</v>
      </c>
      <c r="E847" s="742" t="s">
        <v>724</v>
      </c>
      <c r="F847" s="718">
        <f>2.3*1.1*5</f>
        <v>12.649999999999999</v>
      </c>
      <c r="G847" s="743">
        <f t="shared" si="35"/>
        <v>41.11</v>
      </c>
      <c r="H847" s="652"/>
      <c r="I847" s="652"/>
      <c r="J847" s="652"/>
      <c r="K847" s="652"/>
      <c r="L847" s="652"/>
      <c r="M847" s="652"/>
    </row>
    <row r="848" spans="1:13" ht="24">
      <c r="A848" s="696" t="s">
        <v>725</v>
      </c>
      <c r="B848" s="800">
        <f>4.65+4</f>
        <v>8.65</v>
      </c>
      <c r="C848" s="718">
        <v>2.8</v>
      </c>
      <c r="D848" s="718">
        <f t="shared" si="34"/>
        <v>24.22</v>
      </c>
      <c r="E848" s="718"/>
      <c r="F848" s="718"/>
      <c r="G848" s="743">
        <f t="shared" si="35"/>
        <v>24.22</v>
      </c>
      <c r="H848" s="652"/>
      <c r="I848" s="652"/>
      <c r="J848" s="652"/>
      <c r="K848" s="652"/>
      <c r="L848" s="652"/>
      <c r="M848" s="652"/>
    </row>
    <row r="849" spans="1:13">
      <c r="A849" s="696" t="s">
        <v>726</v>
      </c>
      <c r="B849" s="800">
        <v>5.5</v>
      </c>
      <c r="C849" s="718">
        <v>2.8</v>
      </c>
      <c r="D849" s="718">
        <f t="shared" si="34"/>
        <v>15.399999999999999</v>
      </c>
      <c r="E849" s="742" t="s">
        <v>727</v>
      </c>
      <c r="F849" s="718">
        <f>2.3*1.1</f>
        <v>2.5299999999999998</v>
      </c>
      <c r="G849" s="743">
        <f t="shared" si="35"/>
        <v>12.87</v>
      </c>
      <c r="H849" s="652"/>
      <c r="I849" s="652"/>
      <c r="J849" s="652"/>
      <c r="K849" s="652"/>
      <c r="L849" s="652"/>
      <c r="M849" s="652"/>
    </row>
    <row r="850" spans="1:13">
      <c r="A850" s="696" t="s">
        <v>728</v>
      </c>
      <c r="B850" s="800">
        <v>4.5</v>
      </c>
      <c r="C850" s="718">
        <v>2.8</v>
      </c>
      <c r="D850" s="718">
        <f t="shared" si="34"/>
        <v>12.6</v>
      </c>
      <c r="E850" s="718"/>
      <c r="F850" s="718"/>
      <c r="G850" s="743">
        <f t="shared" si="35"/>
        <v>12.6</v>
      </c>
      <c r="H850" s="652"/>
      <c r="I850" s="652"/>
      <c r="J850" s="652"/>
      <c r="K850" s="652"/>
      <c r="L850" s="652"/>
      <c r="M850" s="652"/>
    </row>
    <row r="851" spans="1:13">
      <c r="A851" s="801" t="s">
        <v>729</v>
      </c>
      <c r="B851" s="802">
        <v>5</v>
      </c>
      <c r="C851" s="779">
        <v>2.8</v>
      </c>
      <c r="D851" s="779">
        <f t="shared" si="34"/>
        <v>14</v>
      </c>
      <c r="E851" s="779"/>
      <c r="F851" s="779"/>
      <c r="G851" s="804">
        <f t="shared" si="35"/>
        <v>14</v>
      </c>
      <c r="H851" s="652"/>
      <c r="I851" s="652"/>
      <c r="J851" s="652"/>
      <c r="K851" s="652"/>
      <c r="L851" s="652"/>
      <c r="M851" s="652"/>
    </row>
    <row r="852" spans="1:13">
      <c r="A852" s="801" t="s">
        <v>730</v>
      </c>
      <c r="B852" s="802">
        <v>9</v>
      </c>
      <c r="C852" s="779">
        <v>2.8</v>
      </c>
      <c r="D852" s="779">
        <f t="shared" si="34"/>
        <v>25.2</v>
      </c>
      <c r="E852" s="779"/>
      <c r="F852" s="779"/>
      <c r="G852" s="804">
        <f t="shared" si="35"/>
        <v>25.2</v>
      </c>
      <c r="H852" s="652"/>
      <c r="I852" s="652"/>
      <c r="J852" s="652"/>
      <c r="K852" s="652"/>
      <c r="L852" s="652"/>
      <c r="M852" s="652"/>
    </row>
    <row r="853" spans="1:13" ht="24">
      <c r="A853" s="801" t="s">
        <v>731</v>
      </c>
      <c r="B853" s="802">
        <v>6.15</v>
      </c>
      <c r="C853" s="779">
        <v>5.23</v>
      </c>
      <c r="D853" s="779">
        <f t="shared" si="34"/>
        <v>32.164500000000004</v>
      </c>
      <c r="E853" s="803" t="s">
        <v>845</v>
      </c>
      <c r="F853" s="779">
        <f>0.8*2.1*4</f>
        <v>6.7200000000000006</v>
      </c>
      <c r="G853" s="804">
        <f t="shared" si="35"/>
        <v>25.444500000000005</v>
      </c>
      <c r="H853" s="652"/>
      <c r="I853" s="652"/>
      <c r="J853" s="652"/>
      <c r="K853" s="652"/>
      <c r="L853" s="652"/>
      <c r="M853" s="652"/>
    </row>
    <row r="854" spans="1:13">
      <c r="A854" s="2235"/>
      <c r="B854" s="2155"/>
      <c r="C854" s="2155"/>
      <c r="D854" s="2155"/>
      <c r="E854" s="2155"/>
      <c r="F854" s="2155"/>
      <c r="G854" s="2156"/>
      <c r="H854" s="652"/>
      <c r="I854" s="652"/>
      <c r="J854" s="652"/>
      <c r="K854" s="652"/>
      <c r="L854" s="652"/>
      <c r="M854" s="652"/>
    </row>
    <row r="855" spans="1:13">
      <c r="A855" s="2172" t="s">
        <v>2000</v>
      </c>
      <c r="B855" s="2175"/>
      <c r="C855" s="2175"/>
      <c r="D855" s="2175"/>
      <c r="E855" s="2175"/>
      <c r="F855" s="2175"/>
      <c r="G855" s="2176"/>
      <c r="H855" s="652"/>
      <c r="I855" s="918"/>
      <c r="J855" s="652"/>
      <c r="K855" s="652"/>
      <c r="L855" s="652"/>
      <c r="M855" s="652"/>
    </row>
    <row r="856" spans="1:13">
      <c r="A856" s="2276"/>
      <c r="B856" s="2277"/>
      <c r="C856" s="2282" t="s">
        <v>692</v>
      </c>
      <c r="D856" s="2283"/>
      <c r="E856" s="2283"/>
      <c r="F856" s="2284"/>
      <c r="G856" s="743"/>
      <c r="H856" s="652"/>
      <c r="I856" s="652"/>
      <c r="J856" s="652"/>
      <c r="K856" s="652"/>
      <c r="L856" s="652"/>
      <c r="M856" s="652"/>
    </row>
    <row r="857" spans="1:13">
      <c r="A857" s="2278"/>
      <c r="B857" s="2279"/>
      <c r="C857" s="2285" t="s">
        <v>283</v>
      </c>
      <c r="D857" s="2286"/>
      <c r="E857" s="2286"/>
      <c r="F857" s="2287"/>
      <c r="G857" s="806">
        <f>ROUNDUP(G821+G822+G823+G824+G825+G826+G827+G828,2)</f>
        <v>48.91</v>
      </c>
      <c r="H857" s="652"/>
      <c r="I857" s="652"/>
      <c r="J857" s="652"/>
      <c r="K857" s="652"/>
      <c r="L857" s="652"/>
      <c r="M857" s="652"/>
    </row>
    <row r="858" spans="1:13">
      <c r="A858" s="2278"/>
      <c r="B858" s="2279"/>
      <c r="C858" s="2282" t="s">
        <v>702</v>
      </c>
      <c r="D858" s="2283"/>
      <c r="E858" s="2283"/>
      <c r="F858" s="2284"/>
      <c r="G858" s="807"/>
      <c r="H858" s="652"/>
      <c r="I858" s="652"/>
      <c r="J858" s="652"/>
      <c r="K858" s="652"/>
      <c r="L858" s="652"/>
      <c r="M858" s="652"/>
    </row>
    <row r="859" spans="1:13">
      <c r="A859" s="2278"/>
      <c r="B859" s="2279"/>
      <c r="C859" s="2285" t="s">
        <v>283</v>
      </c>
      <c r="D859" s="2286"/>
      <c r="E859" s="2286"/>
      <c r="F859" s="2287"/>
      <c r="G859" s="806">
        <f>ROUNDUP(G831+G832+G833+G834+G835+G836+G837+G838+G839+G840+G841+G842,2)</f>
        <v>205.01</v>
      </c>
      <c r="H859" s="652"/>
      <c r="I859" s="652"/>
      <c r="J859" s="652"/>
      <c r="K859" s="652"/>
      <c r="L859" s="652"/>
      <c r="M859" s="652"/>
    </row>
    <row r="860" spans="1:13">
      <c r="A860" s="2278"/>
      <c r="B860" s="2279"/>
      <c r="C860" s="2282" t="s">
        <v>720</v>
      </c>
      <c r="D860" s="2283"/>
      <c r="E860" s="2283"/>
      <c r="F860" s="2284"/>
      <c r="G860" s="807"/>
      <c r="H860" s="652"/>
      <c r="I860" s="652"/>
      <c r="J860" s="652"/>
      <c r="K860" s="652"/>
      <c r="L860" s="652"/>
      <c r="M860" s="652"/>
    </row>
    <row r="861" spans="1:13">
      <c r="A861" s="2280"/>
      <c r="B861" s="2281"/>
      <c r="C861" s="2285" t="s">
        <v>283</v>
      </c>
      <c r="D861" s="2286"/>
      <c r="E861" s="2286"/>
      <c r="F861" s="2287"/>
      <c r="G861" s="806">
        <f>ROUNDUP(G845+G851+G852+G846+G847+G849+G850+G853,2)</f>
        <v>193.92999999999998</v>
      </c>
      <c r="H861" s="652"/>
      <c r="I861" s="652"/>
      <c r="J861" s="652"/>
      <c r="K861" s="652"/>
      <c r="L861" s="652"/>
      <c r="M861" s="652"/>
    </row>
    <row r="862" spans="1:13" ht="15.75" thickBot="1">
      <c r="A862" s="2273" t="s">
        <v>316</v>
      </c>
      <c r="B862" s="2274"/>
      <c r="C862" s="2274"/>
      <c r="D862" s="2274"/>
      <c r="E862" s="2274"/>
      <c r="F862" s="2275"/>
      <c r="G862" s="827">
        <f>ROUNDUP(G857+G859+G861,2)</f>
        <v>447.85</v>
      </c>
      <c r="H862" s="652"/>
      <c r="I862" s="652"/>
      <c r="J862" s="652"/>
      <c r="K862" s="652"/>
      <c r="L862" s="652"/>
      <c r="M862" s="652"/>
    </row>
    <row r="863" spans="1:13" ht="15.75" thickBot="1">
      <c r="A863" s="714"/>
      <c r="B863" s="715"/>
      <c r="C863" s="715"/>
      <c r="D863" s="715"/>
      <c r="E863" s="715"/>
      <c r="F863" s="715"/>
      <c r="G863" s="716"/>
      <c r="H863" s="652"/>
      <c r="I863" s="652"/>
      <c r="J863" s="652"/>
      <c r="K863" s="652"/>
      <c r="L863" s="652"/>
      <c r="M863" s="652"/>
    </row>
    <row r="864" spans="1:13" ht="15.75" thickBot="1">
      <c r="A864" s="666" t="s">
        <v>89</v>
      </c>
      <c r="B864" s="2163" t="s">
        <v>847</v>
      </c>
      <c r="C864" s="2164"/>
      <c r="D864" s="2164"/>
      <c r="E864" s="2164"/>
      <c r="F864" s="2164"/>
      <c r="G864" s="2165"/>
      <c r="H864" s="652"/>
      <c r="I864" s="652"/>
      <c r="J864" s="652"/>
      <c r="K864" s="652"/>
      <c r="L864" s="652"/>
      <c r="M864" s="652"/>
    </row>
    <row r="865" spans="1:13">
      <c r="A865" s="2166" t="s">
        <v>843</v>
      </c>
      <c r="B865" s="2167"/>
      <c r="C865" s="2167"/>
      <c r="D865" s="2167"/>
      <c r="E865" s="2167"/>
      <c r="F865" s="2167"/>
      <c r="G865" s="2168"/>
      <c r="H865" s="652"/>
      <c r="I865" s="652"/>
      <c r="J865" s="652"/>
      <c r="K865" s="652"/>
      <c r="L865" s="652"/>
      <c r="M865" s="652"/>
    </row>
    <row r="866" spans="1:13">
      <c r="A866" s="2169" t="s">
        <v>844</v>
      </c>
      <c r="B866" s="2170"/>
      <c r="C866" s="2170"/>
      <c r="D866" s="2170"/>
      <c r="E866" s="2170"/>
      <c r="F866" s="2170"/>
      <c r="G866" s="2171"/>
      <c r="H866" s="652"/>
      <c r="I866" s="652"/>
      <c r="J866" s="652"/>
      <c r="K866" s="652"/>
      <c r="L866" s="652"/>
      <c r="M866" s="652"/>
    </row>
    <row r="867" spans="1:13">
      <c r="A867" s="681" t="s">
        <v>298</v>
      </c>
      <c r="B867" s="682" t="s">
        <v>298</v>
      </c>
      <c r="C867" s="682" t="s">
        <v>308</v>
      </c>
      <c r="D867" s="682" t="s">
        <v>309</v>
      </c>
      <c r="E867" s="682" t="s">
        <v>310</v>
      </c>
      <c r="F867" s="682" t="s">
        <v>311</v>
      </c>
      <c r="G867" s="740" t="s">
        <v>312</v>
      </c>
      <c r="H867" s="652"/>
      <c r="I867" s="652"/>
      <c r="J867" s="652"/>
      <c r="K867" s="652"/>
      <c r="L867" s="652"/>
      <c r="M867" s="652"/>
    </row>
    <row r="868" spans="1:13">
      <c r="A868" s="2288" t="s">
        <v>692</v>
      </c>
      <c r="B868" s="2289"/>
      <c r="C868" s="2289"/>
      <c r="D868" s="2289"/>
      <c r="E868" s="2289"/>
      <c r="F868" s="2289"/>
      <c r="G868" s="2290"/>
      <c r="H868" s="652"/>
      <c r="I868" s="652"/>
      <c r="J868" s="652"/>
      <c r="K868" s="652"/>
      <c r="L868" s="652"/>
      <c r="M868" s="652"/>
    </row>
    <row r="869" spans="1:13">
      <c r="A869" s="696" t="s">
        <v>693</v>
      </c>
      <c r="B869" s="718">
        <v>1.5</v>
      </c>
      <c r="C869" s="718">
        <v>2.8</v>
      </c>
      <c r="D869" s="718">
        <f t="shared" ref="D869:D876" si="36">B869*C869</f>
        <v>4.1999999999999993</v>
      </c>
      <c r="E869" s="718"/>
      <c r="F869" s="718"/>
      <c r="G869" s="743">
        <f t="shared" ref="G869:G876" si="37">D869-F869</f>
        <v>4.1999999999999993</v>
      </c>
      <c r="H869" s="652"/>
      <c r="I869" s="652"/>
      <c r="J869" s="652"/>
      <c r="K869" s="652"/>
      <c r="L869" s="652"/>
      <c r="M869" s="652"/>
    </row>
    <row r="870" spans="1:13">
      <c r="A870" s="696" t="s">
        <v>694</v>
      </c>
      <c r="B870" s="800">
        <v>1.95</v>
      </c>
      <c r="C870" s="718">
        <v>2.8</v>
      </c>
      <c r="D870" s="718">
        <f t="shared" si="36"/>
        <v>5.46</v>
      </c>
      <c r="E870" s="742" t="s">
        <v>695</v>
      </c>
      <c r="F870" s="718">
        <f>0.8*2.1</f>
        <v>1.6800000000000002</v>
      </c>
      <c r="G870" s="743">
        <f t="shared" si="37"/>
        <v>3.78</v>
      </c>
      <c r="H870" s="652"/>
      <c r="I870" s="652"/>
      <c r="J870" s="652"/>
      <c r="K870" s="652"/>
      <c r="L870" s="652"/>
      <c r="M870" s="652"/>
    </row>
    <row r="871" spans="1:13" ht="36">
      <c r="A871" s="696" t="s">
        <v>696</v>
      </c>
      <c r="B871" s="718">
        <f>1.05+2.85+3.85+1.85+1.08+2</f>
        <v>12.68</v>
      </c>
      <c r="C871" s="718">
        <v>0.7</v>
      </c>
      <c r="D871" s="718">
        <f t="shared" si="36"/>
        <v>8.8759999999999994</v>
      </c>
      <c r="E871" s="718"/>
      <c r="F871" s="718"/>
      <c r="G871" s="743">
        <f t="shared" si="37"/>
        <v>8.8759999999999994</v>
      </c>
      <c r="H871" s="652"/>
      <c r="I871" s="652"/>
      <c r="J871" s="652"/>
      <c r="K871" s="652"/>
      <c r="L871" s="652"/>
      <c r="M871" s="652"/>
    </row>
    <row r="872" spans="1:13" ht="36">
      <c r="A872" s="696" t="s">
        <v>697</v>
      </c>
      <c r="B872" s="718">
        <f>1.05+2.85+3.85+1.85+1.08+2</f>
        <v>12.68</v>
      </c>
      <c r="C872" s="718">
        <v>0.7</v>
      </c>
      <c r="D872" s="718">
        <f t="shared" si="36"/>
        <v>8.8759999999999994</v>
      </c>
      <c r="E872" s="718"/>
      <c r="F872" s="718"/>
      <c r="G872" s="743">
        <f t="shared" si="37"/>
        <v>8.8759999999999994</v>
      </c>
      <c r="H872" s="652"/>
      <c r="I872" s="652"/>
      <c r="J872" s="652"/>
      <c r="K872" s="652"/>
      <c r="L872" s="652"/>
      <c r="M872" s="652"/>
    </row>
    <row r="873" spans="1:13" ht="24">
      <c r="A873" s="696" t="s">
        <v>698</v>
      </c>
      <c r="B873" s="718">
        <f>1.85+1.65+1.85+1.65</f>
        <v>7</v>
      </c>
      <c r="C873" s="718">
        <v>0.7</v>
      </c>
      <c r="D873" s="718">
        <f t="shared" si="36"/>
        <v>4.8999999999999995</v>
      </c>
      <c r="E873" s="718"/>
      <c r="F873" s="718"/>
      <c r="G873" s="743">
        <f t="shared" si="37"/>
        <v>4.8999999999999995</v>
      </c>
      <c r="H873" s="652"/>
      <c r="I873" s="652"/>
      <c r="J873" s="652"/>
      <c r="K873" s="652"/>
      <c r="L873" s="652"/>
      <c r="M873" s="652"/>
    </row>
    <row r="874" spans="1:13" ht="24">
      <c r="A874" s="696" t="s">
        <v>699</v>
      </c>
      <c r="B874" s="718">
        <f>1.85+1.65+1.85+1.65</f>
        <v>7</v>
      </c>
      <c r="C874" s="718">
        <v>0.7</v>
      </c>
      <c r="D874" s="718">
        <f t="shared" si="36"/>
        <v>4.8999999999999995</v>
      </c>
      <c r="E874" s="718"/>
      <c r="F874" s="718"/>
      <c r="G874" s="743">
        <f t="shared" si="37"/>
        <v>4.8999999999999995</v>
      </c>
      <c r="H874" s="652"/>
      <c r="I874" s="652"/>
      <c r="J874" s="652"/>
      <c r="K874" s="652"/>
      <c r="L874" s="652"/>
      <c r="M874" s="652"/>
    </row>
    <row r="875" spans="1:13" ht="24">
      <c r="A875" s="696" t="s">
        <v>700</v>
      </c>
      <c r="B875" s="718">
        <f>1.35+1.35+2.35+2.35</f>
        <v>7.4</v>
      </c>
      <c r="C875" s="718">
        <v>0.7</v>
      </c>
      <c r="D875" s="718">
        <f t="shared" si="36"/>
        <v>5.18</v>
      </c>
      <c r="E875" s="718"/>
      <c r="F875" s="718"/>
      <c r="G875" s="743">
        <f t="shared" si="37"/>
        <v>5.18</v>
      </c>
      <c r="H875" s="652"/>
      <c r="I875" s="652"/>
      <c r="J875" s="652"/>
      <c r="K875" s="652"/>
      <c r="L875" s="652"/>
      <c r="M875" s="652"/>
    </row>
    <row r="876" spans="1:13" ht="24">
      <c r="A876" s="696" t="s">
        <v>701</v>
      </c>
      <c r="B876" s="718">
        <f>3.85+3.85+2+2</f>
        <v>11.7</v>
      </c>
      <c r="C876" s="718">
        <v>0.7</v>
      </c>
      <c r="D876" s="718">
        <f t="shared" si="36"/>
        <v>8.19</v>
      </c>
      <c r="E876" s="718"/>
      <c r="F876" s="718"/>
      <c r="G876" s="743">
        <f t="shared" si="37"/>
        <v>8.19</v>
      </c>
      <c r="H876" s="652"/>
      <c r="I876" s="652"/>
      <c r="J876" s="652"/>
      <c r="K876" s="652"/>
      <c r="L876" s="652"/>
      <c r="M876" s="652"/>
    </row>
    <row r="877" spans="1:13">
      <c r="A877" s="2235"/>
      <c r="B877" s="2155"/>
      <c r="C877" s="2155"/>
      <c r="D877" s="2155"/>
      <c r="E877" s="2155"/>
      <c r="F877" s="2155"/>
      <c r="G877" s="2156"/>
      <c r="H877" s="652"/>
      <c r="I877" s="652"/>
      <c r="J877" s="652"/>
      <c r="K877" s="652"/>
      <c r="L877" s="652"/>
      <c r="M877" s="652"/>
    </row>
    <row r="878" spans="1:13">
      <c r="A878" s="2288" t="s">
        <v>702</v>
      </c>
      <c r="B878" s="2289"/>
      <c r="C878" s="2289"/>
      <c r="D878" s="2289"/>
      <c r="E878" s="2289"/>
      <c r="F878" s="2289"/>
      <c r="G878" s="2290"/>
      <c r="H878" s="652"/>
      <c r="I878" s="652"/>
      <c r="J878" s="652"/>
      <c r="K878" s="652"/>
      <c r="L878" s="652"/>
      <c r="M878" s="652"/>
    </row>
    <row r="879" spans="1:13">
      <c r="A879" s="696" t="s">
        <v>703</v>
      </c>
      <c r="B879" s="718">
        <v>3.5</v>
      </c>
      <c r="C879" s="718">
        <v>2.8</v>
      </c>
      <c r="D879" s="718">
        <f t="shared" ref="D879:D890" si="38">B879*C879</f>
        <v>9.7999999999999989</v>
      </c>
      <c r="E879" s="742" t="s">
        <v>695</v>
      </c>
      <c r="F879" s="718">
        <f>0.8*2.1</f>
        <v>1.6800000000000002</v>
      </c>
      <c r="G879" s="743">
        <f t="shared" ref="G879:G890" si="39">D879-F879</f>
        <v>8.1199999999999992</v>
      </c>
      <c r="H879" s="652"/>
      <c r="I879" s="652"/>
      <c r="J879" s="652"/>
      <c r="K879" s="652"/>
      <c r="L879" s="652"/>
      <c r="M879" s="652"/>
    </row>
    <row r="880" spans="1:13" ht="36">
      <c r="A880" s="696" t="s">
        <v>704</v>
      </c>
      <c r="B880" s="718">
        <f>3.15+3.5</f>
        <v>6.65</v>
      </c>
      <c r="C880" s="718">
        <v>2.8</v>
      </c>
      <c r="D880" s="718">
        <f t="shared" si="38"/>
        <v>18.62</v>
      </c>
      <c r="E880" s="742" t="s">
        <v>705</v>
      </c>
      <c r="F880" s="718">
        <f>(0.8*2.1)+(1.1*0.6*2)</f>
        <v>3</v>
      </c>
      <c r="G880" s="743">
        <f t="shared" si="39"/>
        <v>15.620000000000001</v>
      </c>
      <c r="H880" s="652"/>
      <c r="I880" s="652"/>
      <c r="J880" s="652"/>
      <c r="K880" s="652"/>
      <c r="L880" s="652"/>
      <c r="M880" s="652"/>
    </row>
    <row r="881" spans="1:13">
      <c r="A881" s="696" t="s">
        <v>706</v>
      </c>
      <c r="B881" s="718">
        <f>3.35+3.15</f>
        <v>6.5</v>
      </c>
      <c r="C881" s="718">
        <v>2.8</v>
      </c>
      <c r="D881" s="718">
        <f t="shared" si="38"/>
        <v>18.2</v>
      </c>
      <c r="E881" s="718"/>
      <c r="F881" s="718"/>
      <c r="G881" s="743">
        <f t="shared" si="39"/>
        <v>18.2</v>
      </c>
      <c r="H881" s="652"/>
      <c r="I881" s="652"/>
      <c r="J881" s="652"/>
      <c r="K881" s="652"/>
      <c r="L881" s="652"/>
      <c r="M881" s="652"/>
    </row>
    <row r="882" spans="1:13" ht="24">
      <c r="A882" s="696" t="s">
        <v>707</v>
      </c>
      <c r="B882" s="718">
        <v>8</v>
      </c>
      <c r="C882" s="718">
        <v>2.8</v>
      </c>
      <c r="D882" s="718">
        <f t="shared" si="38"/>
        <v>22.4</v>
      </c>
      <c r="E882" s="742" t="s">
        <v>708</v>
      </c>
      <c r="F882" s="718">
        <f>(2.2*1.1)+(0.8*2.1)</f>
        <v>4.1000000000000005</v>
      </c>
      <c r="G882" s="743">
        <f t="shared" si="39"/>
        <v>18.299999999999997</v>
      </c>
      <c r="H882" s="652"/>
      <c r="I882" s="652"/>
      <c r="J882" s="652"/>
      <c r="K882" s="652"/>
      <c r="L882" s="652"/>
      <c r="M882" s="652"/>
    </row>
    <row r="883" spans="1:13" ht="24">
      <c r="A883" s="696" t="s">
        <v>707</v>
      </c>
      <c r="B883" s="718">
        <v>8</v>
      </c>
      <c r="C883" s="718">
        <v>2.8</v>
      </c>
      <c r="D883" s="718">
        <f t="shared" si="38"/>
        <v>22.4</v>
      </c>
      <c r="E883" s="718"/>
      <c r="F883" s="718"/>
      <c r="G883" s="743">
        <f t="shared" si="39"/>
        <v>22.4</v>
      </c>
      <c r="H883" s="652"/>
      <c r="I883" s="652"/>
      <c r="J883" s="652"/>
      <c r="K883" s="652"/>
      <c r="L883" s="652"/>
      <c r="M883" s="652"/>
    </row>
    <row r="884" spans="1:13">
      <c r="A884" s="696" t="s">
        <v>709</v>
      </c>
      <c r="B884" s="718">
        <v>3.5</v>
      </c>
      <c r="C884" s="718">
        <v>2.8</v>
      </c>
      <c r="D884" s="718">
        <f t="shared" si="38"/>
        <v>9.7999999999999989</v>
      </c>
      <c r="E884" s="742" t="s">
        <v>710</v>
      </c>
      <c r="F884" s="718">
        <f>2.2*1.1</f>
        <v>2.4200000000000004</v>
      </c>
      <c r="G884" s="743">
        <f t="shared" si="39"/>
        <v>7.379999999999999</v>
      </c>
      <c r="H884" s="652"/>
      <c r="I884" s="652"/>
      <c r="J884" s="652"/>
      <c r="K884" s="652"/>
      <c r="L884" s="652"/>
      <c r="M884" s="652"/>
    </row>
    <row r="885" spans="1:13">
      <c r="A885" s="696" t="s">
        <v>711</v>
      </c>
      <c r="B885" s="718">
        <f>2.55+2</f>
        <v>4.55</v>
      </c>
      <c r="C885" s="718">
        <v>2.8</v>
      </c>
      <c r="D885" s="718">
        <f t="shared" si="38"/>
        <v>12.739999999999998</v>
      </c>
      <c r="E885" s="718"/>
      <c r="F885" s="718"/>
      <c r="G885" s="743">
        <f t="shared" si="39"/>
        <v>12.739999999999998</v>
      </c>
      <c r="H885" s="652"/>
      <c r="I885" s="652"/>
      <c r="J885" s="652"/>
      <c r="K885" s="652"/>
      <c r="L885" s="652"/>
      <c r="M885" s="652"/>
    </row>
    <row r="886" spans="1:13" ht="24">
      <c r="A886" s="801" t="s">
        <v>712</v>
      </c>
      <c r="B886" s="802">
        <v>4</v>
      </c>
      <c r="C886" s="779">
        <v>2.8</v>
      </c>
      <c r="D886" s="779">
        <f t="shared" si="38"/>
        <v>11.2</v>
      </c>
      <c r="E886" s="803" t="s">
        <v>713</v>
      </c>
      <c r="F886" s="779">
        <f>(1.3*2.1)+(2.3*1.1)</f>
        <v>5.26</v>
      </c>
      <c r="G886" s="804">
        <f t="shared" si="39"/>
        <v>5.9399999999999995</v>
      </c>
      <c r="H886" s="652"/>
      <c r="I886" s="652"/>
      <c r="J886" s="652"/>
      <c r="K886" s="652"/>
      <c r="L886" s="652"/>
      <c r="M886" s="652"/>
    </row>
    <row r="887" spans="1:13" ht="36">
      <c r="A887" s="801" t="s">
        <v>714</v>
      </c>
      <c r="B887" s="802">
        <f>2.15+1.35+1.5</f>
        <v>5</v>
      </c>
      <c r="C887" s="779">
        <v>5.23</v>
      </c>
      <c r="D887" s="779">
        <f t="shared" si="38"/>
        <v>26.150000000000002</v>
      </c>
      <c r="E887" s="803" t="s">
        <v>715</v>
      </c>
      <c r="F887" s="779">
        <f>1.2*1.1+(0.8*2.1)+(0.9*2.1)</f>
        <v>4.8900000000000006</v>
      </c>
      <c r="G887" s="804">
        <f t="shared" si="39"/>
        <v>21.26</v>
      </c>
      <c r="H887" s="652"/>
      <c r="I887" s="652"/>
      <c r="J887" s="652"/>
      <c r="K887" s="652"/>
      <c r="L887" s="652"/>
      <c r="M887" s="652"/>
    </row>
    <row r="888" spans="1:13">
      <c r="A888" s="801" t="s">
        <v>716</v>
      </c>
      <c r="B888" s="802">
        <v>1.5</v>
      </c>
      <c r="C888" s="779">
        <v>5.23</v>
      </c>
      <c r="D888" s="779">
        <f t="shared" si="38"/>
        <v>7.8450000000000006</v>
      </c>
      <c r="E888" s="779"/>
      <c r="F888" s="779"/>
      <c r="G888" s="804">
        <f t="shared" si="39"/>
        <v>7.8450000000000006</v>
      </c>
      <c r="H888" s="652"/>
      <c r="I888" s="652"/>
      <c r="J888" s="652"/>
      <c r="K888" s="652"/>
      <c r="L888" s="652"/>
      <c r="M888" s="652"/>
    </row>
    <row r="889" spans="1:13" ht="48">
      <c r="A889" s="801" t="s">
        <v>717</v>
      </c>
      <c r="B889" s="802">
        <f>4.6+9.6</f>
        <v>14.2</v>
      </c>
      <c r="C889" s="779">
        <v>4.7300000000000004</v>
      </c>
      <c r="D889" s="779">
        <f t="shared" si="38"/>
        <v>67.165999999999997</v>
      </c>
      <c r="E889" s="803" t="s">
        <v>718</v>
      </c>
      <c r="F889" s="779">
        <f>2.3*1.1*2+(0.8*2.1)+(1*2.1)</f>
        <v>8.84</v>
      </c>
      <c r="G889" s="804">
        <f t="shared" si="39"/>
        <v>58.325999999999993</v>
      </c>
      <c r="H889" s="652"/>
      <c r="I889" s="652"/>
      <c r="J889" s="652"/>
      <c r="K889" s="652"/>
      <c r="L889" s="652"/>
      <c r="M889" s="652"/>
    </row>
    <row r="890" spans="1:13">
      <c r="A890" s="801" t="s">
        <v>719</v>
      </c>
      <c r="B890" s="802">
        <v>4.5999999999999996</v>
      </c>
      <c r="C890" s="779">
        <v>1.93</v>
      </c>
      <c r="D890" s="779">
        <f t="shared" si="38"/>
        <v>8.8779999999999983</v>
      </c>
      <c r="E890" s="779"/>
      <c r="F890" s="779"/>
      <c r="G890" s="804">
        <f t="shared" si="39"/>
        <v>8.8779999999999983</v>
      </c>
      <c r="H890" s="652"/>
      <c r="I890" s="652"/>
      <c r="J890" s="652"/>
      <c r="K890" s="652"/>
      <c r="L890" s="652"/>
      <c r="M890" s="652"/>
    </row>
    <row r="891" spans="1:13">
      <c r="A891" s="2235"/>
      <c r="B891" s="2155"/>
      <c r="C891" s="2155"/>
      <c r="D891" s="2155"/>
      <c r="E891" s="2155"/>
      <c r="F891" s="2155"/>
      <c r="G891" s="2156"/>
      <c r="H891" s="652"/>
      <c r="I891" s="652"/>
      <c r="J891" s="652"/>
      <c r="K891" s="652"/>
      <c r="L891" s="652"/>
      <c r="M891" s="652"/>
    </row>
    <row r="892" spans="1:13">
      <c r="A892" s="2288" t="s">
        <v>720</v>
      </c>
      <c r="B892" s="2289"/>
      <c r="C892" s="2289"/>
      <c r="D892" s="2289"/>
      <c r="E892" s="2289"/>
      <c r="F892" s="2289"/>
      <c r="G892" s="2290"/>
      <c r="H892" s="652"/>
      <c r="I892" s="652"/>
      <c r="J892" s="652"/>
      <c r="K892" s="652"/>
      <c r="L892" s="652"/>
      <c r="M892" s="652"/>
    </row>
    <row r="893" spans="1:13" ht="36">
      <c r="A893" s="696" t="s">
        <v>721</v>
      </c>
      <c r="B893" s="747">
        <f>7.5+4.65</f>
        <v>12.15</v>
      </c>
      <c r="C893" s="718">
        <v>2.8</v>
      </c>
      <c r="D893" s="718">
        <f t="shared" ref="D893:D901" si="40">B893*C893</f>
        <v>34.019999999999996</v>
      </c>
      <c r="E893" s="742" t="s">
        <v>722</v>
      </c>
      <c r="F893" s="718">
        <f>(1.6*2.1)+(3*1.1*0.6)</f>
        <v>5.34</v>
      </c>
      <c r="G893" s="743">
        <f t="shared" ref="G893:G901" si="41">D893-F893</f>
        <v>28.679999999999996</v>
      </c>
      <c r="H893" s="652"/>
      <c r="I893" s="652"/>
      <c r="J893" s="652"/>
      <c r="K893" s="652"/>
      <c r="L893" s="652"/>
      <c r="M893" s="652"/>
    </row>
    <row r="894" spans="1:13" ht="24">
      <c r="A894" s="696" t="s">
        <v>721</v>
      </c>
      <c r="B894" s="747">
        <f>7.5+4.65</f>
        <v>12.15</v>
      </c>
      <c r="C894" s="718">
        <v>2.8</v>
      </c>
      <c r="D894" s="718">
        <f t="shared" si="40"/>
        <v>34.019999999999996</v>
      </c>
      <c r="E894" s="718"/>
      <c r="F894" s="718"/>
      <c r="G894" s="743">
        <f t="shared" si="41"/>
        <v>34.019999999999996</v>
      </c>
      <c r="H894" s="652"/>
      <c r="I894" s="652"/>
      <c r="J894" s="652"/>
      <c r="K894" s="652"/>
      <c r="L894" s="652"/>
      <c r="M894" s="652"/>
    </row>
    <row r="895" spans="1:13" ht="36">
      <c r="A895" s="696" t="s">
        <v>723</v>
      </c>
      <c r="B895" s="800">
        <f>8.85+10.35</f>
        <v>19.2</v>
      </c>
      <c r="C895" s="718">
        <v>2.8</v>
      </c>
      <c r="D895" s="718">
        <f t="shared" si="40"/>
        <v>53.76</v>
      </c>
      <c r="E895" s="742" t="s">
        <v>724</v>
      </c>
      <c r="F895" s="718">
        <f>2.3*1.1*5</f>
        <v>12.649999999999999</v>
      </c>
      <c r="G895" s="743">
        <f t="shared" si="41"/>
        <v>41.11</v>
      </c>
      <c r="H895" s="652"/>
      <c r="I895" s="652"/>
      <c r="J895" s="652"/>
      <c r="K895" s="652"/>
      <c r="L895" s="652"/>
      <c r="M895" s="652"/>
    </row>
    <row r="896" spans="1:13" ht="24">
      <c r="A896" s="696" t="s">
        <v>725</v>
      </c>
      <c r="B896" s="800">
        <f>4.65+4</f>
        <v>8.65</v>
      </c>
      <c r="C896" s="718">
        <v>2.8</v>
      </c>
      <c r="D896" s="718">
        <f t="shared" si="40"/>
        <v>24.22</v>
      </c>
      <c r="E896" s="718"/>
      <c r="F896" s="718"/>
      <c r="G896" s="743">
        <f t="shared" si="41"/>
        <v>24.22</v>
      </c>
      <c r="H896" s="652"/>
      <c r="I896" s="652"/>
      <c r="J896" s="652"/>
      <c r="K896" s="652"/>
      <c r="L896" s="652"/>
      <c r="M896" s="652"/>
    </row>
    <row r="897" spans="1:13">
      <c r="A897" s="696" t="s">
        <v>726</v>
      </c>
      <c r="B897" s="800">
        <v>5.5</v>
      </c>
      <c r="C897" s="718">
        <v>2.8</v>
      </c>
      <c r="D897" s="718">
        <f t="shared" si="40"/>
        <v>15.399999999999999</v>
      </c>
      <c r="E897" s="742" t="s">
        <v>727</v>
      </c>
      <c r="F897" s="718">
        <f>2.3*1.1</f>
        <v>2.5299999999999998</v>
      </c>
      <c r="G897" s="743">
        <f t="shared" si="41"/>
        <v>12.87</v>
      </c>
      <c r="H897" s="652"/>
      <c r="I897" s="652"/>
      <c r="J897" s="652"/>
      <c r="K897" s="652"/>
      <c r="L897" s="652"/>
      <c r="M897" s="652"/>
    </row>
    <row r="898" spans="1:13">
      <c r="A898" s="696" t="s">
        <v>728</v>
      </c>
      <c r="B898" s="800">
        <v>4.5</v>
      </c>
      <c r="C898" s="718">
        <v>2.8</v>
      </c>
      <c r="D898" s="718">
        <f t="shared" si="40"/>
        <v>12.6</v>
      </c>
      <c r="E898" s="718"/>
      <c r="F898" s="718"/>
      <c r="G898" s="743">
        <f t="shared" si="41"/>
        <v>12.6</v>
      </c>
      <c r="H898" s="652"/>
      <c r="I898" s="652"/>
      <c r="J898" s="652"/>
      <c r="K898" s="652"/>
      <c r="L898" s="652"/>
      <c r="M898" s="652"/>
    </row>
    <row r="899" spans="1:13">
      <c r="A899" s="801" t="s">
        <v>729</v>
      </c>
      <c r="B899" s="802">
        <v>5</v>
      </c>
      <c r="C899" s="779">
        <v>2.8</v>
      </c>
      <c r="D899" s="779">
        <f t="shared" si="40"/>
        <v>14</v>
      </c>
      <c r="E899" s="779"/>
      <c r="F899" s="779"/>
      <c r="G899" s="804">
        <f t="shared" si="41"/>
        <v>14</v>
      </c>
      <c r="H899" s="652"/>
      <c r="I899" s="652"/>
      <c r="J899" s="652"/>
      <c r="K899" s="652"/>
      <c r="L899" s="652"/>
      <c r="M899" s="652"/>
    </row>
    <row r="900" spans="1:13">
      <c r="A900" s="801" t="s">
        <v>730</v>
      </c>
      <c r="B900" s="802">
        <v>9</v>
      </c>
      <c r="C900" s="779">
        <v>2.8</v>
      </c>
      <c r="D900" s="779">
        <f t="shared" si="40"/>
        <v>25.2</v>
      </c>
      <c r="E900" s="779"/>
      <c r="F900" s="779"/>
      <c r="G900" s="804">
        <f t="shared" si="41"/>
        <v>25.2</v>
      </c>
      <c r="H900" s="652"/>
      <c r="I900" s="652"/>
      <c r="J900" s="652"/>
      <c r="K900" s="652"/>
      <c r="L900" s="652"/>
      <c r="M900" s="652"/>
    </row>
    <row r="901" spans="1:13" ht="24">
      <c r="A901" s="801" t="s">
        <v>731</v>
      </c>
      <c r="B901" s="802">
        <v>6.15</v>
      </c>
      <c r="C901" s="779">
        <v>5.23</v>
      </c>
      <c r="D901" s="779">
        <f t="shared" si="40"/>
        <v>32.164500000000004</v>
      </c>
      <c r="E901" s="803" t="s">
        <v>845</v>
      </c>
      <c r="F901" s="779">
        <f>0.8*2.1*4</f>
        <v>6.7200000000000006</v>
      </c>
      <c r="G901" s="804">
        <f t="shared" si="41"/>
        <v>25.444500000000005</v>
      </c>
      <c r="H901" s="652"/>
      <c r="I901" s="652"/>
      <c r="J901" s="652"/>
      <c r="K901" s="652"/>
      <c r="L901" s="652"/>
      <c r="M901" s="652"/>
    </row>
    <row r="902" spans="1:13">
      <c r="A902" s="2235"/>
      <c r="B902" s="2155"/>
      <c r="C902" s="2155"/>
      <c r="D902" s="2155"/>
      <c r="E902" s="2155"/>
      <c r="F902" s="2155"/>
      <c r="G902" s="2156"/>
      <c r="H902" s="652"/>
      <c r="I902" s="652"/>
      <c r="J902" s="652"/>
      <c r="K902" s="652"/>
      <c r="L902" s="652"/>
      <c r="M902" s="652"/>
    </row>
    <row r="903" spans="1:13">
      <c r="A903" s="2172" t="s">
        <v>2001</v>
      </c>
      <c r="B903" s="2175"/>
      <c r="C903" s="2175"/>
      <c r="D903" s="2175"/>
      <c r="E903" s="2175"/>
      <c r="F903" s="2175"/>
      <c r="G903" s="2176"/>
      <c r="H903" s="652"/>
      <c r="I903" s="918"/>
      <c r="J903" s="652"/>
      <c r="K903" s="652"/>
      <c r="L903" s="652"/>
      <c r="M903" s="652"/>
    </row>
    <row r="904" spans="1:13">
      <c r="A904" s="2276"/>
      <c r="B904" s="2277"/>
      <c r="C904" s="2282" t="s">
        <v>692</v>
      </c>
      <c r="D904" s="2283"/>
      <c r="E904" s="2283"/>
      <c r="F904" s="2284"/>
      <c r="G904" s="743"/>
      <c r="H904" s="652"/>
      <c r="I904" s="652"/>
      <c r="J904" s="652"/>
      <c r="K904" s="652"/>
      <c r="L904" s="652"/>
      <c r="M904" s="652"/>
    </row>
    <row r="905" spans="1:13">
      <c r="A905" s="2278"/>
      <c r="B905" s="2279"/>
      <c r="C905" s="2285" t="s">
        <v>283</v>
      </c>
      <c r="D905" s="2286"/>
      <c r="E905" s="2286"/>
      <c r="F905" s="2287"/>
      <c r="G905" s="806">
        <f>ROUNDUP(G869+G870+G871+G872+G873+G874+G875+G876,2)</f>
        <v>48.91</v>
      </c>
      <c r="H905" s="652"/>
      <c r="I905" s="652"/>
      <c r="J905" s="652"/>
      <c r="K905" s="652"/>
      <c r="L905" s="652"/>
      <c r="M905" s="652"/>
    </row>
    <row r="906" spans="1:13">
      <c r="A906" s="2278"/>
      <c r="B906" s="2279"/>
      <c r="C906" s="2282" t="s">
        <v>702</v>
      </c>
      <c r="D906" s="2283"/>
      <c r="E906" s="2283"/>
      <c r="F906" s="2284"/>
      <c r="G906" s="807"/>
      <c r="H906" s="652"/>
      <c r="I906" s="652"/>
      <c r="J906" s="652"/>
      <c r="K906" s="652"/>
      <c r="L906" s="652"/>
      <c r="M906" s="652"/>
    </row>
    <row r="907" spans="1:13">
      <c r="A907" s="2278"/>
      <c r="B907" s="2279"/>
      <c r="C907" s="2285" t="s">
        <v>283</v>
      </c>
      <c r="D907" s="2286"/>
      <c r="E907" s="2286"/>
      <c r="F907" s="2287"/>
      <c r="G907" s="806">
        <f>ROUNDUP(G879+G880+G881+G882+G883+G884+G885+G886+G887+G888+G889+G890,2)</f>
        <v>205.01</v>
      </c>
      <c r="H907" s="652"/>
      <c r="I907" s="652"/>
      <c r="J907" s="652"/>
      <c r="K907" s="652"/>
      <c r="L907" s="652"/>
      <c r="M907" s="652"/>
    </row>
    <row r="908" spans="1:13">
      <c r="A908" s="2278"/>
      <c r="B908" s="2279"/>
      <c r="C908" s="2282" t="s">
        <v>720</v>
      </c>
      <c r="D908" s="2283"/>
      <c r="E908" s="2283"/>
      <c r="F908" s="2284"/>
      <c r="G908" s="807"/>
      <c r="H908" s="652"/>
      <c r="I908" s="652"/>
      <c r="J908" s="652"/>
      <c r="K908" s="652"/>
      <c r="L908" s="652"/>
      <c r="M908" s="652"/>
    </row>
    <row r="909" spans="1:13">
      <c r="A909" s="2280"/>
      <c r="B909" s="2281"/>
      <c r="C909" s="2285" t="s">
        <v>283</v>
      </c>
      <c r="D909" s="2286"/>
      <c r="E909" s="2286"/>
      <c r="F909" s="2287"/>
      <c r="G909" s="806">
        <f>ROUNDUP(G893+G899+G900+G894+G895+G897+G898+G901,2)</f>
        <v>193.92999999999998</v>
      </c>
      <c r="H909" s="652"/>
      <c r="I909" s="652"/>
      <c r="J909" s="652"/>
      <c r="K909" s="652"/>
      <c r="L909" s="652"/>
      <c r="M909" s="652"/>
    </row>
    <row r="910" spans="1:13" ht="15.75" thickBot="1">
      <c r="A910" s="2273" t="s">
        <v>316</v>
      </c>
      <c r="B910" s="2274"/>
      <c r="C910" s="2274"/>
      <c r="D910" s="2274"/>
      <c r="E910" s="2274"/>
      <c r="F910" s="2275"/>
      <c r="G910" s="827">
        <f>ROUNDUP(G905+G907+G909,2)</f>
        <v>447.85</v>
      </c>
      <c r="H910" s="652"/>
      <c r="I910" s="652"/>
      <c r="J910" s="652"/>
      <c r="K910" s="652"/>
      <c r="L910" s="652"/>
      <c r="M910" s="652"/>
    </row>
    <row r="911" spans="1:13" ht="15.75" thickBot="1">
      <c r="A911" s="714"/>
      <c r="B911" s="715"/>
      <c r="C911" s="715"/>
      <c r="D911" s="715"/>
      <c r="E911" s="715"/>
      <c r="F911" s="715"/>
      <c r="G911" s="716"/>
      <c r="H911" s="652"/>
      <c r="I911" s="652"/>
      <c r="J911" s="652"/>
      <c r="K911" s="652"/>
      <c r="L911" s="652"/>
      <c r="M911" s="652"/>
    </row>
    <row r="912" spans="1:13" ht="15.75" thickBot="1">
      <c r="A912" s="666" t="s">
        <v>171</v>
      </c>
      <c r="B912" s="2163" t="s">
        <v>848</v>
      </c>
      <c r="C912" s="2164"/>
      <c r="D912" s="2164"/>
      <c r="E912" s="2164"/>
      <c r="F912" s="2164"/>
      <c r="G912" s="2165"/>
      <c r="H912" s="652"/>
      <c r="I912" s="652"/>
      <c r="J912" s="652"/>
      <c r="K912" s="652"/>
      <c r="L912" s="652"/>
      <c r="M912" s="652"/>
    </row>
    <row r="913" spans="1:13">
      <c r="A913" s="2205" t="s">
        <v>778</v>
      </c>
      <c r="B913" s="2206"/>
      <c r="C913" s="2206"/>
      <c r="D913" s="2206"/>
      <c r="E913" s="2206"/>
      <c r="F913" s="2206"/>
      <c r="G913" s="2207"/>
      <c r="H913" s="652"/>
      <c r="I913" s="652"/>
      <c r="J913" s="652"/>
      <c r="K913" s="652"/>
      <c r="L913" s="652"/>
      <c r="M913" s="652"/>
    </row>
    <row r="914" spans="1:13">
      <c r="A914" s="2169" t="s">
        <v>366</v>
      </c>
      <c r="B914" s="2170"/>
      <c r="C914" s="2170"/>
      <c r="D914" s="2170"/>
      <c r="E914" s="2170"/>
      <c r="F914" s="2170"/>
      <c r="G914" s="2171"/>
      <c r="H914" s="652"/>
      <c r="I914" s="652"/>
      <c r="J914" s="652"/>
      <c r="K914" s="652"/>
      <c r="L914" s="652"/>
      <c r="M914" s="652"/>
    </row>
    <row r="915" spans="1:13">
      <c r="A915" s="2172" t="s">
        <v>367</v>
      </c>
      <c r="B915" s="2173"/>
      <c r="C915" s="682" t="s">
        <v>298</v>
      </c>
      <c r="D915" s="682" t="s">
        <v>281</v>
      </c>
      <c r="E915" s="2174" t="s">
        <v>282</v>
      </c>
      <c r="F915" s="2175"/>
      <c r="G915" s="2176"/>
      <c r="H915" s="652"/>
      <c r="I915" s="652"/>
      <c r="J915" s="652"/>
      <c r="K915" s="652"/>
      <c r="L915" s="652"/>
      <c r="M915" s="652"/>
    </row>
    <row r="916" spans="1:13">
      <c r="A916" s="2256" t="s">
        <v>779</v>
      </c>
      <c r="B916" s="2257"/>
      <c r="C916" s="779">
        <v>24.3</v>
      </c>
      <c r="D916" s="780">
        <v>34.869999999999997</v>
      </c>
      <c r="E916" s="2211"/>
      <c r="F916" s="2212"/>
      <c r="G916" s="2213"/>
      <c r="H916" s="652"/>
      <c r="I916" s="652"/>
      <c r="J916" s="652"/>
      <c r="K916" s="652"/>
      <c r="L916" s="652"/>
      <c r="M916" s="652"/>
    </row>
    <row r="917" spans="1:13">
      <c r="A917" s="2256" t="s">
        <v>781</v>
      </c>
      <c r="B917" s="2257"/>
      <c r="C917" s="779">
        <v>35.700000000000003</v>
      </c>
      <c r="D917" s="780">
        <v>72.37</v>
      </c>
      <c r="E917" s="2267"/>
      <c r="F917" s="2268"/>
      <c r="G917" s="2269"/>
      <c r="H917" s="652"/>
      <c r="I917" s="652"/>
      <c r="J917" s="652"/>
      <c r="K917" s="652"/>
      <c r="L917" s="652"/>
      <c r="M917" s="652"/>
    </row>
    <row r="918" spans="1:13">
      <c r="A918" s="2256" t="s">
        <v>782</v>
      </c>
      <c r="B918" s="2257"/>
      <c r="C918" s="779">
        <v>13</v>
      </c>
      <c r="D918" s="780">
        <v>10.55</v>
      </c>
      <c r="E918" s="2267"/>
      <c r="F918" s="2268"/>
      <c r="G918" s="2269"/>
      <c r="H918" s="652"/>
      <c r="I918" s="652"/>
      <c r="J918" s="652"/>
      <c r="K918" s="652"/>
      <c r="L918" s="652"/>
      <c r="M918" s="652"/>
    </row>
    <row r="919" spans="1:13">
      <c r="A919" s="2256" t="s">
        <v>783</v>
      </c>
      <c r="B919" s="2257"/>
      <c r="C919" s="779">
        <v>16</v>
      </c>
      <c r="D919" s="780">
        <v>16</v>
      </c>
      <c r="E919" s="2267"/>
      <c r="F919" s="2268"/>
      <c r="G919" s="2269"/>
      <c r="H919" s="652"/>
      <c r="I919" s="652"/>
      <c r="J919" s="652"/>
      <c r="K919" s="652"/>
      <c r="L919" s="652"/>
      <c r="M919" s="652"/>
    </row>
    <row r="920" spans="1:13">
      <c r="A920" s="2256" t="s">
        <v>784</v>
      </c>
      <c r="B920" s="2257"/>
      <c r="C920" s="779">
        <v>20</v>
      </c>
      <c r="D920" s="780">
        <v>19.64</v>
      </c>
      <c r="E920" s="2267"/>
      <c r="F920" s="2268"/>
      <c r="G920" s="2269"/>
      <c r="H920" s="652"/>
      <c r="I920" s="652"/>
      <c r="J920" s="652"/>
      <c r="K920" s="652"/>
      <c r="L920" s="652"/>
      <c r="M920" s="652"/>
    </row>
    <row r="921" spans="1:13">
      <c r="A921" s="2256" t="s">
        <v>362</v>
      </c>
      <c r="B921" s="2257"/>
      <c r="C921" s="779">
        <v>18</v>
      </c>
      <c r="D921" s="780">
        <v>20</v>
      </c>
      <c r="E921" s="2267"/>
      <c r="F921" s="2268"/>
      <c r="G921" s="2269"/>
      <c r="H921" s="652"/>
      <c r="I921" s="652"/>
      <c r="J921" s="652"/>
      <c r="K921" s="652"/>
      <c r="L921" s="652"/>
      <c r="M921" s="652"/>
    </row>
    <row r="922" spans="1:13">
      <c r="A922" s="2256" t="s">
        <v>785</v>
      </c>
      <c r="B922" s="2257"/>
      <c r="C922" s="779">
        <v>11.7</v>
      </c>
      <c r="D922" s="780">
        <v>7.7</v>
      </c>
      <c r="E922" s="2267"/>
      <c r="F922" s="2268"/>
      <c r="G922" s="2269"/>
      <c r="H922" s="652"/>
      <c r="I922" s="652"/>
      <c r="J922" s="652"/>
      <c r="K922" s="652"/>
      <c r="L922" s="652"/>
      <c r="M922" s="652"/>
    </row>
    <row r="923" spans="1:13">
      <c r="A923" s="2256" t="s">
        <v>786</v>
      </c>
      <c r="B923" s="2257"/>
      <c r="C923" s="779">
        <v>7.4</v>
      </c>
      <c r="D923" s="780">
        <v>3.18</v>
      </c>
      <c r="E923" s="2267"/>
      <c r="F923" s="2268"/>
      <c r="G923" s="2269"/>
      <c r="H923" s="652"/>
      <c r="I923" s="652"/>
      <c r="J923" s="652"/>
      <c r="K923" s="652"/>
      <c r="L923" s="652"/>
      <c r="M923" s="652"/>
    </row>
    <row r="924" spans="1:13">
      <c r="A924" s="2256" t="s">
        <v>787</v>
      </c>
      <c r="B924" s="2257"/>
      <c r="C924" s="779">
        <v>13.39</v>
      </c>
      <c r="D924" s="780">
        <v>7.68</v>
      </c>
      <c r="E924" s="2267"/>
      <c r="F924" s="2268"/>
      <c r="G924" s="2269"/>
      <c r="H924" s="652"/>
      <c r="I924" s="652"/>
      <c r="J924" s="652"/>
      <c r="K924" s="652"/>
      <c r="L924" s="652"/>
      <c r="M924" s="652"/>
    </row>
    <row r="925" spans="1:13">
      <c r="A925" s="2256" t="s">
        <v>788</v>
      </c>
      <c r="B925" s="2257"/>
      <c r="C925" s="779">
        <v>3.05</v>
      </c>
      <c r="D925" s="780">
        <v>2.78</v>
      </c>
      <c r="E925" s="2267"/>
      <c r="F925" s="2268"/>
      <c r="G925" s="2269"/>
      <c r="H925" s="652"/>
      <c r="I925" s="652"/>
      <c r="J925" s="652"/>
      <c r="K925" s="652"/>
      <c r="L925" s="652"/>
      <c r="M925" s="652"/>
    </row>
    <row r="926" spans="1:13">
      <c r="A926" s="2256" t="s">
        <v>789</v>
      </c>
      <c r="B926" s="2257"/>
      <c r="C926" s="779">
        <v>3.05</v>
      </c>
      <c r="D926" s="780">
        <v>7.68</v>
      </c>
      <c r="E926" s="2267"/>
      <c r="F926" s="2268"/>
      <c r="G926" s="2269"/>
      <c r="H926" s="652"/>
      <c r="I926" s="652"/>
      <c r="J926" s="652"/>
      <c r="K926" s="652"/>
      <c r="L926" s="652"/>
      <c r="M926" s="652"/>
    </row>
    <row r="927" spans="1:13">
      <c r="A927" s="2256" t="s">
        <v>790</v>
      </c>
      <c r="B927" s="2257"/>
      <c r="C927" s="779">
        <v>13.39</v>
      </c>
      <c r="D927" s="780">
        <v>2.78</v>
      </c>
      <c r="E927" s="2267"/>
      <c r="F927" s="2268"/>
      <c r="G927" s="2269"/>
      <c r="H927" s="652"/>
      <c r="I927" s="652"/>
      <c r="J927" s="652"/>
      <c r="K927" s="652"/>
      <c r="L927" s="652"/>
      <c r="M927" s="652"/>
    </row>
    <row r="928" spans="1:13">
      <c r="A928" s="2256" t="s">
        <v>665</v>
      </c>
      <c r="B928" s="2257"/>
      <c r="C928" s="779">
        <v>36.450000000000003</v>
      </c>
      <c r="D928" s="780">
        <v>33.979999999999997</v>
      </c>
      <c r="E928" s="2267"/>
      <c r="F928" s="2268"/>
      <c r="G928" s="2269"/>
      <c r="H928" s="652"/>
      <c r="I928" s="652"/>
      <c r="J928" s="652"/>
      <c r="K928" s="652"/>
      <c r="L928" s="652"/>
      <c r="M928" s="652"/>
    </row>
    <row r="929" spans="1:13">
      <c r="A929" s="2152" t="s">
        <v>849</v>
      </c>
      <c r="B929" s="2153"/>
      <c r="C929" s="779">
        <v>13.3</v>
      </c>
      <c r="D929" s="780">
        <v>10.61</v>
      </c>
      <c r="E929" s="2267"/>
      <c r="F929" s="2268"/>
      <c r="G929" s="2269"/>
      <c r="H929" s="652"/>
      <c r="I929" s="652"/>
      <c r="J929" s="652"/>
      <c r="K929" s="652"/>
      <c r="L929" s="652"/>
      <c r="M929" s="652"/>
    </row>
    <row r="930" spans="1:13">
      <c r="A930" s="2256" t="s">
        <v>850</v>
      </c>
      <c r="B930" s="2257"/>
      <c r="C930" s="779">
        <f>36.45+0.8+0.8</f>
        <v>38.049999999999997</v>
      </c>
      <c r="D930" s="780">
        <f>38.05*0.2</f>
        <v>7.6099999999999994</v>
      </c>
      <c r="E930" s="2267"/>
      <c r="F930" s="2268"/>
      <c r="G930" s="2269"/>
      <c r="H930" s="652"/>
      <c r="I930" s="652"/>
      <c r="J930" s="652"/>
      <c r="K930" s="652"/>
      <c r="L930" s="652"/>
      <c r="M930" s="652"/>
    </row>
    <row r="931" spans="1:13" ht="15.75" thickBot="1">
      <c r="A931" s="781"/>
      <c r="B931" s="782"/>
      <c r="C931" s="783" t="s">
        <v>283</v>
      </c>
      <c r="D931" s="784">
        <f>SUM(D916:D930)</f>
        <v>257.43</v>
      </c>
      <c r="E931" s="2270"/>
      <c r="F931" s="2271"/>
      <c r="G931" s="2272"/>
      <c r="H931" s="652"/>
      <c r="I931" s="652"/>
      <c r="J931" s="652"/>
      <c r="K931" s="652"/>
      <c r="L931" s="652"/>
      <c r="M931" s="652"/>
    </row>
    <row r="932" spans="1:13" ht="15.75" thickBot="1">
      <c r="A932" s="714"/>
      <c r="B932" s="715"/>
      <c r="C932" s="715"/>
      <c r="D932" s="715"/>
      <c r="E932" s="715"/>
      <c r="F932" s="715"/>
      <c r="G932" s="716"/>
      <c r="H932" s="652"/>
      <c r="I932" s="652"/>
      <c r="J932" s="652"/>
      <c r="K932" s="652"/>
      <c r="L932" s="652"/>
      <c r="M932" s="652"/>
    </row>
    <row r="933" spans="1:13" ht="15.75" thickBot="1">
      <c r="A933" s="666" t="s">
        <v>555</v>
      </c>
      <c r="B933" s="2163" t="s">
        <v>851</v>
      </c>
      <c r="C933" s="2164"/>
      <c r="D933" s="2164"/>
      <c r="E933" s="2164"/>
      <c r="F933" s="2164"/>
      <c r="G933" s="2165"/>
      <c r="H933" s="652"/>
      <c r="I933" s="652"/>
      <c r="J933" s="652"/>
      <c r="K933" s="652"/>
      <c r="L933" s="652"/>
      <c r="M933" s="652"/>
    </row>
    <row r="934" spans="1:13">
      <c r="A934" s="2205" t="s">
        <v>778</v>
      </c>
      <c r="B934" s="2206"/>
      <c r="C934" s="2206"/>
      <c r="D934" s="2206"/>
      <c r="E934" s="2206"/>
      <c r="F934" s="2206"/>
      <c r="G934" s="2207"/>
      <c r="H934" s="652"/>
      <c r="I934" s="652"/>
      <c r="J934" s="652"/>
      <c r="K934" s="652"/>
      <c r="L934" s="652"/>
      <c r="M934" s="652"/>
    </row>
    <row r="935" spans="1:13">
      <c r="A935" s="2169" t="s">
        <v>366</v>
      </c>
      <c r="B935" s="2170"/>
      <c r="C935" s="2170"/>
      <c r="D935" s="2170"/>
      <c r="E935" s="2170"/>
      <c r="F935" s="2170"/>
      <c r="G935" s="2171"/>
      <c r="H935" s="652"/>
      <c r="I935" s="652"/>
      <c r="J935" s="652"/>
      <c r="K935" s="652"/>
      <c r="L935" s="652"/>
      <c r="M935" s="652"/>
    </row>
    <row r="936" spans="1:13">
      <c r="A936" s="2172" t="s">
        <v>367</v>
      </c>
      <c r="B936" s="2173"/>
      <c r="C936" s="682" t="s">
        <v>298</v>
      </c>
      <c r="D936" s="682" t="s">
        <v>281</v>
      </c>
      <c r="E936" s="2174" t="s">
        <v>282</v>
      </c>
      <c r="F936" s="2175"/>
      <c r="G936" s="2176"/>
      <c r="H936" s="652"/>
      <c r="I936" s="652"/>
      <c r="J936" s="652"/>
      <c r="K936" s="652"/>
      <c r="L936" s="652"/>
      <c r="M936" s="652"/>
    </row>
    <row r="937" spans="1:13">
      <c r="A937" s="2256" t="s">
        <v>779</v>
      </c>
      <c r="B937" s="2257"/>
      <c r="C937" s="779">
        <v>24.3</v>
      </c>
      <c r="D937" s="780">
        <v>34.869999999999997</v>
      </c>
      <c r="E937" s="2211"/>
      <c r="F937" s="2212"/>
      <c r="G937" s="2213"/>
      <c r="H937" s="652"/>
      <c r="I937" s="850"/>
      <c r="J937" s="652"/>
      <c r="K937" s="652"/>
      <c r="L937" s="652"/>
      <c r="M937" s="652"/>
    </row>
    <row r="938" spans="1:13">
      <c r="A938" s="2256" t="s">
        <v>781</v>
      </c>
      <c r="B938" s="2257"/>
      <c r="C938" s="779">
        <v>35.700000000000003</v>
      </c>
      <c r="D938" s="780">
        <v>72.37</v>
      </c>
      <c r="E938" s="2267"/>
      <c r="F938" s="2268"/>
      <c r="G938" s="2269"/>
      <c r="H938" s="652"/>
      <c r="I938" s="850"/>
      <c r="J938" s="652"/>
      <c r="K938" s="652"/>
      <c r="L938" s="652"/>
      <c r="M938" s="652"/>
    </row>
    <row r="939" spans="1:13">
      <c r="A939" s="2256" t="s">
        <v>782</v>
      </c>
      <c r="B939" s="2257"/>
      <c r="C939" s="779">
        <v>13</v>
      </c>
      <c r="D939" s="780">
        <v>10.55</v>
      </c>
      <c r="E939" s="2267"/>
      <c r="F939" s="2268"/>
      <c r="G939" s="2269"/>
      <c r="H939" s="652"/>
      <c r="I939" s="850"/>
      <c r="J939" s="652"/>
      <c r="K939" s="652"/>
      <c r="L939" s="652"/>
      <c r="M939" s="652"/>
    </row>
    <row r="940" spans="1:13">
      <c r="A940" s="2256" t="s">
        <v>783</v>
      </c>
      <c r="B940" s="2257"/>
      <c r="C940" s="779">
        <v>16</v>
      </c>
      <c r="D940" s="780">
        <v>16</v>
      </c>
      <c r="E940" s="2267"/>
      <c r="F940" s="2268"/>
      <c r="G940" s="2269"/>
      <c r="H940" s="652"/>
      <c r="I940" s="850"/>
      <c r="J940" s="652"/>
      <c r="K940" s="652"/>
      <c r="L940" s="652"/>
      <c r="M940" s="652"/>
    </row>
    <row r="941" spans="1:13">
      <c r="A941" s="2256" t="s">
        <v>784</v>
      </c>
      <c r="B941" s="2257"/>
      <c r="C941" s="779">
        <v>20</v>
      </c>
      <c r="D941" s="780">
        <v>19.64</v>
      </c>
      <c r="E941" s="2267"/>
      <c r="F941" s="2268"/>
      <c r="G941" s="2269"/>
      <c r="H941" s="652"/>
      <c r="I941" s="850"/>
      <c r="J941" s="652"/>
      <c r="K941" s="652"/>
      <c r="L941" s="652"/>
      <c r="M941" s="652"/>
    </row>
    <row r="942" spans="1:13">
      <c r="A942" s="2256" t="s">
        <v>362</v>
      </c>
      <c r="B942" s="2257"/>
      <c r="C942" s="779">
        <v>18</v>
      </c>
      <c r="D942" s="780">
        <v>20</v>
      </c>
      <c r="E942" s="2267"/>
      <c r="F942" s="2268"/>
      <c r="G942" s="2269"/>
      <c r="H942" s="652"/>
      <c r="I942" s="850"/>
      <c r="J942" s="652"/>
      <c r="K942" s="652"/>
      <c r="L942" s="652"/>
      <c r="M942" s="652"/>
    </row>
    <row r="943" spans="1:13">
      <c r="A943" s="2256" t="s">
        <v>785</v>
      </c>
      <c r="B943" s="2257"/>
      <c r="C943" s="779">
        <v>11.7</v>
      </c>
      <c r="D943" s="780">
        <v>7.7</v>
      </c>
      <c r="E943" s="2267"/>
      <c r="F943" s="2268"/>
      <c r="G943" s="2269"/>
      <c r="H943" s="652"/>
      <c r="I943" s="850"/>
      <c r="J943" s="652"/>
      <c r="K943" s="652"/>
      <c r="L943" s="652"/>
      <c r="M943" s="652"/>
    </row>
    <row r="944" spans="1:13">
      <c r="A944" s="2256" t="s">
        <v>786</v>
      </c>
      <c r="B944" s="2257"/>
      <c r="C944" s="779">
        <v>7.4</v>
      </c>
      <c r="D944" s="780">
        <v>3.18</v>
      </c>
      <c r="E944" s="2267"/>
      <c r="F944" s="2268"/>
      <c r="G944" s="2269"/>
      <c r="H944" s="652"/>
      <c r="I944" s="850"/>
      <c r="J944" s="652"/>
      <c r="K944" s="652"/>
      <c r="L944" s="652"/>
      <c r="M944" s="652"/>
    </row>
    <row r="945" spans="1:13">
      <c r="A945" s="2256" t="s">
        <v>787</v>
      </c>
      <c r="B945" s="2257"/>
      <c r="C945" s="779">
        <v>13.39</v>
      </c>
      <c r="D945" s="780">
        <v>7.68</v>
      </c>
      <c r="E945" s="2267"/>
      <c r="F945" s="2268"/>
      <c r="G945" s="2269"/>
      <c r="H945" s="652"/>
      <c r="I945" s="850"/>
      <c r="J945" s="652"/>
      <c r="K945" s="652"/>
      <c r="L945" s="652"/>
      <c r="M945" s="652"/>
    </row>
    <row r="946" spans="1:13">
      <c r="A946" s="2256" t="s">
        <v>788</v>
      </c>
      <c r="B946" s="2257"/>
      <c r="C946" s="779">
        <v>3.05</v>
      </c>
      <c r="D946" s="780">
        <v>2.78</v>
      </c>
      <c r="E946" s="2267"/>
      <c r="F946" s="2268"/>
      <c r="G946" s="2269"/>
      <c r="H946" s="652"/>
      <c r="I946" s="850"/>
      <c r="J946" s="652"/>
      <c r="K946" s="652"/>
      <c r="L946" s="652"/>
      <c r="M946" s="652"/>
    </row>
    <row r="947" spans="1:13">
      <c r="A947" s="2256" t="s">
        <v>789</v>
      </c>
      <c r="B947" s="2257"/>
      <c r="C947" s="779">
        <v>3.05</v>
      </c>
      <c r="D947" s="780">
        <v>7.68</v>
      </c>
      <c r="E947" s="2267"/>
      <c r="F947" s="2268"/>
      <c r="G947" s="2269"/>
      <c r="H947" s="652"/>
      <c r="I947" s="850"/>
      <c r="J947" s="652"/>
      <c r="K947" s="652"/>
      <c r="L947" s="652"/>
      <c r="M947" s="652"/>
    </row>
    <row r="948" spans="1:13">
      <c r="A948" s="2256" t="s">
        <v>790</v>
      </c>
      <c r="B948" s="2257"/>
      <c r="C948" s="779">
        <v>13.39</v>
      </c>
      <c r="D948" s="780">
        <v>2.78</v>
      </c>
      <c r="E948" s="2267"/>
      <c r="F948" s="2268"/>
      <c r="G948" s="2269"/>
      <c r="H948" s="652"/>
      <c r="I948" s="850"/>
      <c r="J948" s="652"/>
      <c r="K948" s="652"/>
      <c r="L948" s="652"/>
      <c r="M948" s="652"/>
    </row>
    <row r="949" spans="1:13">
      <c r="A949" s="2152" t="s">
        <v>849</v>
      </c>
      <c r="B949" s="2153"/>
      <c r="C949" s="779">
        <v>13.3</v>
      </c>
      <c r="D949" s="780">
        <v>10.61</v>
      </c>
      <c r="E949" s="2267"/>
      <c r="F949" s="2268"/>
      <c r="G949" s="2269"/>
      <c r="H949" s="652"/>
      <c r="I949" s="850"/>
      <c r="J949" s="652"/>
      <c r="K949" s="652"/>
      <c r="L949" s="652"/>
      <c r="M949" s="652"/>
    </row>
    <row r="950" spans="1:13" ht="15.75" thickBot="1">
      <c r="A950" s="781"/>
      <c r="B950" s="782"/>
      <c r="C950" s="783" t="s">
        <v>283</v>
      </c>
      <c r="D950" s="784">
        <f>SUM(D937:D949)</f>
        <v>215.84000000000003</v>
      </c>
      <c r="E950" s="2270"/>
      <c r="F950" s="2271"/>
      <c r="G950" s="2272"/>
      <c r="H950" s="652"/>
      <c r="I950" s="850">
        <f>D931-D930-D928</f>
        <v>215.84</v>
      </c>
      <c r="J950" s="652" t="s">
        <v>2005</v>
      </c>
      <c r="K950" s="652"/>
      <c r="L950" s="652"/>
      <c r="M950" s="652"/>
    </row>
    <row r="951" spans="1:13" ht="15.75" thickBot="1">
      <c r="A951" s="714"/>
      <c r="B951" s="715"/>
      <c r="C951" s="715"/>
      <c r="D951" s="715"/>
      <c r="E951" s="715"/>
      <c r="F951" s="715"/>
      <c r="G951" s="716"/>
      <c r="H951" s="652"/>
      <c r="I951" s="850"/>
      <c r="J951" s="652"/>
      <c r="K951" s="652"/>
      <c r="L951" s="652"/>
      <c r="M951" s="652"/>
    </row>
    <row r="952" spans="1:13" ht="15.75" thickBot="1">
      <c r="A952" s="666" t="s">
        <v>556</v>
      </c>
      <c r="B952" s="2163" t="s">
        <v>852</v>
      </c>
      <c r="C952" s="2164"/>
      <c r="D952" s="2164"/>
      <c r="E952" s="2164"/>
      <c r="F952" s="2164"/>
      <c r="G952" s="2165"/>
      <c r="H952" s="652"/>
      <c r="I952" s="652"/>
      <c r="J952" s="652"/>
      <c r="K952" s="652"/>
      <c r="L952" s="652"/>
      <c r="M952" s="652"/>
    </row>
    <row r="953" spans="1:13">
      <c r="A953" s="2205" t="s">
        <v>778</v>
      </c>
      <c r="B953" s="2206"/>
      <c r="C953" s="2206"/>
      <c r="D953" s="2206"/>
      <c r="E953" s="2206"/>
      <c r="F953" s="2206"/>
      <c r="G953" s="2207"/>
      <c r="H953" s="652"/>
      <c r="I953" s="652"/>
      <c r="J953" s="652"/>
      <c r="K953" s="652"/>
      <c r="L953" s="652"/>
      <c r="M953" s="652"/>
    </row>
    <row r="954" spans="1:13">
      <c r="A954" s="2169" t="s">
        <v>366</v>
      </c>
      <c r="B954" s="2170"/>
      <c r="C954" s="2170"/>
      <c r="D954" s="2170"/>
      <c r="E954" s="2170"/>
      <c r="F954" s="2170"/>
      <c r="G954" s="2171"/>
      <c r="H954" s="652"/>
      <c r="I954" s="652"/>
      <c r="J954" s="652"/>
      <c r="K954" s="652"/>
      <c r="L954" s="652"/>
      <c r="M954" s="652"/>
    </row>
    <row r="955" spans="1:13">
      <c r="A955" s="2172" t="s">
        <v>367</v>
      </c>
      <c r="B955" s="2173"/>
      <c r="C955" s="682" t="s">
        <v>298</v>
      </c>
      <c r="D955" s="682" t="s">
        <v>281</v>
      </c>
      <c r="E955" s="2174" t="s">
        <v>282</v>
      </c>
      <c r="F955" s="2175"/>
      <c r="G955" s="2176"/>
      <c r="H955" s="652"/>
      <c r="I955" s="652"/>
      <c r="J955" s="652"/>
      <c r="K955" s="652"/>
      <c r="L955" s="652"/>
      <c r="M955" s="652"/>
    </row>
    <row r="956" spans="1:13">
      <c r="A956" s="2256" t="s">
        <v>779</v>
      </c>
      <c r="B956" s="2257"/>
      <c r="C956" s="779">
        <v>24.3</v>
      </c>
      <c r="D956" s="780">
        <v>34.869999999999997</v>
      </c>
      <c r="E956" s="2211"/>
      <c r="F956" s="2212"/>
      <c r="G956" s="2213"/>
      <c r="H956" s="652"/>
      <c r="I956" s="652"/>
      <c r="J956" s="652"/>
      <c r="K956" s="652"/>
      <c r="L956" s="652"/>
      <c r="M956" s="652"/>
    </row>
    <row r="957" spans="1:13">
      <c r="A957" s="2256" t="s">
        <v>781</v>
      </c>
      <c r="B957" s="2257"/>
      <c r="C957" s="779">
        <v>35.700000000000003</v>
      </c>
      <c r="D957" s="780">
        <v>72.37</v>
      </c>
      <c r="E957" s="2267"/>
      <c r="F957" s="2268"/>
      <c r="G957" s="2269"/>
      <c r="H957" s="652"/>
      <c r="I957" s="652"/>
      <c r="J957" s="652"/>
      <c r="K957" s="652"/>
      <c r="L957" s="652"/>
      <c r="M957" s="652"/>
    </row>
    <row r="958" spans="1:13">
      <c r="A958" s="2256" t="s">
        <v>782</v>
      </c>
      <c r="B958" s="2257"/>
      <c r="C958" s="779">
        <v>13</v>
      </c>
      <c r="D958" s="780">
        <v>10.55</v>
      </c>
      <c r="E958" s="2267"/>
      <c r="F958" s="2268"/>
      <c r="G958" s="2269"/>
      <c r="H958" s="652"/>
      <c r="I958" s="652"/>
      <c r="J958" s="652"/>
      <c r="K958" s="652"/>
      <c r="L958" s="652"/>
      <c r="M958" s="652"/>
    </row>
    <row r="959" spans="1:13">
      <c r="A959" s="2256" t="s">
        <v>783</v>
      </c>
      <c r="B959" s="2257"/>
      <c r="C959" s="779">
        <v>16</v>
      </c>
      <c r="D959" s="780">
        <v>16</v>
      </c>
      <c r="E959" s="2267"/>
      <c r="F959" s="2268"/>
      <c r="G959" s="2269"/>
      <c r="H959" s="652"/>
      <c r="I959" s="652"/>
      <c r="J959" s="652"/>
      <c r="K959" s="652"/>
      <c r="L959" s="652"/>
      <c r="M959" s="652"/>
    </row>
    <row r="960" spans="1:13">
      <c r="A960" s="2256" t="s">
        <v>784</v>
      </c>
      <c r="B960" s="2257"/>
      <c r="C960" s="779">
        <v>20</v>
      </c>
      <c r="D960" s="780">
        <v>19.64</v>
      </c>
      <c r="E960" s="2267"/>
      <c r="F960" s="2268"/>
      <c r="G960" s="2269"/>
      <c r="H960" s="652"/>
      <c r="I960" s="652"/>
      <c r="J960" s="652"/>
      <c r="K960" s="652"/>
      <c r="L960" s="652"/>
      <c r="M960" s="652"/>
    </row>
    <row r="961" spans="1:13">
      <c r="A961" s="2256" t="s">
        <v>362</v>
      </c>
      <c r="B961" s="2257"/>
      <c r="C961" s="779">
        <v>18</v>
      </c>
      <c r="D961" s="780">
        <v>20</v>
      </c>
      <c r="E961" s="2267"/>
      <c r="F961" s="2268"/>
      <c r="G961" s="2269"/>
      <c r="H961" s="652"/>
      <c r="I961" s="652"/>
      <c r="J961" s="652"/>
      <c r="K961" s="652"/>
      <c r="L961" s="652"/>
      <c r="M961" s="652"/>
    </row>
    <row r="962" spans="1:13">
      <c r="A962" s="2256" t="s">
        <v>785</v>
      </c>
      <c r="B962" s="2257"/>
      <c r="C962" s="779">
        <v>11.7</v>
      </c>
      <c r="D962" s="780">
        <v>7.7</v>
      </c>
      <c r="E962" s="2267"/>
      <c r="F962" s="2268"/>
      <c r="G962" s="2269"/>
      <c r="H962" s="652"/>
      <c r="I962" s="652"/>
      <c r="J962" s="652"/>
      <c r="K962" s="652"/>
      <c r="L962" s="652"/>
      <c r="M962" s="652"/>
    </row>
    <row r="963" spans="1:13">
      <c r="A963" s="2256" t="s">
        <v>786</v>
      </c>
      <c r="B963" s="2257"/>
      <c r="C963" s="779">
        <v>7.4</v>
      </c>
      <c r="D963" s="780">
        <v>3.18</v>
      </c>
      <c r="E963" s="2267"/>
      <c r="F963" s="2268"/>
      <c r="G963" s="2269"/>
      <c r="H963" s="652"/>
      <c r="I963" s="652"/>
      <c r="J963" s="652"/>
      <c r="K963" s="652"/>
      <c r="L963" s="652"/>
      <c r="M963" s="652"/>
    </row>
    <row r="964" spans="1:13">
      <c r="A964" s="2256" t="s">
        <v>787</v>
      </c>
      <c r="B964" s="2257"/>
      <c r="C964" s="779">
        <v>13.39</v>
      </c>
      <c r="D964" s="780">
        <v>7.68</v>
      </c>
      <c r="E964" s="2267"/>
      <c r="F964" s="2268"/>
      <c r="G964" s="2269"/>
      <c r="H964" s="652"/>
      <c r="I964" s="652"/>
      <c r="J964" s="652"/>
      <c r="K964" s="652"/>
      <c r="L964" s="652"/>
      <c r="M964" s="652"/>
    </row>
    <row r="965" spans="1:13">
      <c r="A965" s="2256" t="s">
        <v>788</v>
      </c>
      <c r="B965" s="2257"/>
      <c r="C965" s="779">
        <v>3.05</v>
      </c>
      <c r="D965" s="780">
        <v>2.78</v>
      </c>
      <c r="E965" s="2267"/>
      <c r="F965" s="2268"/>
      <c r="G965" s="2269"/>
      <c r="H965" s="652"/>
      <c r="I965" s="652"/>
      <c r="J965" s="652"/>
      <c r="K965" s="652"/>
      <c r="L965" s="652"/>
      <c r="M965" s="652"/>
    </row>
    <row r="966" spans="1:13">
      <c r="A966" s="2256" t="s">
        <v>789</v>
      </c>
      <c r="B966" s="2257"/>
      <c r="C966" s="779">
        <v>3.05</v>
      </c>
      <c r="D966" s="780">
        <v>7.68</v>
      </c>
      <c r="E966" s="2267"/>
      <c r="F966" s="2268"/>
      <c r="G966" s="2269"/>
      <c r="H966" s="652"/>
      <c r="I966" s="652"/>
      <c r="J966" s="652"/>
      <c r="K966" s="652"/>
      <c r="L966" s="652"/>
      <c r="M966" s="652"/>
    </row>
    <row r="967" spans="1:13">
      <c r="A967" s="2256" t="s">
        <v>790</v>
      </c>
      <c r="B967" s="2257"/>
      <c r="C967" s="779">
        <v>13.39</v>
      </c>
      <c r="D967" s="780">
        <v>2.78</v>
      </c>
      <c r="E967" s="2267"/>
      <c r="F967" s="2268"/>
      <c r="G967" s="2269"/>
      <c r="H967" s="652"/>
      <c r="I967" s="652"/>
      <c r="J967" s="652"/>
      <c r="K967" s="652"/>
      <c r="L967" s="652"/>
      <c r="M967" s="652"/>
    </row>
    <row r="968" spans="1:13">
      <c r="A968" s="2152" t="s">
        <v>849</v>
      </c>
      <c r="B968" s="2153"/>
      <c r="C968" s="779">
        <v>13.3</v>
      </c>
      <c r="D968" s="780">
        <v>10.61</v>
      </c>
      <c r="E968" s="2267"/>
      <c r="F968" s="2268"/>
      <c r="G968" s="2269"/>
      <c r="H968" s="652"/>
      <c r="I968" s="652"/>
      <c r="J968" s="652"/>
      <c r="K968" s="652"/>
      <c r="L968" s="652"/>
      <c r="M968" s="652"/>
    </row>
    <row r="969" spans="1:13" ht="15.75" thickBot="1">
      <c r="A969" s="781"/>
      <c r="B969" s="782"/>
      <c r="C969" s="783" t="s">
        <v>283</v>
      </c>
      <c r="D969" s="784">
        <f>SUM(D956:D968)</f>
        <v>215.84000000000003</v>
      </c>
      <c r="E969" s="2270"/>
      <c r="F969" s="2271"/>
      <c r="G969" s="2272"/>
      <c r="H969" s="652"/>
      <c r="I969" s="652"/>
      <c r="J969" s="652"/>
      <c r="K969" s="652"/>
      <c r="L969" s="652"/>
      <c r="M969" s="652"/>
    </row>
    <row r="970" spans="1:13" ht="15.75" thickBot="1">
      <c r="A970" s="714"/>
      <c r="B970" s="715"/>
      <c r="C970" s="715"/>
      <c r="D970" s="715"/>
      <c r="E970" s="715"/>
      <c r="F970" s="715"/>
      <c r="G970" s="716"/>
      <c r="H970" s="652"/>
      <c r="I970" s="652"/>
      <c r="J970" s="652"/>
      <c r="K970" s="652"/>
      <c r="L970" s="652"/>
      <c r="M970" s="652"/>
    </row>
    <row r="971" spans="1:13" ht="15.75" thickBot="1">
      <c r="A971" s="666" t="s">
        <v>557</v>
      </c>
      <c r="B971" s="2163" t="s">
        <v>853</v>
      </c>
      <c r="C971" s="2164"/>
      <c r="D971" s="2164"/>
      <c r="E971" s="2164"/>
      <c r="F971" s="2164"/>
      <c r="G971" s="2165"/>
      <c r="H971" s="652"/>
      <c r="I971" s="652"/>
      <c r="J971" s="652"/>
      <c r="K971" s="652"/>
      <c r="L971" s="652"/>
      <c r="M971" s="652"/>
    </row>
    <row r="972" spans="1:13">
      <c r="A972" s="2205" t="s">
        <v>279</v>
      </c>
      <c r="B972" s="2206"/>
      <c r="C972" s="2206"/>
      <c r="D972" s="2206"/>
      <c r="E972" s="2206"/>
      <c r="F972" s="2206"/>
      <c r="G972" s="2207"/>
      <c r="H972" s="652"/>
      <c r="I972" s="652"/>
      <c r="J972" s="652"/>
      <c r="K972" s="652"/>
      <c r="L972" s="652"/>
      <c r="M972" s="652"/>
    </row>
    <row r="973" spans="1:13">
      <c r="A973" s="2169" t="s">
        <v>361</v>
      </c>
      <c r="B973" s="2170"/>
      <c r="C973" s="2170"/>
      <c r="D973" s="2170"/>
      <c r="E973" s="2170"/>
      <c r="F973" s="2170"/>
      <c r="G973" s="2171"/>
      <c r="H973" s="652"/>
      <c r="I973" s="652"/>
      <c r="J973" s="652"/>
      <c r="K973" s="652"/>
      <c r="L973" s="652"/>
      <c r="M973" s="652"/>
    </row>
    <row r="974" spans="1:13">
      <c r="A974" s="681" t="s">
        <v>298</v>
      </c>
      <c r="B974" s="682" t="s">
        <v>298</v>
      </c>
      <c r="C974" s="682" t="s">
        <v>308</v>
      </c>
      <c r="D974" s="682" t="s">
        <v>309</v>
      </c>
      <c r="E974" s="682" t="s">
        <v>310</v>
      </c>
      <c r="F974" s="682" t="s">
        <v>311</v>
      </c>
      <c r="G974" s="740" t="s">
        <v>312</v>
      </c>
      <c r="H974" s="652"/>
      <c r="I974" s="652"/>
      <c r="J974" s="652"/>
      <c r="K974" s="652"/>
      <c r="L974" s="652"/>
      <c r="M974" s="652"/>
    </row>
    <row r="975" spans="1:13">
      <c r="A975" s="2288" t="s">
        <v>692</v>
      </c>
      <c r="B975" s="2289"/>
      <c r="C975" s="2289"/>
      <c r="D975" s="2289"/>
      <c r="E975" s="2289"/>
      <c r="F975" s="2289"/>
      <c r="G975" s="2290"/>
      <c r="H975" s="652"/>
      <c r="I975" s="652"/>
      <c r="J975" s="652"/>
      <c r="K975" s="652"/>
      <c r="L975" s="652"/>
      <c r="M975" s="652"/>
    </row>
    <row r="976" spans="1:13" ht="24">
      <c r="A976" s="696" t="s">
        <v>754</v>
      </c>
      <c r="B976" s="718">
        <f>4.75+9.5+4.75</f>
        <v>19</v>
      </c>
      <c r="C976" s="718">
        <v>0.15</v>
      </c>
      <c r="D976" s="718">
        <f t="shared" ref="D976:D981" si="42">C976*B976</f>
        <v>2.85</v>
      </c>
      <c r="E976" s="718"/>
      <c r="F976" s="718"/>
      <c r="G976" s="743">
        <f t="shared" ref="G976:G981" si="43">D976-F976</f>
        <v>2.85</v>
      </c>
      <c r="H976" s="652"/>
      <c r="I976" s="652"/>
      <c r="J976" s="652"/>
      <c r="K976" s="652"/>
      <c r="L976" s="652"/>
      <c r="M976" s="652"/>
    </row>
    <row r="977" spans="1:13" ht="36">
      <c r="A977" s="696" t="s">
        <v>755</v>
      </c>
      <c r="B977" s="718">
        <f>4.15+4+1.6+3.08+4.5+1.65+5.15+4</f>
        <v>28.129999999999995</v>
      </c>
      <c r="C977" s="718">
        <v>0.15</v>
      </c>
      <c r="D977" s="718">
        <f t="shared" si="42"/>
        <v>4.2194999999999991</v>
      </c>
      <c r="E977" s="718"/>
      <c r="F977" s="718"/>
      <c r="G977" s="743">
        <f t="shared" si="43"/>
        <v>4.2194999999999991</v>
      </c>
      <c r="H977" s="652"/>
      <c r="I977" s="652"/>
      <c r="J977" s="652"/>
      <c r="K977" s="652"/>
      <c r="L977" s="652"/>
      <c r="M977" s="652"/>
    </row>
    <row r="978" spans="1:13" ht="24">
      <c r="A978" s="696" t="s">
        <v>756</v>
      </c>
      <c r="B978" s="718">
        <f>3.85+3.85+9.8+9.8</f>
        <v>27.3</v>
      </c>
      <c r="C978" s="718">
        <v>0.15</v>
      </c>
      <c r="D978" s="718">
        <f t="shared" si="42"/>
        <v>4.0949999999999998</v>
      </c>
      <c r="E978" s="718"/>
      <c r="F978" s="718"/>
      <c r="G978" s="743">
        <f t="shared" si="43"/>
        <v>4.0949999999999998</v>
      </c>
      <c r="H978" s="652"/>
      <c r="I978" s="652"/>
      <c r="J978" s="652"/>
      <c r="K978" s="652"/>
      <c r="L978" s="652"/>
      <c r="M978" s="652"/>
    </row>
    <row r="979" spans="1:13" ht="36">
      <c r="A979" s="696" t="s">
        <v>757</v>
      </c>
      <c r="B979" s="718">
        <f>7.8+7.5+17.1+3.35</f>
        <v>35.750000000000007</v>
      </c>
      <c r="C979" s="718">
        <v>0.15</v>
      </c>
      <c r="D979" s="718">
        <f t="shared" si="42"/>
        <v>5.3625000000000007</v>
      </c>
      <c r="E979" s="718"/>
      <c r="F979" s="718"/>
      <c r="G979" s="743">
        <f t="shared" si="43"/>
        <v>5.3625000000000007</v>
      </c>
      <c r="H979" s="652"/>
      <c r="I979" s="652"/>
      <c r="J979" s="652"/>
      <c r="K979" s="652"/>
      <c r="L979" s="652"/>
      <c r="M979" s="652"/>
    </row>
    <row r="980" spans="1:13" ht="24">
      <c r="A980" s="696" t="s">
        <v>758</v>
      </c>
      <c r="B980" s="718">
        <f>3.35+1.8</f>
        <v>5.15</v>
      </c>
      <c r="C980" s="718">
        <v>1.28</v>
      </c>
      <c r="D980" s="718">
        <f t="shared" si="42"/>
        <v>6.5920000000000005</v>
      </c>
      <c r="E980" s="718"/>
      <c r="F980" s="718"/>
      <c r="G980" s="743">
        <f t="shared" si="43"/>
        <v>6.5920000000000005</v>
      </c>
      <c r="H980" s="652"/>
      <c r="I980" s="652"/>
      <c r="J980" s="652"/>
      <c r="K980" s="652"/>
      <c r="L980" s="652"/>
      <c r="M980" s="652"/>
    </row>
    <row r="981" spans="1:13" ht="24">
      <c r="A981" s="696" t="s">
        <v>759</v>
      </c>
      <c r="B981" s="718">
        <f>7.8+7.5</f>
        <v>15.3</v>
      </c>
      <c r="C981" s="718">
        <v>1.28</v>
      </c>
      <c r="D981" s="718">
        <f t="shared" si="42"/>
        <v>19.584</v>
      </c>
      <c r="E981" s="718"/>
      <c r="F981" s="718"/>
      <c r="G981" s="743">
        <f t="shared" si="43"/>
        <v>19.584</v>
      </c>
      <c r="H981" s="652"/>
      <c r="I981" s="652"/>
      <c r="J981" s="652"/>
      <c r="K981" s="652"/>
      <c r="L981" s="652"/>
      <c r="M981" s="652"/>
    </row>
    <row r="982" spans="1:13">
      <c r="A982" s="2235"/>
      <c r="B982" s="2155"/>
      <c r="C982" s="2155"/>
      <c r="D982" s="2155"/>
      <c r="E982" s="2155"/>
      <c r="F982" s="2155"/>
      <c r="G982" s="2156"/>
      <c r="H982" s="652"/>
      <c r="I982" s="652"/>
      <c r="J982" s="652"/>
      <c r="K982" s="652"/>
      <c r="L982" s="652"/>
      <c r="M982" s="652"/>
    </row>
    <row r="983" spans="1:13">
      <c r="A983" s="2288" t="s">
        <v>702</v>
      </c>
      <c r="B983" s="2289"/>
      <c r="C983" s="2289"/>
      <c r="D983" s="2289"/>
      <c r="E983" s="2289"/>
      <c r="F983" s="2289"/>
      <c r="G983" s="2290"/>
      <c r="H983" s="652"/>
      <c r="I983" s="652"/>
      <c r="J983" s="652"/>
      <c r="K983" s="652"/>
      <c r="L983" s="652"/>
      <c r="M983" s="652"/>
    </row>
    <row r="984" spans="1:13">
      <c r="A984" s="741">
        <v>4.1500000000000004</v>
      </c>
      <c r="B984" s="718">
        <v>4.1500000000000004</v>
      </c>
      <c r="C984" s="718">
        <v>2.2799999999999998</v>
      </c>
      <c r="D984" s="718">
        <f t="shared" ref="D984:D990" si="44">C984*B984</f>
        <v>9.4619999999999997</v>
      </c>
      <c r="E984" s="718"/>
      <c r="F984" s="718"/>
      <c r="G984" s="743">
        <f>D984*C984</f>
        <v>21.573359999999997</v>
      </c>
      <c r="H984" s="652"/>
      <c r="I984" s="652"/>
      <c r="J984" s="652"/>
      <c r="K984" s="652"/>
      <c r="L984" s="652"/>
      <c r="M984" s="652"/>
    </row>
    <row r="985" spans="1:13">
      <c r="A985" s="741">
        <v>3.35</v>
      </c>
      <c r="B985" s="718">
        <v>3.35</v>
      </c>
      <c r="C985" s="718">
        <v>4.32</v>
      </c>
      <c r="D985" s="718">
        <f t="shared" si="44"/>
        <v>14.472000000000001</v>
      </c>
      <c r="E985" s="718"/>
      <c r="F985" s="718"/>
      <c r="G985" s="743">
        <f>D985</f>
        <v>14.472000000000001</v>
      </c>
      <c r="H985" s="652"/>
      <c r="I985" s="652"/>
      <c r="J985" s="652"/>
      <c r="K985" s="652"/>
      <c r="L985" s="652"/>
      <c r="M985" s="652"/>
    </row>
    <row r="986" spans="1:13">
      <c r="A986" s="741">
        <v>2.35</v>
      </c>
      <c r="B986" s="718">
        <v>2.35</v>
      </c>
      <c r="C986" s="718">
        <v>4.32</v>
      </c>
      <c r="D986" s="718">
        <f t="shared" si="44"/>
        <v>10.152000000000001</v>
      </c>
      <c r="E986" s="742" t="s">
        <v>710</v>
      </c>
      <c r="F986" s="718">
        <f>2.2*1.1</f>
        <v>2.4200000000000004</v>
      </c>
      <c r="G986" s="743">
        <f>D986-F986</f>
        <v>7.7320000000000011</v>
      </c>
      <c r="H986" s="652"/>
      <c r="I986" s="652"/>
      <c r="J986" s="652"/>
      <c r="K986" s="652"/>
      <c r="L986" s="652"/>
      <c r="M986" s="652"/>
    </row>
    <row r="987" spans="1:13">
      <c r="A987" s="741">
        <v>4.1500000000000004</v>
      </c>
      <c r="B987" s="718">
        <v>4.1500000000000004</v>
      </c>
      <c r="C987" s="718">
        <v>1.27</v>
      </c>
      <c r="D987" s="718">
        <f t="shared" si="44"/>
        <v>5.2705000000000002</v>
      </c>
      <c r="E987" s="718"/>
      <c r="F987" s="718"/>
      <c r="G987" s="743">
        <f>D987</f>
        <v>5.2705000000000002</v>
      </c>
      <c r="H987" s="652"/>
      <c r="I987" s="652"/>
      <c r="J987" s="652"/>
      <c r="K987" s="652"/>
      <c r="L987" s="652"/>
      <c r="M987" s="652"/>
    </row>
    <row r="988" spans="1:13">
      <c r="A988" s="696" t="s">
        <v>760</v>
      </c>
      <c r="B988" s="718">
        <v>4.1500000000000004</v>
      </c>
      <c r="C988" s="718">
        <v>1.27</v>
      </c>
      <c r="D988" s="718">
        <f t="shared" si="44"/>
        <v>5.2705000000000002</v>
      </c>
      <c r="E988" s="718"/>
      <c r="F988" s="718"/>
      <c r="G988" s="743">
        <f>D988</f>
        <v>5.2705000000000002</v>
      </c>
      <c r="H988" s="652"/>
      <c r="I988" s="652"/>
      <c r="J988" s="652"/>
      <c r="K988" s="652"/>
      <c r="L988" s="652"/>
      <c r="M988" s="652"/>
    </row>
    <row r="989" spans="1:13" ht="24">
      <c r="A989" s="696" t="s">
        <v>761</v>
      </c>
      <c r="B989" s="718">
        <f>4.45+4.6+4.6</f>
        <v>13.65</v>
      </c>
      <c r="C989" s="718">
        <v>1.78</v>
      </c>
      <c r="D989" s="718">
        <f t="shared" si="44"/>
        <v>24.297000000000001</v>
      </c>
      <c r="E989" s="718"/>
      <c r="F989" s="718"/>
      <c r="G989" s="743">
        <f>D989</f>
        <v>24.297000000000001</v>
      </c>
      <c r="H989" s="652"/>
      <c r="I989" s="652"/>
      <c r="J989" s="652"/>
      <c r="K989" s="652"/>
      <c r="L989" s="652"/>
      <c r="M989" s="652"/>
    </row>
    <row r="990" spans="1:13" ht="24">
      <c r="A990" s="696" t="s">
        <v>763</v>
      </c>
      <c r="B990" s="718">
        <f>3.85+3.85</f>
        <v>7.7</v>
      </c>
      <c r="C990" s="718">
        <v>2.2799999999999998</v>
      </c>
      <c r="D990" s="718">
        <f t="shared" si="44"/>
        <v>17.555999999999997</v>
      </c>
      <c r="E990" s="718"/>
      <c r="F990" s="718"/>
      <c r="G990" s="743">
        <f>D990</f>
        <v>17.555999999999997</v>
      </c>
      <c r="H990" s="652"/>
      <c r="I990" s="652"/>
      <c r="J990" s="652"/>
      <c r="K990" s="652"/>
      <c r="L990" s="652"/>
      <c r="M990" s="652"/>
    </row>
    <row r="991" spans="1:13" ht="24">
      <c r="A991" s="801" t="s">
        <v>764</v>
      </c>
      <c r="B991" s="802">
        <v>4.5999999999999996</v>
      </c>
      <c r="C991" s="779">
        <v>1.93</v>
      </c>
      <c r="D991" s="779">
        <f>B991*C991</f>
        <v>8.8779999999999983</v>
      </c>
      <c r="E991" s="779"/>
      <c r="F991" s="779"/>
      <c r="G991" s="804">
        <f>D991-F991</f>
        <v>8.8779999999999983</v>
      </c>
      <c r="H991" s="652"/>
      <c r="I991" s="652"/>
      <c r="J991" s="652"/>
      <c r="K991" s="652"/>
      <c r="L991" s="652"/>
      <c r="M991" s="652"/>
    </row>
    <row r="992" spans="1:13">
      <c r="A992" s="2235"/>
      <c r="B992" s="2155"/>
      <c r="C992" s="2155"/>
      <c r="D992" s="2155"/>
      <c r="E992" s="2155"/>
      <c r="F992" s="2155"/>
      <c r="G992" s="2156"/>
      <c r="H992" s="652"/>
      <c r="I992" s="652"/>
      <c r="J992" s="652"/>
      <c r="K992" s="652"/>
      <c r="L992" s="652"/>
      <c r="M992" s="652"/>
    </row>
    <row r="993" spans="1:13">
      <c r="A993" s="2288" t="s">
        <v>720</v>
      </c>
      <c r="B993" s="2289"/>
      <c r="C993" s="2289"/>
      <c r="D993" s="2289"/>
      <c r="E993" s="2289"/>
      <c r="F993" s="2289"/>
      <c r="G993" s="2290"/>
      <c r="H993" s="652"/>
      <c r="I993" s="652"/>
      <c r="J993" s="652"/>
      <c r="K993" s="652"/>
      <c r="L993" s="652"/>
      <c r="M993" s="652"/>
    </row>
    <row r="994" spans="1:13" ht="36">
      <c r="A994" s="696" t="s">
        <v>765</v>
      </c>
      <c r="B994" s="718">
        <f>3.65+4.8</f>
        <v>8.4499999999999993</v>
      </c>
      <c r="C994" s="718">
        <v>4.32</v>
      </c>
      <c r="D994" s="718">
        <f>B994*C994</f>
        <v>36.503999999999998</v>
      </c>
      <c r="E994" s="742" t="s">
        <v>766</v>
      </c>
      <c r="F994" s="718">
        <f>(2.2*1.1)+(2.3+1.1)</f>
        <v>5.82</v>
      </c>
      <c r="G994" s="743">
        <f>D994-F994</f>
        <v>30.683999999999997</v>
      </c>
      <c r="H994" s="652"/>
      <c r="I994" s="652"/>
      <c r="J994" s="652"/>
      <c r="K994" s="652"/>
      <c r="L994" s="652"/>
      <c r="M994" s="652"/>
    </row>
    <row r="995" spans="1:13" ht="60">
      <c r="A995" s="696" t="s">
        <v>769</v>
      </c>
      <c r="B995" s="800">
        <f>7.8+7.8+17.25</f>
        <v>32.85</v>
      </c>
      <c r="C995" s="718">
        <v>4.32</v>
      </c>
      <c r="D995" s="718">
        <f>B995*C995</f>
        <v>141.91200000000001</v>
      </c>
      <c r="E995" s="742" t="s">
        <v>770</v>
      </c>
      <c r="F995" s="718">
        <f>((2.3*1.1)*3)+((1.1*0.6)*2)+(1.6*2.1)</f>
        <v>12.27</v>
      </c>
      <c r="G995" s="743">
        <f>D995-F995</f>
        <v>129.642</v>
      </c>
      <c r="H995" s="652"/>
      <c r="I995" s="652"/>
      <c r="J995" s="652"/>
      <c r="K995" s="652"/>
      <c r="L995" s="652"/>
      <c r="M995" s="652"/>
    </row>
    <row r="996" spans="1:13">
      <c r="A996" s="741">
        <v>5.15</v>
      </c>
      <c r="B996" s="800">
        <v>5.15</v>
      </c>
      <c r="C996" s="718">
        <v>4.2699999999999996</v>
      </c>
      <c r="D996" s="718">
        <f>B996*C996</f>
        <v>21.990500000000001</v>
      </c>
      <c r="E996" s="718"/>
      <c r="F996" s="718"/>
      <c r="G996" s="743">
        <f>D996</f>
        <v>21.990500000000001</v>
      </c>
      <c r="H996" s="652"/>
      <c r="I996" s="652"/>
      <c r="J996" s="652"/>
      <c r="K996" s="652"/>
      <c r="L996" s="652"/>
      <c r="M996" s="652"/>
    </row>
    <row r="997" spans="1:13" ht="24">
      <c r="A997" s="741">
        <v>4.1500000000000004</v>
      </c>
      <c r="B997" s="800">
        <v>4.1500000000000004</v>
      </c>
      <c r="C997" s="718">
        <v>2.84</v>
      </c>
      <c r="D997" s="718">
        <f>B997*C997</f>
        <v>11.786</v>
      </c>
      <c r="E997" s="742" t="s">
        <v>771</v>
      </c>
      <c r="F997" s="718">
        <f>(1.3*2.1)+(2.3*1.1)</f>
        <v>5.26</v>
      </c>
      <c r="G997" s="743">
        <f>D997-F997</f>
        <v>6.5259999999999998</v>
      </c>
      <c r="H997" s="652"/>
      <c r="I997" s="652"/>
      <c r="J997" s="652"/>
      <c r="K997" s="652"/>
      <c r="L997" s="652"/>
      <c r="M997" s="652"/>
    </row>
    <row r="998" spans="1:13">
      <c r="A998" s="696" t="s">
        <v>772</v>
      </c>
      <c r="B998" s="718">
        <v>7.5</v>
      </c>
      <c r="C998" s="718">
        <v>1.78</v>
      </c>
      <c r="D998" s="718">
        <f>C998*B998</f>
        <v>13.35</v>
      </c>
      <c r="E998" s="718"/>
      <c r="F998" s="718"/>
      <c r="G998" s="743">
        <f>D998-F998</f>
        <v>13.35</v>
      </c>
      <c r="H998" s="652"/>
      <c r="I998" s="652"/>
      <c r="J998" s="652"/>
      <c r="K998" s="652"/>
      <c r="L998" s="652"/>
      <c r="M998" s="652"/>
    </row>
    <row r="999" spans="1:13">
      <c r="A999" s="696" t="s">
        <v>773</v>
      </c>
      <c r="B999" s="718">
        <v>16.95</v>
      </c>
      <c r="C999" s="718">
        <v>1.28</v>
      </c>
      <c r="D999" s="718">
        <f>C999*B999</f>
        <v>21.695999999999998</v>
      </c>
      <c r="E999" s="718"/>
      <c r="F999" s="718"/>
      <c r="G999" s="743">
        <f>D999-F999</f>
        <v>21.695999999999998</v>
      </c>
      <c r="H999" s="652"/>
      <c r="I999" s="652"/>
      <c r="J999" s="652"/>
      <c r="K999" s="652"/>
      <c r="L999" s="652"/>
      <c r="M999" s="652"/>
    </row>
    <row r="1000" spans="1:13" ht="24">
      <c r="A1000" s="696" t="s">
        <v>774</v>
      </c>
      <c r="B1000" s="718">
        <f>9.5+9.5+9.5</f>
        <v>28.5</v>
      </c>
      <c r="C1000" s="718">
        <v>2.2799999999999998</v>
      </c>
      <c r="D1000" s="718">
        <f>C1000*B1000</f>
        <v>64.97999999999999</v>
      </c>
      <c r="E1000" s="718"/>
      <c r="F1000" s="718"/>
      <c r="G1000" s="743">
        <f>D1000-F1000</f>
        <v>64.97999999999999</v>
      </c>
      <c r="H1000" s="652"/>
      <c r="I1000" s="652"/>
      <c r="J1000" s="652"/>
      <c r="K1000" s="652"/>
      <c r="L1000" s="652"/>
      <c r="M1000" s="652"/>
    </row>
    <row r="1001" spans="1:13">
      <c r="A1001" s="2235"/>
      <c r="B1001" s="2155"/>
      <c r="C1001" s="2155"/>
      <c r="D1001" s="2155"/>
      <c r="E1001" s="2155"/>
      <c r="F1001" s="2155"/>
      <c r="G1001" s="2156"/>
      <c r="H1001" s="652"/>
      <c r="I1001" s="652"/>
      <c r="J1001" s="652"/>
      <c r="K1001" s="652"/>
      <c r="L1001" s="652"/>
      <c r="M1001" s="652"/>
    </row>
    <row r="1002" spans="1:13">
      <c r="A1002" s="2172" t="s">
        <v>2002</v>
      </c>
      <c r="B1002" s="2175"/>
      <c r="C1002" s="2175"/>
      <c r="D1002" s="2175"/>
      <c r="E1002" s="2175"/>
      <c r="F1002" s="2175"/>
      <c r="G1002" s="2176"/>
      <c r="H1002" s="652"/>
      <c r="I1002" s="918"/>
      <c r="J1002" s="652"/>
      <c r="K1002" s="652"/>
      <c r="L1002" s="652"/>
      <c r="M1002" s="652"/>
    </row>
    <row r="1003" spans="1:13">
      <c r="A1003" s="2276"/>
      <c r="B1003" s="2277"/>
      <c r="C1003" s="2282" t="s">
        <v>692</v>
      </c>
      <c r="D1003" s="2283"/>
      <c r="E1003" s="2283"/>
      <c r="F1003" s="2284"/>
      <c r="G1003" s="743"/>
      <c r="H1003" s="652"/>
      <c r="I1003" s="652"/>
      <c r="J1003" s="652"/>
      <c r="K1003" s="652"/>
      <c r="L1003" s="652"/>
      <c r="M1003" s="652"/>
    </row>
    <row r="1004" spans="1:13">
      <c r="A1004" s="2278"/>
      <c r="B1004" s="2279"/>
      <c r="C1004" s="2285" t="s">
        <v>283</v>
      </c>
      <c r="D1004" s="2286"/>
      <c r="E1004" s="2286"/>
      <c r="F1004" s="2287"/>
      <c r="G1004" s="806">
        <f>ROUNDUP(G976+G977+G978+G979+G980+G981,2)</f>
        <v>42.71</v>
      </c>
      <c r="H1004" s="652"/>
      <c r="I1004" s="652"/>
      <c r="J1004" s="652"/>
      <c r="K1004" s="652"/>
      <c r="L1004" s="652"/>
      <c r="M1004" s="652"/>
    </row>
    <row r="1005" spans="1:13">
      <c r="A1005" s="2278"/>
      <c r="B1005" s="2279"/>
      <c r="C1005" s="2282" t="s">
        <v>702</v>
      </c>
      <c r="D1005" s="2283"/>
      <c r="E1005" s="2283"/>
      <c r="F1005" s="2284"/>
      <c r="G1005" s="807"/>
      <c r="H1005" s="652"/>
      <c r="I1005" s="652"/>
      <c r="J1005" s="652"/>
      <c r="K1005" s="652"/>
      <c r="L1005" s="652"/>
      <c r="M1005" s="652"/>
    </row>
    <row r="1006" spans="1:13">
      <c r="A1006" s="2278"/>
      <c r="B1006" s="2279"/>
      <c r="C1006" s="2285" t="s">
        <v>283</v>
      </c>
      <c r="D1006" s="2286"/>
      <c r="E1006" s="2286"/>
      <c r="F1006" s="2287"/>
      <c r="G1006" s="806">
        <f>ROUNDUP(G984+G985+G986+G987+G988+G989+G990+G991,2)</f>
        <v>105.05000000000001</v>
      </c>
      <c r="H1006" s="652"/>
      <c r="I1006" s="652"/>
      <c r="J1006" s="652"/>
      <c r="K1006" s="652"/>
      <c r="L1006" s="652"/>
      <c r="M1006" s="652"/>
    </row>
    <row r="1007" spans="1:13">
      <c r="A1007" s="2278"/>
      <c r="B1007" s="2279"/>
      <c r="C1007" s="2282" t="s">
        <v>720</v>
      </c>
      <c r="D1007" s="2283"/>
      <c r="E1007" s="2283"/>
      <c r="F1007" s="2284"/>
      <c r="G1007" s="807"/>
      <c r="H1007" s="652"/>
      <c r="I1007" s="652"/>
      <c r="J1007" s="652"/>
      <c r="K1007" s="652"/>
      <c r="L1007" s="652"/>
      <c r="M1007" s="652"/>
    </row>
    <row r="1008" spans="1:13">
      <c r="A1008" s="2280"/>
      <c r="B1008" s="2281"/>
      <c r="C1008" s="2285" t="s">
        <v>283</v>
      </c>
      <c r="D1008" s="2286"/>
      <c r="E1008" s="2286"/>
      <c r="F1008" s="2287"/>
      <c r="G1008" s="806">
        <f>ROUNDUP(G994+G995+G996+G997+G998+G999+G1000,2)</f>
        <v>288.87</v>
      </c>
      <c r="H1008" s="652"/>
      <c r="I1008" s="652"/>
      <c r="J1008" s="652"/>
      <c r="K1008" s="652"/>
      <c r="L1008" s="652"/>
      <c r="M1008" s="652"/>
    </row>
    <row r="1009" spans="1:13" ht="15.75" thickBot="1">
      <c r="A1009" s="2273" t="s">
        <v>316</v>
      </c>
      <c r="B1009" s="2274"/>
      <c r="C1009" s="2274"/>
      <c r="D1009" s="2274"/>
      <c r="E1009" s="2274"/>
      <c r="F1009" s="2275"/>
      <c r="G1009" s="827">
        <f>ROUNDUP(G1004+G1006+G1008,2)</f>
        <v>436.63</v>
      </c>
      <c r="H1009" s="652"/>
      <c r="I1009" s="652"/>
      <c r="J1009" s="652"/>
      <c r="K1009" s="652"/>
      <c r="L1009" s="652"/>
      <c r="M1009" s="652"/>
    </row>
    <row r="1010" spans="1:13" ht="15.75" thickBot="1">
      <c r="A1010" s="847"/>
      <c r="B1010" s="848"/>
      <c r="C1010" s="848"/>
      <c r="D1010" s="848"/>
      <c r="E1010" s="848"/>
      <c r="F1010" s="848"/>
      <c r="G1010" s="849"/>
      <c r="H1010" s="652"/>
      <c r="I1010" s="652"/>
      <c r="J1010" s="652"/>
      <c r="K1010" s="652"/>
      <c r="L1010" s="652"/>
      <c r="M1010" s="652"/>
    </row>
    <row r="1011" spans="1:13" ht="15.75" thickBot="1">
      <c r="A1011" s="666" t="s">
        <v>558</v>
      </c>
      <c r="B1011" s="2163" t="s">
        <v>854</v>
      </c>
      <c r="C1011" s="2164"/>
      <c r="D1011" s="2164"/>
      <c r="E1011" s="2164"/>
      <c r="F1011" s="2164"/>
      <c r="G1011" s="2165"/>
      <c r="H1011" s="652"/>
      <c r="I1011" s="652"/>
      <c r="J1011" s="652"/>
      <c r="K1011" s="652"/>
      <c r="L1011" s="652"/>
      <c r="M1011" s="652"/>
    </row>
    <row r="1012" spans="1:13">
      <c r="A1012" s="2205" t="s">
        <v>279</v>
      </c>
      <c r="B1012" s="2206"/>
      <c r="C1012" s="2206"/>
      <c r="D1012" s="2206"/>
      <c r="E1012" s="2206"/>
      <c r="F1012" s="2206"/>
      <c r="G1012" s="2207"/>
      <c r="H1012" s="652"/>
      <c r="I1012" s="652"/>
      <c r="J1012" s="652"/>
      <c r="K1012" s="652"/>
      <c r="L1012" s="652"/>
      <c r="M1012" s="652"/>
    </row>
    <row r="1013" spans="1:13">
      <c r="A1013" s="2169" t="s">
        <v>361</v>
      </c>
      <c r="B1013" s="2170"/>
      <c r="C1013" s="2170"/>
      <c r="D1013" s="2170"/>
      <c r="E1013" s="2170"/>
      <c r="F1013" s="2170"/>
      <c r="G1013" s="2171"/>
      <c r="H1013" s="652"/>
      <c r="I1013" s="652"/>
      <c r="J1013" s="652"/>
      <c r="K1013" s="652"/>
      <c r="L1013" s="652"/>
      <c r="M1013" s="652"/>
    </row>
    <row r="1014" spans="1:13">
      <c r="A1014" s="681" t="s">
        <v>298</v>
      </c>
      <c r="B1014" s="682" t="s">
        <v>298</v>
      </c>
      <c r="C1014" s="682" t="s">
        <v>308</v>
      </c>
      <c r="D1014" s="682" t="s">
        <v>309</v>
      </c>
      <c r="E1014" s="682" t="s">
        <v>310</v>
      </c>
      <c r="F1014" s="682" t="s">
        <v>311</v>
      </c>
      <c r="G1014" s="740" t="s">
        <v>312</v>
      </c>
      <c r="H1014" s="652"/>
      <c r="I1014" s="652"/>
      <c r="J1014" s="652"/>
      <c r="K1014" s="652"/>
      <c r="L1014" s="652"/>
      <c r="M1014" s="652"/>
    </row>
    <row r="1015" spans="1:13">
      <c r="A1015" s="2288" t="s">
        <v>692</v>
      </c>
      <c r="B1015" s="2289"/>
      <c r="C1015" s="2289"/>
      <c r="D1015" s="2289"/>
      <c r="E1015" s="2289"/>
      <c r="F1015" s="2289"/>
      <c r="G1015" s="2290"/>
      <c r="H1015" s="652"/>
      <c r="I1015" s="652"/>
      <c r="J1015" s="652"/>
      <c r="K1015" s="652"/>
      <c r="L1015" s="652"/>
      <c r="M1015" s="652"/>
    </row>
    <row r="1016" spans="1:13" ht="24">
      <c r="A1016" s="696" t="s">
        <v>754</v>
      </c>
      <c r="B1016" s="718">
        <f>4.75+9.5+4.75</f>
        <v>19</v>
      </c>
      <c r="C1016" s="718">
        <v>0.15</v>
      </c>
      <c r="D1016" s="718">
        <f t="shared" ref="D1016:D1021" si="45">C1016*B1016</f>
        <v>2.85</v>
      </c>
      <c r="E1016" s="718"/>
      <c r="F1016" s="718"/>
      <c r="G1016" s="743">
        <f t="shared" ref="G1016:G1021" si="46">D1016-F1016</f>
        <v>2.85</v>
      </c>
      <c r="H1016" s="652"/>
      <c r="I1016" s="652"/>
      <c r="J1016" s="652"/>
      <c r="K1016" s="652"/>
      <c r="L1016" s="652"/>
      <c r="M1016" s="652"/>
    </row>
    <row r="1017" spans="1:13" ht="36">
      <c r="A1017" s="696" t="s">
        <v>755</v>
      </c>
      <c r="B1017" s="718">
        <f>4.15+4+1.6+3.08+4.5+1.65+5.15+4</f>
        <v>28.129999999999995</v>
      </c>
      <c r="C1017" s="718">
        <v>0.15</v>
      </c>
      <c r="D1017" s="718">
        <f t="shared" si="45"/>
        <v>4.2194999999999991</v>
      </c>
      <c r="E1017" s="718"/>
      <c r="F1017" s="718"/>
      <c r="G1017" s="743">
        <f t="shared" si="46"/>
        <v>4.2194999999999991</v>
      </c>
      <c r="H1017" s="652"/>
      <c r="I1017" s="652"/>
      <c r="J1017" s="652"/>
      <c r="K1017" s="652"/>
      <c r="L1017" s="652"/>
      <c r="M1017" s="652"/>
    </row>
    <row r="1018" spans="1:13" ht="24">
      <c r="A1018" s="696" t="s">
        <v>756</v>
      </c>
      <c r="B1018" s="718">
        <f>3.85+3.85+9.8+9.8</f>
        <v>27.3</v>
      </c>
      <c r="C1018" s="718">
        <v>0.15</v>
      </c>
      <c r="D1018" s="718">
        <f t="shared" si="45"/>
        <v>4.0949999999999998</v>
      </c>
      <c r="E1018" s="718"/>
      <c r="F1018" s="718"/>
      <c r="G1018" s="743">
        <f t="shared" si="46"/>
        <v>4.0949999999999998</v>
      </c>
      <c r="H1018" s="652"/>
      <c r="I1018" s="652"/>
      <c r="J1018" s="652"/>
      <c r="K1018" s="652"/>
      <c r="L1018" s="652"/>
      <c r="M1018" s="652"/>
    </row>
    <row r="1019" spans="1:13" ht="36">
      <c r="A1019" s="696" t="s">
        <v>757</v>
      </c>
      <c r="B1019" s="718">
        <f>7.8+7.5+17.1+3.35</f>
        <v>35.750000000000007</v>
      </c>
      <c r="C1019" s="718">
        <v>0.15</v>
      </c>
      <c r="D1019" s="718">
        <f t="shared" si="45"/>
        <v>5.3625000000000007</v>
      </c>
      <c r="E1019" s="718"/>
      <c r="F1019" s="718"/>
      <c r="G1019" s="743">
        <f t="shared" si="46"/>
        <v>5.3625000000000007</v>
      </c>
      <c r="H1019" s="652"/>
      <c r="I1019" s="652"/>
      <c r="J1019" s="652"/>
      <c r="K1019" s="652"/>
      <c r="L1019" s="652"/>
      <c r="M1019" s="652"/>
    </row>
    <row r="1020" spans="1:13" ht="24">
      <c r="A1020" s="696" t="s">
        <v>758</v>
      </c>
      <c r="B1020" s="718">
        <f>3.35+1.8</f>
        <v>5.15</v>
      </c>
      <c r="C1020" s="718">
        <v>1.28</v>
      </c>
      <c r="D1020" s="718">
        <f t="shared" si="45"/>
        <v>6.5920000000000005</v>
      </c>
      <c r="E1020" s="718"/>
      <c r="F1020" s="718"/>
      <c r="G1020" s="743">
        <f t="shared" si="46"/>
        <v>6.5920000000000005</v>
      </c>
      <c r="H1020" s="652"/>
      <c r="I1020" s="652"/>
      <c r="J1020" s="652"/>
      <c r="K1020" s="652"/>
      <c r="L1020" s="652"/>
      <c r="M1020" s="652"/>
    </row>
    <row r="1021" spans="1:13" ht="24">
      <c r="A1021" s="696" t="s">
        <v>759</v>
      </c>
      <c r="B1021" s="718">
        <f>7.8+7.5</f>
        <v>15.3</v>
      </c>
      <c r="C1021" s="718">
        <v>1.28</v>
      </c>
      <c r="D1021" s="718">
        <f t="shared" si="45"/>
        <v>19.584</v>
      </c>
      <c r="E1021" s="718"/>
      <c r="F1021" s="718"/>
      <c r="G1021" s="743">
        <f t="shared" si="46"/>
        <v>19.584</v>
      </c>
      <c r="H1021" s="652"/>
      <c r="I1021" s="652"/>
      <c r="J1021" s="652"/>
      <c r="K1021" s="652"/>
      <c r="L1021" s="652"/>
      <c r="M1021" s="652"/>
    </row>
    <row r="1022" spans="1:13">
      <c r="A1022" s="2235"/>
      <c r="B1022" s="2155"/>
      <c r="C1022" s="2155"/>
      <c r="D1022" s="2155"/>
      <c r="E1022" s="2155"/>
      <c r="F1022" s="2155"/>
      <c r="G1022" s="2156"/>
      <c r="H1022" s="652"/>
      <c r="I1022" s="652"/>
      <c r="J1022" s="652"/>
      <c r="K1022" s="652"/>
      <c r="L1022" s="652"/>
      <c r="M1022" s="652"/>
    </row>
    <row r="1023" spans="1:13">
      <c r="A1023" s="2288" t="s">
        <v>702</v>
      </c>
      <c r="B1023" s="2289"/>
      <c r="C1023" s="2289"/>
      <c r="D1023" s="2289"/>
      <c r="E1023" s="2289"/>
      <c r="F1023" s="2289"/>
      <c r="G1023" s="2290"/>
      <c r="H1023" s="652"/>
      <c r="I1023" s="652"/>
      <c r="J1023" s="652"/>
      <c r="K1023" s="652"/>
      <c r="L1023" s="652"/>
      <c r="M1023" s="652"/>
    </row>
    <row r="1024" spans="1:13">
      <c r="A1024" s="741">
        <v>4.1500000000000004</v>
      </c>
      <c r="B1024" s="718">
        <v>4.1500000000000004</v>
      </c>
      <c r="C1024" s="718">
        <v>2.2799999999999998</v>
      </c>
      <c r="D1024" s="718">
        <f t="shared" ref="D1024:D1030" si="47">C1024*B1024</f>
        <v>9.4619999999999997</v>
      </c>
      <c r="E1024" s="718"/>
      <c r="F1024" s="718"/>
      <c r="G1024" s="743">
        <f>D1024*C1024</f>
        <v>21.573359999999997</v>
      </c>
      <c r="H1024" s="652"/>
      <c r="I1024" s="652"/>
      <c r="J1024" s="652"/>
      <c r="K1024" s="652"/>
      <c r="L1024" s="652"/>
      <c r="M1024" s="652"/>
    </row>
    <row r="1025" spans="1:13">
      <c r="A1025" s="741">
        <v>3.35</v>
      </c>
      <c r="B1025" s="718">
        <v>3.35</v>
      </c>
      <c r="C1025" s="718">
        <v>4.32</v>
      </c>
      <c r="D1025" s="718">
        <f t="shared" si="47"/>
        <v>14.472000000000001</v>
      </c>
      <c r="E1025" s="718"/>
      <c r="F1025" s="718"/>
      <c r="G1025" s="743">
        <f>D1025</f>
        <v>14.472000000000001</v>
      </c>
      <c r="H1025" s="652"/>
      <c r="I1025" s="652"/>
      <c r="J1025" s="652"/>
      <c r="K1025" s="652"/>
      <c r="L1025" s="652"/>
      <c r="M1025" s="652"/>
    </row>
    <row r="1026" spans="1:13">
      <c r="A1026" s="741">
        <v>2.35</v>
      </c>
      <c r="B1026" s="718">
        <v>2.35</v>
      </c>
      <c r="C1026" s="718">
        <v>4.32</v>
      </c>
      <c r="D1026" s="718">
        <f t="shared" si="47"/>
        <v>10.152000000000001</v>
      </c>
      <c r="E1026" s="742" t="s">
        <v>710</v>
      </c>
      <c r="F1026" s="718">
        <f>2.2*1.1</f>
        <v>2.4200000000000004</v>
      </c>
      <c r="G1026" s="743">
        <f>D1026-F1026</f>
        <v>7.7320000000000011</v>
      </c>
      <c r="H1026" s="652"/>
      <c r="I1026" s="652"/>
      <c r="J1026" s="652"/>
      <c r="K1026" s="652"/>
      <c r="L1026" s="652"/>
      <c r="M1026" s="652"/>
    </row>
    <row r="1027" spans="1:13">
      <c r="A1027" s="741">
        <v>4.1500000000000004</v>
      </c>
      <c r="B1027" s="718">
        <v>4.1500000000000004</v>
      </c>
      <c r="C1027" s="718">
        <v>1.27</v>
      </c>
      <c r="D1027" s="718">
        <f t="shared" si="47"/>
        <v>5.2705000000000002</v>
      </c>
      <c r="E1027" s="718"/>
      <c r="F1027" s="718"/>
      <c r="G1027" s="743">
        <f>D1027</f>
        <v>5.2705000000000002</v>
      </c>
      <c r="H1027" s="652"/>
      <c r="I1027" s="652"/>
      <c r="J1027" s="652"/>
      <c r="K1027" s="652"/>
      <c r="L1027" s="652"/>
      <c r="M1027" s="652"/>
    </row>
    <row r="1028" spans="1:13">
      <c r="A1028" s="696" t="s">
        <v>760</v>
      </c>
      <c r="B1028" s="718">
        <v>4.1500000000000004</v>
      </c>
      <c r="C1028" s="718">
        <v>1.27</v>
      </c>
      <c r="D1028" s="718">
        <f t="shared" si="47"/>
        <v>5.2705000000000002</v>
      </c>
      <c r="E1028" s="718"/>
      <c r="F1028" s="718"/>
      <c r="G1028" s="743">
        <f>D1028</f>
        <v>5.2705000000000002</v>
      </c>
      <c r="H1028" s="652"/>
      <c r="I1028" s="652"/>
      <c r="J1028" s="652"/>
      <c r="K1028" s="652"/>
      <c r="L1028" s="652"/>
      <c r="M1028" s="652"/>
    </row>
    <row r="1029" spans="1:13" ht="24">
      <c r="A1029" s="696" t="s">
        <v>761</v>
      </c>
      <c r="B1029" s="718">
        <f>4.45+4.6+4.6</f>
        <v>13.65</v>
      </c>
      <c r="C1029" s="718">
        <v>1.78</v>
      </c>
      <c r="D1029" s="718">
        <f t="shared" si="47"/>
        <v>24.297000000000001</v>
      </c>
      <c r="E1029" s="718"/>
      <c r="F1029" s="718"/>
      <c r="G1029" s="743">
        <f>D1029</f>
        <v>24.297000000000001</v>
      </c>
      <c r="H1029" s="652"/>
      <c r="I1029" s="652"/>
      <c r="J1029" s="652"/>
      <c r="K1029" s="652"/>
      <c r="L1029" s="652"/>
      <c r="M1029" s="652"/>
    </row>
    <row r="1030" spans="1:13" ht="24">
      <c r="A1030" s="696" t="s">
        <v>763</v>
      </c>
      <c r="B1030" s="718">
        <f>3.85+3.85</f>
        <v>7.7</v>
      </c>
      <c r="C1030" s="718">
        <v>2.2799999999999998</v>
      </c>
      <c r="D1030" s="718">
        <f t="shared" si="47"/>
        <v>17.555999999999997</v>
      </c>
      <c r="E1030" s="718"/>
      <c r="F1030" s="718"/>
      <c r="G1030" s="743">
        <f>D1030</f>
        <v>17.555999999999997</v>
      </c>
      <c r="H1030" s="652"/>
      <c r="I1030" s="652"/>
      <c r="J1030" s="652"/>
      <c r="K1030" s="652"/>
      <c r="L1030" s="652"/>
      <c r="M1030" s="652"/>
    </row>
    <row r="1031" spans="1:13" ht="24">
      <c r="A1031" s="801" t="s">
        <v>764</v>
      </c>
      <c r="B1031" s="802">
        <v>4.5999999999999996</v>
      </c>
      <c r="C1031" s="779">
        <v>1.93</v>
      </c>
      <c r="D1031" s="779">
        <f>B1031*C1031</f>
        <v>8.8779999999999983</v>
      </c>
      <c r="E1031" s="779"/>
      <c r="F1031" s="779"/>
      <c r="G1031" s="804">
        <f>D1031-F1031</f>
        <v>8.8779999999999983</v>
      </c>
      <c r="H1031" s="652"/>
      <c r="I1031" s="652"/>
      <c r="J1031" s="652"/>
      <c r="K1031" s="652"/>
      <c r="L1031" s="652"/>
      <c r="M1031" s="652"/>
    </row>
    <row r="1032" spans="1:13">
      <c r="A1032" s="2235"/>
      <c r="B1032" s="2155"/>
      <c r="C1032" s="2155"/>
      <c r="D1032" s="2155"/>
      <c r="E1032" s="2155"/>
      <c r="F1032" s="2155"/>
      <c r="G1032" s="2156"/>
      <c r="H1032" s="652"/>
      <c r="I1032" s="652"/>
      <c r="J1032" s="652"/>
      <c r="K1032" s="652"/>
      <c r="L1032" s="652"/>
      <c r="M1032" s="652"/>
    </row>
    <row r="1033" spans="1:13">
      <c r="A1033" s="2288" t="s">
        <v>720</v>
      </c>
      <c r="B1033" s="2289"/>
      <c r="C1033" s="2289"/>
      <c r="D1033" s="2289"/>
      <c r="E1033" s="2289"/>
      <c r="F1033" s="2289"/>
      <c r="G1033" s="2290"/>
      <c r="H1033" s="652"/>
      <c r="I1033" s="652"/>
      <c r="J1033" s="652"/>
      <c r="K1033" s="652"/>
      <c r="L1033" s="652"/>
      <c r="M1033" s="652"/>
    </row>
    <row r="1034" spans="1:13" ht="36">
      <c r="A1034" s="696" t="s">
        <v>765</v>
      </c>
      <c r="B1034" s="718">
        <f>3.65+4.8</f>
        <v>8.4499999999999993</v>
      </c>
      <c r="C1034" s="718">
        <v>4.32</v>
      </c>
      <c r="D1034" s="718">
        <f>B1034*C1034</f>
        <v>36.503999999999998</v>
      </c>
      <c r="E1034" s="742" t="s">
        <v>766</v>
      </c>
      <c r="F1034" s="718">
        <f>(2.2*1.1)+(2.3+1.1)</f>
        <v>5.82</v>
      </c>
      <c r="G1034" s="743">
        <f>D1034-F1034</f>
        <v>30.683999999999997</v>
      </c>
      <c r="H1034" s="652"/>
      <c r="I1034" s="652"/>
      <c r="J1034" s="652"/>
      <c r="K1034" s="652"/>
      <c r="L1034" s="652"/>
      <c r="M1034" s="652"/>
    </row>
    <row r="1035" spans="1:13" ht="60">
      <c r="A1035" s="696" t="s">
        <v>769</v>
      </c>
      <c r="B1035" s="800">
        <f>7.8+7.8+17.25</f>
        <v>32.85</v>
      </c>
      <c r="C1035" s="718">
        <v>4.32</v>
      </c>
      <c r="D1035" s="718">
        <f>B1035*C1035</f>
        <v>141.91200000000001</v>
      </c>
      <c r="E1035" s="742" t="s">
        <v>770</v>
      </c>
      <c r="F1035" s="718">
        <f>((2.3*1.1)*3)+((1.1*0.6)*2)+(1.6*2.1)</f>
        <v>12.27</v>
      </c>
      <c r="G1035" s="743">
        <f>D1035-F1035</f>
        <v>129.642</v>
      </c>
      <c r="H1035" s="652"/>
      <c r="I1035" s="652"/>
      <c r="J1035" s="652"/>
      <c r="K1035" s="652"/>
      <c r="L1035" s="652"/>
      <c r="M1035" s="652"/>
    </row>
    <row r="1036" spans="1:13">
      <c r="A1036" s="741">
        <v>5.15</v>
      </c>
      <c r="B1036" s="800">
        <v>5.15</v>
      </c>
      <c r="C1036" s="718">
        <v>4.2699999999999996</v>
      </c>
      <c r="D1036" s="718">
        <f>B1036*C1036</f>
        <v>21.990500000000001</v>
      </c>
      <c r="E1036" s="718"/>
      <c r="F1036" s="718"/>
      <c r="G1036" s="743">
        <f>D1036</f>
        <v>21.990500000000001</v>
      </c>
      <c r="H1036" s="652"/>
      <c r="I1036" s="652"/>
      <c r="J1036" s="652"/>
      <c r="K1036" s="652"/>
      <c r="L1036" s="652"/>
      <c r="M1036" s="652"/>
    </row>
    <row r="1037" spans="1:13" ht="24">
      <c r="A1037" s="741">
        <v>4.1500000000000004</v>
      </c>
      <c r="B1037" s="800">
        <v>4.1500000000000004</v>
      </c>
      <c r="C1037" s="718">
        <v>2.84</v>
      </c>
      <c r="D1037" s="718">
        <f>B1037*C1037</f>
        <v>11.786</v>
      </c>
      <c r="E1037" s="742" t="s">
        <v>771</v>
      </c>
      <c r="F1037" s="718">
        <f>(1.3*2.1)+(2.3*1.1)</f>
        <v>5.26</v>
      </c>
      <c r="G1037" s="743">
        <f>D1037-F1037</f>
        <v>6.5259999999999998</v>
      </c>
      <c r="H1037" s="652"/>
      <c r="I1037" s="652"/>
      <c r="J1037" s="652"/>
      <c r="K1037" s="652"/>
      <c r="L1037" s="652"/>
      <c r="M1037" s="652"/>
    </row>
    <row r="1038" spans="1:13">
      <c r="A1038" s="696" t="s">
        <v>772</v>
      </c>
      <c r="B1038" s="718">
        <v>7.5</v>
      </c>
      <c r="C1038" s="718">
        <v>1.78</v>
      </c>
      <c r="D1038" s="718">
        <f>C1038*B1038</f>
        <v>13.35</v>
      </c>
      <c r="E1038" s="718"/>
      <c r="F1038" s="718"/>
      <c r="G1038" s="743">
        <f>D1038-F1038</f>
        <v>13.35</v>
      </c>
      <c r="H1038" s="652"/>
      <c r="I1038" s="652"/>
      <c r="J1038" s="652"/>
      <c r="K1038" s="652"/>
      <c r="L1038" s="652"/>
      <c r="M1038" s="652"/>
    </row>
    <row r="1039" spans="1:13">
      <c r="A1039" s="696" t="s">
        <v>773</v>
      </c>
      <c r="B1039" s="718">
        <v>16.95</v>
      </c>
      <c r="C1039" s="718">
        <v>1.28</v>
      </c>
      <c r="D1039" s="718">
        <f>C1039*B1039</f>
        <v>21.695999999999998</v>
      </c>
      <c r="E1039" s="718"/>
      <c r="F1039" s="718"/>
      <c r="G1039" s="743">
        <f>D1039-F1039</f>
        <v>21.695999999999998</v>
      </c>
      <c r="H1039" s="652"/>
      <c r="I1039" s="652"/>
      <c r="J1039" s="652"/>
      <c r="K1039" s="652"/>
      <c r="L1039" s="652"/>
      <c r="M1039" s="652"/>
    </row>
    <row r="1040" spans="1:13" ht="24">
      <c r="A1040" s="696" t="s">
        <v>774</v>
      </c>
      <c r="B1040" s="718">
        <f>9.5+9.5+9.5</f>
        <v>28.5</v>
      </c>
      <c r="C1040" s="718">
        <v>2.2799999999999998</v>
      </c>
      <c r="D1040" s="718">
        <f>C1040*B1040</f>
        <v>64.97999999999999</v>
      </c>
      <c r="E1040" s="718"/>
      <c r="F1040" s="718"/>
      <c r="G1040" s="743">
        <f>D1040-F1040</f>
        <v>64.97999999999999</v>
      </c>
      <c r="H1040" s="652"/>
      <c r="I1040" s="652"/>
      <c r="J1040" s="652"/>
      <c r="K1040" s="652"/>
      <c r="L1040" s="652"/>
      <c r="M1040" s="652"/>
    </row>
    <row r="1041" spans="1:13">
      <c r="A1041" s="2235"/>
      <c r="B1041" s="2155"/>
      <c r="C1041" s="2155"/>
      <c r="D1041" s="2155"/>
      <c r="E1041" s="2155"/>
      <c r="F1041" s="2155"/>
      <c r="G1041" s="2156"/>
      <c r="H1041" s="652"/>
      <c r="I1041" s="652"/>
      <c r="J1041" s="652"/>
      <c r="K1041" s="652"/>
      <c r="L1041" s="652"/>
      <c r="M1041" s="652"/>
    </row>
    <row r="1042" spans="1:13">
      <c r="A1042" s="2291" t="s">
        <v>2003</v>
      </c>
      <c r="B1042" s="2292"/>
      <c r="C1042" s="2292"/>
      <c r="D1042" s="2292"/>
      <c r="E1042" s="2292"/>
      <c r="F1042" s="2292"/>
      <c r="G1042" s="2293"/>
      <c r="H1042" s="652"/>
      <c r="I1042" s="918"/>
      <c r="J1042" s="652"/>
      <c r="K1042" s="652"/>
      <c r="L1042" s="652"/>
      <c r="M1042" s="652"/>
    </row>
    <row r="1043" spans="1:13">
      <c r="A1043" s="2276"/>
      <c r="B1043" s="2277"/>
      <c r="C1043" s="2282" t="s">
        <v>692</v>
      </c>
      <c r="D1043" s="2283"/>
      <c r="E1043" s="2283"/>
      <c r="F1043" s="2284"/>
      <c r="G1043" s="743"/>
      <c r="H1043" s="652"/>
      <c r="I1043" s="652"/>
      <c r="J1043" s="652"/>
      <c r="K1043" s="652"/>
      <c r="L1043" s="652"/>
      <c r="M1043" s="652"/>
    </row>
    <row r="1044" spans="1:13">
      <c r="A1044" s="2278"/>
      <c r="B1044" s="2279"/>
      <c r="C1044" s="2285" t="s">
        <v>283</v>
      </c>
      <c r="D1044" s="2286"/>
      <c r="E1044" s="2286"/>
      <c r="F1044" s="2287"/>
      <c r="G1044" s="806">
        <f>ROUNDUP(G1016+G1017+G1018+G1019+G1020+G1021,2)</f>
        <v>42.71</v>
      </c>
      <c r="H1044" s="652"/>
      <c r="I1044" s="652"/>
      <c r="J1044" s="652"/>
      <c r="K1044" s="652"/>
      <c r="L1044" s="652"/>
      <c r="M1044" s="652"/>
    </row>
    <row r="1045" spans="1:13">
      <c r="A1045" s="2278"/>
      <c r="B1045" s="2279"/>
      <c r="C1045" s="2282" t="s">
        <v>702</v>
      </c>
      <c r="D1045" s="2283"/>
      <c r="E1045" s="2283"/>
      <c r="F1045" s="2284"/>
      <c r="G1045" s="807"/>
      <c r="H1045" s="652"/>
      <c r="I1045" s="652"/>
      <c r="J1045" s="652"/>
      <c r="K1045" s="652"/>
      <c r="L1045" s="652"/>
      <c r="M1045" s="652"/>
    </row>
    <row r="1046" spans="1:13">
      <c r="A1046" s="2278"/>
      <c r="B1046" s="2279"/>
      <c r="C1046" s="2285" t="s">
        <v>283</v>
      </c>
      <c r="D1046" s="2286"/>
      <c r="E1046" s="2286"/>
      <c r="F1046" s="2287"/>
      <c r="G1046" s="806">
        <f>ROUNDUP(G1024+G1025+G1026+G1027+G1028+G1029+G1030+G1031,2)</f>
        <v>105.05000000000001</v>
      </c>
      <c r="H1046" s="652"/>
      <c r="I1046" s="652"/>
      <c r="J1046" s="652"/>
      <c r="K1046" s="652"/>
      <c r="L1046" s="652"/>
      <c r="M1046" s="652"/>
    </row>
    <row r="1047" spans="1:13">
      <c r="A1047" s="2278"/>
      <c r="B1047" s="2279"/>
      <c r="C1047" s="2282" t="s">
        <v>720</v>
      </c>
      <c r="D1047" s="2283"/>
      <c r="E1047" s="2283"/>
      <c r="F1047" s="2284"/>
      <c r="G1047" s="807"/>
      <c r="H1047" s="652"/>
      <c r="I1047" s="652"/>
      <c r="J1047" s="652"/>
      <c r="K1047" s="652"/>
      <c r="L1047" s="652"/>
      <c r="M1047" s="652"/>
    </row>
    <row r="1048" spans="1:13">
      <c r="A1048" s="2280"/>
      <c r="B1048" s="2281"/>
      <c r="C1048" s="2285" t="s">
        <v>283</v>
      </c>
      <c r="D1048" s="2286"/>
      <c r="E1048" s="2286"/>
      <c r="F1048" s="2287"/>
      <c r="G1048" s="806">
        <f>ROUNDUP(G1034+G1035+G1036+G1037+G1038+G1039+G1040,2)</f>
        <v>288.87</v>
      </c>
      <c r="H1048" s="652"/>
      <c r="I1048" s="652"/>
      <c r="J1048" s="652"/>
      <c r="K1048" s="652"/>
      <c r="L1048" s="652"/>
      <c r="M1048" s="652"/>
    </row>
    <row r="1049" spans="1:13" ht="15.75" thickBot="1">
      <c r="A1049" s="2273" t="s">
        <v>316</v>
      </c>
      <c r="B1049" s="2274"/>
      <c r="C1049" s="2274"/>
      <c r="D1049" s="2274"/>
      <c r="E1049" s="2274"/>
      <c r="F1049" s="2275"/>
      <c r="G1049" s="827">
        <f>ROUNDUP(G1044+G1046+G1048,2)</f>
        <v>436.63</v>
      </c>
      <c r="H1049" s="652"/>
      <c r="I1049" s="652"/>
      <c r="J1049" s="652"/>
      <c r="K1049" s="652"/>
      <c r="L1049" s="652"/>
      <c r="M1049" s="652"/>
    </row>
    <row r="1050" spans="1:13" ht="15.75" thickBot="1">
      <c r="A1050" s="785"/>
      <c r="B1050" s="851"/>
      <c r="C1050" s="851"/>
      <c r="D1050" s="851"/>
      <c r="E1050" s="851"/>
      <c r="F1050" s="851"/>
      <c r="G1050" s="852"/>
      <c r="H1050" s="652"/>
      <c r="I1050" s="652"/>
      <c r="J1050" s="652"/>
      <c r="K1050" s="652"/>
      <c r="L1050" s="652"/>
      <c r="M1050" s="652"/>
    </row>
    <row r="1051" spans="1:13" ht="15.75" thickBot="1">
      <c r="A1051" s="666" t="s">
        <v>559</v>
      </c>
      <c r="B1051" s="2163" t="s">
        <v>2008</v>
      </c>
      <c r="C1051" s="2164"/>
      <c r="D1051" s="2164"/>
      <c r="E1051" s="2164"/>
      <c r="F1051" s="2164"/>
      <c r="G1051" s="2165"/>
      <c r="H1051" s="652"/>
      <c r="I1051" s="652"/>
      <c r="J1051" s="652"/>
      <c r="K1051" s="652"/>
      <c r="L1051" s="652"/>
      <c r="M1051" s="652"/>
    </row>
    <row r="1052" spans="1:13">
      <c r="A1052" s="2205" t="s">
        <v>778</v>
      </c>
      <c r="B1052" s="2206"/>
      <c r="C1052" s="2206"/>
      <c r="D1052" s="2206"/>
      <c r="E1052" s="2206"/>
      <c r="F1052" s="2206"/>
      <c r="G1052" s="2207"/>
      <c r="H1052" s="652"/>
      <c r="I1052" s="652"/>
      <c r="J1052" s="652"/>
      <c r="K1052" s="652"/>
      <c r="L1052" s="652"/>
      <c r="M1052" s="652"/>
    </row>
    <row r="1053" spans="1:13">
      <c r="A1053" s="2169" t="s">
        <v>366</v>
      </c>
      <c r="B1053" s="2170"/>
      <c r="C1053" s="2170"/>
      <c r="D1053" s="2170"/>
      <c r="E1053" s="2170"/>
      <c r="F1053" s="2170"/>
      <c r="G1053" s="2171"/>
      <c r="H1053" s="652"/>
      <c r="I1053" s="652"/>
      <c r="J1053" s="652"/>
      <c r="K1053" s="652"/>
      <c r="L1053" s="652"/>
      <c r="M1053" s="652"/>
    </row>
    <row r="1054" spans="1:13">
      <c r="A1054" s="2172" t="s">
        <v>367</v>
      </c>
      <c r="B1054" s="2173"/>
      <c r="C1054" s="682" t="s">
        <v>298</v>
      </c>
      <c r="D1054" s="682" t="s">
        <v>281</v>
      </c>
      <c r="E1054" s="2174" t="s">
        <v>282</v>
      </c>
      <c r="F1054" s="2175"/>
      <c r="G1054" s="2176"/>
      <c r="H1054" s="652"/>
      <c r="I1054" s="652"/>
      <c r="J1054" s="652"/>
      <c r="K1054" s="652"/>
      <c r="L1054" s="652"/>
      <c r="M1054" s="652"/>
    </row>
    <row r="1055" spans="1:13">
      <c r="A1055" s="2256" t="s">
        <v>665</v>
      </c>
      <c r="B1055" s="2257"/>
      <c r="C1055" s="779">
        <v>36.450000000000003</v>
      </c>
      <c r="D1055" s="780">
        <v>33.979999999999997</v>
      </c>
      <c r="E1055" s="2211"/>
      <c r="F1055" s="2212"/>
      <c r="G1055" s="2213"/>
      <c r="H1055" s="652"/>
      <c r="I1055" s="652"/>
      <c r="J1055" s="652"/>
      <c r="K1055" s="652"/>
      <c r="L1055" s="652"/>
      <c r="M1055" s="652"/>
    </row>
    <row r="1056" spans="1:13">
      <c r="A1056" s="2256" t="s">
        <v>850</v>
      </c>
      <c r="B1056" s="2257"/>
      <c r="C1056" s="779">
        <f>36.45+0.8+0.8</f>
        <v>38.049999999999997</v>
      </c>
      <c r="D1056" s="780">
        <f>38.05*0.2</f>
        <v>7.6099999999999994</v>
      </c>
      <c r="E1056" s="2267"/>
      <c r="F1056" s="2268"/>
      <c r="G1056" s="2269"/>
      <c r="H1056" s="652"/>
      <c r="I1056" s="939">
        <f>36.45+38.05</f>
        <v>74.5</v>
      </c>
      <c r="J1056" s="940" t="s">
        <v>1441</v>
      </c>
      <c r="K1056" s="652"/>
      <c r="L1056" s="652"/>
      <c r="M1056" s="652"/>
    </row>
    <row r="1057" spans="1:13" ht="15.75" thickBot="1">
      <c r="A1057" s="781"/>
      <c r="B1057" s="782"/>
      <c r="C1057" s="783" t="s">
        <v>283</v>
      </c>
      <c r="D1057" s="784">
        <f>SUM(D1055:D1056)</f>
        <v>41.589999999999996</v>
      </c>
      <c r="E1057" s="2270"/>
      <c r="F1057" s="2271"/>
      <c r="G1057" s="2272"/>
      <c r="H1057" s="652"/>
      <c r="I1057" s="652"/>
      <c r="J1057" s="652"/>
      <c r="K1057" s="652"/>
      <c r="L1057" s="652"/>
      <c r="M1057" s="652"/>
    </row>
    <row r="1058" spans="1:13" ht="15.75" thickBot="1">
      <c r="A1058" s="853"/>
      <c r="B1058" s="734"/>
      <c r="C1058" s="710"/>
      <c r="D1058" s="710"/>
      <c r="E1058" s="734"/>
      <c r="F1058" s="734"/>
      <c r="G1058" s="735"/>
      <c r="H1058" s="652"/>
      <c r="I1058" s="652"/>
      <c r="J1058" s="652"/>
      <c r="K1058" s="652"/>
      <c r="L1058" s="652"/>
      <c r="M1058" s="652"/>
    </row>
    <row r="1059" spans="1:13" ht="15.75" thickBot="1">
      <c r="A1059" s="666" t="s">
        <v>560</v>
      </c>
      <c r="B1059" s="2163" t="s">
        <v>855</v>
      </c>
      <c r="C1059" s="2164"/>
      <c r="D1059" s="2164"/>
      <c r="E1059" s="2164"/>
      <c r="F1059" s="2164"/>
      <c r="G1059" s="2165"/>
      <c r="H1059" s="652"/>
      <c r="I1059" s="652"/>
      <c r="J1059" s="652"/>
      <c r="K1059" s="652"/>
      <c r="L1059" s="652"/>
      <c r="M1059" s="652"/>
    </row>
    <row r="1060" spans="1:13">
      <c r="A1060" s="2205" t="s">
        <v>778</v>
      </c>
      <c r="B1060" s="2206"/>
      <c r="C1060" s="2206"/>
      <c r="D1060" s="2206"/>
      <c r="E1060" s="2206"/>
      <c r="F1060" s="2206"/>
      <c r="G1060" s="2207"/>
      <c r="H1060" s="652"/>
      <c r="I1060" s="652"/>
      <c r="J1060" s="652"/>
      <c r="K1060" s="652"/>
      <c r="L1060" s="652"/>
      <c r="M1060" s="652"/>
    </row>
    <row r="1061" spans="1:13">
      <c r="A1061" s="2169" t="s">
        <v>366</v>
      </c>
      <c r="B1061" s="2170"/>
      <c r="C1061" s="2170"/>
      <c r="D1061" s="2170"/>
      <c r="E1061" s="2170"/>
      <c r="F1061" s="2170"/>
      <c r="G1061" s="2171"/>
      <c r="H1061" s="652"/>
      <c r="I1061" s="652"/>
      <c r="J1061" s="652"/>
      <c r="K1061" s="652"/>
      <c r="L1061" s="652"/>
      <c r="M1061" s="652"/>
    </row>
    <row r="1062" spans="1:13">
      <c r="A1062" s="2172" t="s">
        <v>367</v>
      </c>
      <c r="B1062" s="2173"/>
      <c r="C1062" s="682" t="s">
        <v>856</v>
      </c>
      <c r="D1062" s="682" t="s">
        <v>281</v>
      </c>
      <c r="E1062" s="2174" t="s">
        <v>282</v>
      </c>
      <c r="F1062" s="2175"/>
      <c r="G1062" s="2176"/>
      <c r="H1062" s="652"/>
      <c r="I1062" s="652"/>
      <c r="J1062" s="652"/>
      <c r="K1062" s="652"/>
      <c r="L1062" s="652"/>
      <c r="M1062" s="652"/>
    </row>
    <row r="1063" spans="1:13">
      <c r="A1063" s="2256" t="s">
        <v>673</v>
      </c>
      <c r="B1063" s="2257"/>
      <c r="C1063" s="803" t="s">
        <v>857</v>
      </c>
      <c r="D1063" s="780">
        <f>(1.6*2.1)*4</f>
        <v>13.440000000000001</v>
      </c>
      <c r="E1063" s="2258" t="s">
        <v>858</v>
      </c>
      <c r="F1063" s="2259"/>
      <c r="G1063" s="2260"/>
      <c r="H1063" s="652"/>
      <c r="I1063" s="652"/>
      <c r="J1063" s="652"/>
      <c r="K1063" s="652"/>
      <c r="L1063" s="652"/>
      <c r="M1063" s="652"/>
    </row>
    <row r="1064" spans="1:13" ht="15.75" thickBot="1">
      <c r="A1064" s="781"/>
      <c r="B1064" s="782"/>
      <c r="C1064" s="783" t="s">
        <v>283</v>
      </c>
      <c r="D1064" s="784">
        <f>SUM(D1063:D1063)</f>
        <v>13.440000000000001</v>
      </c>
      <c r="E1064" s="2264"/>
      <c r="F1064" s="2265"/>
      <c r="G1064" s="2266"/>
      <c r="H1064" s="652"/>
      <c r="I1064" s="652"/>
      <c r="J1064" s="652"/>
      <c r="K1064" s="652"/>
      <c r="L1064" s="652"/>
      <c r="M1064" s="652"/>
    </row>
    <row r="1065" spans="1:13" ht="15.75" thickBot="1">
      <c r="A1065" s="853"/>
      <c r="B1065" s="734"/>
      <c r="C1065" s="710"/>
      <c r="D1065" s="710"/>
      <c r="E1065" s="734"/>
      <c r="F1065" s="734"/>
      <c r="G1065" s="735"/>
      <c r="H1065" s="652"/>
      <c r="I1065" s="652"/>
      <c r="J1065" s="652"/>
      <c r="K1065" s="652"/>
      <c r="L1065" s="652"/>
      <c r="M1065" s="652"/>
    </row>
    <row r="1066" spans="1:13" ht="15.75" thickBot="1">
      <c r="A1066" s="666" t="s">
        <v>561</v>
      </c>
      <c r="B1066" s="2163" t="s">
        <v>859</v>
      </c>
      <c r="C1066" s="2164"/>
      <c r="D1066" s="2164"/>
      <c r="E1066" s="2164"/>
      <c r="F1066" s="2164"/>
      <c r="G1066" s="2165"/>
      <c r="H1066" s="652"/>
      <c r="I1066" s="652"/>
      <c r="J1066" s="652"/>
      <c r="K1066" s="652"/>
      <c r="L1066" s="652"/>
      <c r="M1066" s="652"/>
    </row>
    <row r="1067" spans="1:13">
      <c r="A1067" s="2205" t="s">
        <v>778</v>
      </c>
      <c r="B1067" s="2206"/>
      <c r="C1067" s="2206"/>
      <c r="D1067" s="2206"/>
      <c r="E1067" s="2206"/>
      <c r="F1067" s="2206"/>
      <c r="G1067" s="2207"/>
      <c r="H1067" s="652"/>
      <c r="I1067" s="652"/>
      <c r="J1067" s="652"/>
      <c r="K1067" s="652"/>
      <c r="L1067" s="652"/>
      <c r="M1067" s="652"/>
    </row>
    <row r="1068" spans="1:13">
      <c r="A1068" s="2169" t="s">
        <v>366</v>
      </c>
      <c r="B1068" s="2170"/>
      <c r="C1068" s="2170"/>
      <c r="D1068" s="2170"/>
      <c r="E1068" s="2170"/>
      <c r="F1068" s="2170"/>
      <c r="G1068" s="2171"/>
      <c r="H1068" s="652"/>
      <c r="I1068" s="652"/>
      <c r="J1068" s="652"/>
      <c r="K1068" s="652"/>
      <c r="L1068" s="652"/>
      <c r="M1068" s="652"/>
    </row>
    <row r="1069" spans="1:13">
      <c r="A1069" s="2172" t="s">
        <v>367</v>
      </c>
      <c r="B1069" s="2173"/>
      <c r="C1069" s="682" t="s">
        <v>856</v>
      </c>
      <c r="D1069" s="682" t="s">
        <v>281</v>
      </c>
      <c r="E1069" s="2174" t="s">
        <v>282</v>
      </c>
      <c r="F1069" s="2175"/>
      <c r="G1069" s="2176"/>
      <c r="H1069" s="652"/>
      <c r="I1069" s="652"/>
      <c r="J1069" s="652"/>
      <c r="K1069" s="652"/>
      <c r="L1069" s="652"/>
      <c r="M1069" s="652"/>
    </row>
    <row r="1070" spans="1:13">
      <c r="A1070" s="2256" t="s">
        <v>341</v>
      </c>
      <c r="B1070" s="2257"/>
      <c r="C1070" s="803" t="s">
        <v>860</v>
      </c>
      <c r="D1070" s="780">
        <f>(1.3*2.1)*2</f>
        <v>5.4600000000000009</v>
      </c>
      <c r="E1070" s="2258" t="s">
        <v>861</v>
      </c>
      <c r="F1070" s="2259"/>
      <c r="G1070" s="2260"/>
      <c r="H1070" s="652"/>
      <c r="I1070" s="652"/>
      <c r="J1070" s="652"/>
      <c r="K1070" s="652"/>
      <c r="L1070" s="652"/>
      <c r="M1070" s="652"/>
    </row>
    <row r="1071" spans="1:13">
      <c r="A1071" s="2256" t="s">
        <v>342</v>
      </c>
      <c r="B1071" s="2257"/>
      <c r="C1071" s="803" t="s">
        <v>862</v>
      </c>
      <c r="D1071" s="780">
        <f>(0.8*2.1)*3*2</f>
        <v>10.080000000000002</v>
      </c>
      <c r="E1071" s="2261"/>
      <c r="F1071" s="2262"/>
      <c r="G1071" s="2263"/>
      <c r="H1071" s="652"/>
      <c r="I1071" s="652"/>
      <c r="J1071" s="652"/>
      <c r="K1071" s="652"/>
      <c r="L1071" s="652"/>
      <c r="M1071" s="652"/>
    </row>
    <row r="1072" spans="1:13">
      <c r="A1072" s="2256" t="s">
        <v>343</v>
      </c>
      <c r="B1072" s="2257"/>
      <c r="C1072" s="803" t="s">
        <v>863</v>
      </c>
      <c r="D1072" s="780">
        <f>(1*2.1)*2</f>
        <v>4.2</v>
      </c>
      <c r="E1072" s="2261"/>
      <c r="F1072" s="2262"/>
      <c r="G1072" s="2263"/>
      <c r="H1072" s="652"/>
      <c r="I1072" s="652"/>
      <c r="J1072" s="652"/>
      <c r="K1072" s="652"/>
      <c r="L1072" s="652"/>
      <c r="M1072" s="652"/>
    </row>
    <row r="1073" spans="1:13">
      <c r="A1073" s="2256" t="s">
        <v>670</v>
      </c>
      <c r="B1073" s="2257"/>
      <c r="C1073" s="803" t="s">
        <v>864</v>
      </c>
      <c r="D1073" s="780">
        <f>(0.8*2.1)*2</f>
        <v>3.3600000000000003</v>
      </c>
      <c r="E1073" s="2261"/>
      <c r="F1073" s="2262"/>
      <c r="G1073" s="2263"/>
      <c r="H1073" s="652"/>
      <c r="I1073" s="652"/>
      <c r="J1073" s="652"/>
      <c r="K1073" s="652"/>
      <c r="L1073" s="652"/>
      <c r="M1073" s="652"/>
    </row>
    <row r="1074" spans="1:13" ht="15.75" thickBot="1">
      <c r="A1074" s="781"/>
      <c r="B1074" s="782"/>
      <c r="C1074" s="783" t="s">
        <v>283</v>
      </c>
      <c r="D1074" s="854">
        <f>SUM(D1070:D1073)</f>
        <v>23.1</v>
      </c>
      <c r="E1074" s="2264"/>
      <c r="F1074" s="2265"/>
      <c r="G1074" s="2266"/>
      <c r="H1074" s="652"/>
      <c r="I1074" s="652"/>
      <c r="J1074" s="652"/>
      <c r="K1074" s="652"/>
      <c r="L1074" s="652"/>
      <c r="M1074" s="652"/>
    </row>
    <row r="1075" spans="1:13" ht="15.75" thickBot="1">
      <c r="A1075" s="853"/>
      <c r="B1075" s="734"/>
      <c r="C1075" s="710"/>
      <c r="D1075" s="710"/>
      <c r="E1075" s="734"/>
      <c r="F1075" s="734"/>
      <c r="G1075" s="735"/>
      <c r="H1075" s="652"/>
      <c r="I1075" s="652"/>
      <c r="J1075" s="652"/>
      <c r="K1075" s="652"/>
      <c r="L1075" s="652"/>
      <c r="M1075" s="652"/>
    </row>
    <row r="1076" spans="1:13" ht="15.75" thickBot="1">
      <c r="A1076" s="666">
        <v>14</v>
      </c>
      <c r="B1076" s="2163" t="s">
        <v>865</v>
      </c>
      <c r="C1076" s="2164"/>
      <c r="D1076" s="2164"/>
      <c r="E1076" s="2164"/>
      <c r="F1076" s="2164"/>
      <c r="G1076" s="2165"/>
      <c r="H1076" s="652"/>
      <c r="I1076" s="652"/>
      <c r="J1076" s="652"/>
      <c r="K1076" s="652"/>
      <c r="L1076" s="652"/>
      <c r="M1076" s="652"/>
    </row>
    <row r="1077" spans="1:13" ht="15.75" thickBot="1">
      <c r="A1077" s="666" t="s">
        <v>90</v>
      </c>
      <c r="B1077" s="2163" t="s">
        <v>866</v>
      </c>
      <c r="C1077" s="2164"/>
      <c r="D1077" s="2164"/>
      <c r="E1077" s="2164"/>
      <c r="F1077" s="2164"/>
      <c r="G1077" s="2165"/>
      <c r="H1077" s="652"/>
      <c r="I1077" s="652"/>
      <c r="J1077" s="652"/>
      <c r="K1077" s="652"/>
      <c r="L1077" s="652"/>
      <c r="M1077" s="652"/>
    </row>
    <row r="1078" spans="1:13" ht="15.75" thickBot="1">
      <c r="A1078" s="666" t="s">
        <v>574</v>
      </c>
      <c r="B1078" s="2163" t="s">
        <v>867</v>
      </c>
      <c r="C1078" s="2164"/>
      <c r="D1078" s="2164"/>
      <c r="E1078" s="2164"/>
      <c r="F1078" s="2164"/>
      <c r="G1078" s="2165"/>
      <c r="H1078" s="652"/>
      <c r="I1078" s="652"/>
      <c r="J1078" s="652"/>
      <c r="K1078" s="652"/>
      <c r="L1078" s="652"/>
      <c r="M1078" s="652"/>
    </row>
    <row r="1079" spans="1:13">
      <c r="A1079" s="2182" t="s">
        <v>279</v>
      </c>
      <c r="B1079" s="2183"/>
      <c r="C1079" s="2183"/>
      <c r="D1079" s="2183"/>
      <c r="E1079" s="2183"/>
      <c r="F1079" s="2183"/>
      <c r="G1079" s="2184"/>
      <c r="H1079" s="652"/>
      <c r="I1079" s="652"/>
      <c r="J1079" s="652"/>
      <c r="K1079" s="652"/>
      <c r="L1079" s="652"/>
      <c r="M1079" s="652"/>
    </row>
    <row r="1080" spans="1:13">
      <c r="A1080" s="2169" t="s">
        <v>868</v>
      </c>
      <c r="B1080" s="2170"/>
      <c r="C1080" s="2170"/>
      <c r="D1080" s="2170"/>
      <c r="E1080" s="2170"/>
      <c r="F1080" s="2170"/>
      <c r="G1080" s="2171"/>
      <c r="H1080" s="652"/>
      <c r="I1080" s="652"/>
      <c r="J1080" s="652"/>
      <c r="K1080" s="652"/>
      <c r="L1080" s="652"/>
      <c r="M1080" s="652"/>
    </row>
    <row r="1081" spans="1:13">
      <c r="A1081" s="855" t="s">
        <v>869</v>
      </c>
      <c r="B1081" s="856" t="s">
        <v>870</v>
      </c>
      <c r="C1081" s="2250"/>
      <c r="D1081" s="2251"/>
      <c r="E1081" s="2251"/>
      <c r="F1081" s="2251"/>
      <c r="G1081" s="2252"/>
      <c r="H1081" s="652"/>
      <c r="I1081" s="652"/>
      <c r="J1081" s="652"/>
      <c r="K1081" s="652"/>
      <c r="L1081" s="652"/>
      <c r="M1081" s="652"/>
    </row>
    <row r="1082" spans="1:13">
      <c r="A1082" s="857" t="s">
        <v>789</v>
      </c>
      <c r="B1082" s="858">
        <v>2</v>
      </c>
      <c r="C1082" s="2219"/>
      <c r="D1082" s="2220"/>
      <c r="E1082" s="2220"/>
      <c r="F1082" s="2220"/>
      <c r="G1082" s="2221"/>
      <c r="H1082" s="652"/>
      <c r="I1082" s="652"/>
      <c r="J1082" s="652"/>
      <c r="K1082" s="652"/>
      <c r="L1082" s="652"/>
      <c r="M1082" s="652"/>
    </row>
    <row r="1083" spans="1:13">
      <c r="A1083" s="857" t="s">
        <v>787</v>
      </c>
      <c r="B1083" s="858">
        <v>2</v>
      </c>
      <c r="C1083" s="2253"/>
      <c r="D1083" s="2254"/>
      <c r="E1083" s="2254"/>
      <c r="F1083" s="2254"/>
      <c r="G1083" s="2255"/>
      <c r="H1083" s="652"/>
      <c r="I1083" s="652"/>
      <c r="J1083" s="652"/>
      <c r="K1083" s="652"/>
      <c r="L1083" s="652"/>
      <c r="M1083" s="652"/>
    </row>
    <row r="1084" spans="1:13" ht="15.75" thickBot="1">
      <c r="A1084" s="859" t="s">
        <v>283</v>
      </c>
      <c r="B1084" s="676">
        <f>ROUNDUP(SUM(B1082:B1083),2)</f>
        <v>4</v>
      </c>
      <c r="C1084" s="2222"/>
      <c r="D1084" s="2223"/>
      <c r="E1084" s="2223"/>
      <c r="F1084" s="2223"/>
      <c r="G1084" s="2224"/>
      <c r="H1084" s="652"/>
      <c r="I1084" s="652"/>
      <c r="J1084" s="652"/>
      <c r="K1084" s="652"/>
      <c r="L1084" s="652"/>
      <c r="M1084" s="652"/>
    </row>
    <row r="1085" spans="1:13" ht="15.75" thickBot="1">
      <c r="A1085" s="653"/>
      <c r="B1085" s="654"/>
      <c r="C1085" s="654"/>
      <c r="D1085" s="654"/>
      <c r="E1085" s="654"/>
      <c r="F1085" s="654"/>
      <c r="G1085" s="655"/>
      <c r="H1085" s="652"/>
      <c r="I1085" s="652"/>
      <c r="J1085" s="652"/>
      <c r="K1085" s="652"/>
      <c r="L1085" s="652"/>
      <c r="M1085" s="652"/>
    </row>
    <row r="1086" spans="1:13" ht="15.75" thickBot="1">
      <c r="A1086" s="666" t="s">
        <v>91</v>
      </c>
      <c r="B1086" s="2163" t="s">
        <v>871</v>
      </c>
      <c r="C1086" s="2164"/>
      <c r="D1086" s="2164"/>
      <c r="E1086" s="2164"/>
      <c r="F1086" s="2164"/>
      <c r="G1086" s="2165"/>
      <c r="H1086" s="652"/>
      <c r="I1086" s="652"/>
      <c r="J1086" s="652"/>
      <c r="K1086" s="652"/>
      <c r="L1086" s="652"/>
      <c r="M1086" s="652"/>
    </row>
    <row r="1087" spans="1:13">
      <c r="A1087" s="2182" t="s">
        <v>279</v>
      </c>
      <c r="B1087" s="2183"/>
      <c r="C1087" s="2183"/>
      <c r="D1087" s="2183"/>
      <c r="E1087" s="2183"/>
      <c r="F1087" s="2183"/>
      <c r="G1087" s="2184"/>
      <c r="H1087" s="652"/>
      <c r="I1087" s="652"/>
      <c r="J1087" s="652"/>
      <c r="K1087" s="652"/>
      <c r="L1087" s="652"/>
      <c r="M1087" s="652"/>
    </row>
    <row r="1088" spans="1:13">
      <c r="A1088" s="2169" t="s">
        <v>868</v>
      </c>
      <c r="B1088" s="2170"/>
      <c r="C1088" s="2170"/>
      <c r="D1088" s="2170"/>
      <c r="E1088" s="2170"/>
      <c r="F1088" s="2170"/>
      <c r="G1088" s="2171"/>
      <c r="H1088" s="652"/>
      <c r="I1088" s="652"/>
      <c r="J1088" s="652"/>
      <c r="K1088" s="652"/>
      <c r="L1088" s="652"/>
      <c r="M1088" s="652"/>
    </row>
    <row r="1089" spans="1:13">
      <c r="A1089" s="855" t="s">
        <v>869</v>
      </c>
      <c r="B1089" s="856" t="s">
        <v>870</v>
      </c>
      <c r="C1089" s="2250"/>
      <c r="D1089" s="2251"/>
      <c r="E1089" s="2251"/>
      <c r="F1089" s="2251"/>
      <c r="G1089" s="2252"/>
      <c r="H1089" s="652"/>
      <c r="I1089" s="652"/>
      <c r="J1089" s="652"/>
      <c r="K1089" s="652"/>
      <c r="L1089" s="652"/>
      <c r="M1089" s="652"/>
    </row>
    <row r="1090" spans="1:13">
      <c r="A1090" s="857" t="s">
        <v>872</v>
      </c>
      <c r="B1090" s="858">
        <v>1</v>
      </c>
      <c r="C1090" s="860"/>
      <c r="D1090" s="861"/>
      <c r="E1090" s="861"/>
      <c r="F1090" s="861"/>
      <c r="G1090" s="862"/>
      <c r="H1090" s="652"/>
      <c r="I1090" s="652"/>
      <c r="J1090" s="652"/>
      <c r="K1090" s="652"/>
      <c r="L1090" s="652"/>
      <c r="M1090" s="652"/>
    </row>
    <row r="1091" spans="1:13">
      <c r="A1091" s="857" t="s">
        <v>873</v>
      </c>
      <c r="B1091" s="858">
        <v>1</v>
      </c>
      <c r="C1091" s="860"/>
      <c r="D1091" s="861"/>
      <c r="E1091" s="861"/>
      <c r="F1091" s="861"/>
      <c r="G1091" s="862"/>
      <c r="H1091" s="652"/>
      <c r="I1091" s="652"/>
      <c r="J1091" s="652"/>
      <c r="K1091" s="652"/>
      <c r="L1091" s="652"/>
      <c r="M1091" s="652"/>
    </row>
    <row r="1092" spans="1:13" ht="15.75" thickBot="1">
      <c r="A1092" s="859" t="s">
        <v>283</v>
      </c>
      <c r="B1092" s="676">
        <f>ROUNDUP(SUM(B1090:B1091),2)</f>
        <v>2</v>
      </c>
      <c r="C1092" s="2222"/>
      <c r="D1092" s="2223"/>
      <c r="E1092" s="2223"/>
      <c r="F1092" s="2223"/>
      <c r="G1092" s="2224"/>
      <c r="H1092" s="652"/>
      <c r="I1092" s="652"/>
      <c r="J1092" s="652"/>
      <c r="K1092" s="652"/>
      <c r="L1092" s="652"/>
      <c r="M1092" s="652"/>
    </row>
    <row r="1093" spans="1:13" ht="15.75" thickBot="1">
      <c r="A1093" s="653"/>
      <c r="B1093" s="654"/>
      <c r="C1093" s="654"/>
      <c r="D1093" s="654"/>
      <c r="E1093" s="654"/>
      <c r="F1093" s="654"/>
      <c r="G1093" s="655"/>
      <c r="H1093" s="652"/>
      <c r="I1093" s="652"/>
      <c r="J1093" s="652"/>
      <c r="K1093" s="652"/>
      <c r="L1093" s="652"/>
      <c r="M1093" s="652"/>
    </row>
    <row r="1094" spans="1:13" ht="15.75" thickBot="1">
      <c r="A1094" s="666" t="s">
        <v>874</v>
      </c>
      <c r="B1094" s="2163" t="s">
        <v>875</v>
      </c>
      <c r="C1094" s="2164"/>
      <c r="D1094" s="2164"/>
      <c r="E1094" s="2164"/>
      <c r="F1094" s="2164"/>
      <c r="G1094" s="2165"/>
      <c r="H1094" s="652"/>
      <c r="I1094" s="652"/>
      <c r="J1094" s="652"/>
      <c r="K1094" s="652"/>
      <c r="L1094" s="652"/>
      <c r="M1094" s="652"/>
    </row>
    <row r="1095" spans="1:13">
      <c r="A1095" s="2182" t="s">
        <v>279</v>
      </c>
      <c r="B1095" s="2183"/>
      <c r="C1095" s="2183"/>
      <c r="D1095" s="2183"/>
      <c r="E1095" s="2183"/>
      <c r="F1095" s="2183"/>
      <c r="G1095" s="2184"/>
      <c r="H1095" s="652"/>
      <c r="I1095" s="652"/>
      <c r="J1095" s="652"/>
      <c r="K1095" s="652"/>
      <c r="L1095" s="652"/>
      <c r="M1095" s="652"/>
    </row>
    <row r="1096" spans="1:13">
      <c r="A1096" s="2169" t="s">
        <v>868</v>
      </c>
      <c r="B1096" s="2170"/>
      <c r="C1096" s="2170"/>
      <c r="D1096" s="2170"/>
      <c r="E1096" s="2170"/>
      <c r="F1096" s="2170"/>
      <c r="G1096" s="2171"/>
      <c r="H1096" s="652"/>
      <c r="I1096" s="652"/>
      <c r="J1096" s="652"/>
      <c r="K1096" s="652"/>
      <c r="L1096" s="652"/>
      <c r="M1096" s="652"/>
    </row>
    <row r="1097" spans="1:13">
      <c r="A1097" s="855" t="s">
        <v>869</v>
      </c>
      <c r="B1097" s="856" t="s">
        <v>870</v>
      </c>
      <c r="C1097" s="2250"/>
      <c r="D1097" s="2251"/>
      <c r="E1097" s="2251"/>
      <c r="F1097" s="2251"/>
      <c r="G1097" s="2252"/>
      <c r="H1097" s="652"/>
      <c r="I1097" s="652"/>
      <c r="J1097" s="652"/>
      <c r="K1097" s="652"/>
      <c r="L1097" s="652"/>
      <c r="M1097" s="652"/>
    </row>
    <row r="1098" spans="1:13">
      <c r="A1098" s="857" t="s">
        <v>876</v>
      </c>
      <c r="B1098" s="858">
        <v>1</v>
      </c>
      <c r="C1098" s="2219"/>
      <c r="D1098" s="2220"/>
      <c r="E1098" s="2220"/>
      <c r="F1098" s="2220"/>
      <c r="G1098" s="2221"/>
      <c r="H1098" s="652"/>
      <c r="I1098" s="652"/>
      <c r="J1098" s="652"/>
      <c r="K1098" s="652"/>
      <c r="L1098" s="652"/>
      <c r="M1098" s="652"/>
    </row>
    <row r="1099" spans="1:13">
      <c r="A1099" s="857" t="s">
        <v>877</v>
      </c>
      <c r="B1099" s="858">
        <v>1</v>
      </c>
      <c r="C1099" s="2199"/>
      <c r="D1099" s="2243"/>
      <c r="E1099" s="2243"/>
      <c r="F1099" s="2243"/>
      <c r="G1099" s="2200"/>
      <c r="H1099" s="652"/>
      <c r="I1099" s="652"/>
      <c r="J1099" s="652"/>
      <c r="K1099" s="652"/>
      <c r="L1099" s="652"/>
      <c r="M1099" s="652"/>
    </row>
    <row r="1100" spans="1:13" ht="24">
      <c r="A1100" s="925" t="s">
        <v>878</v>
      </c>
      <c r="B1100" s="858">
        <v>1</v>
      </c>
      <c r="C1100" s="2199"/>
      <c r="D1100" s="2243"/>
      <c r="E1100" s="2243"/>
      <c r="F1100" s="2243"/>
      <c r="G1100" s="2200"/>
      <c r="H1100" s="652"/>
      <c r="I1100" s="652"/>
      <c r="J1100" s="652"/>
      <c r="K1100" s="652"/>
      <c r="L1100" s="652"/>
      <c r="M1100" s="652"/>
    </row>
    <row r="1101" spans="1:13" ht="24">
      <c r="A1101" s="925" t="s">
        <v>879</v>
      </c>
      <c r="B1101" s="858">
        <v>1</v>
      </c>
      <c r="C1101" s="2199"/>
      <c r="D1101" s="2243"/>
      <c r="E1101" s="2243"/>
      <c r="F1101" s="2243"/>
      <c r="G1101" s="2200"/>
      <c r="H1101" s="652"/>
      <c r="I1101" s="652"/>
      <c r="J1101" s="652"/>
      <c r="K1101" s="652"/>
      <c r="L1101" s="652"/>
      <c r="M1101" s="652"/>
    </row>
    <row r="1102" spans="1:13" ht="15.75" thickBot="1">
      <c r="A1102" s="859" t="s">
        <v>283</v>
      </c>
      <c r="B1102" s="676">
        <f>ROUNDUP(SUM(B1098:B1101),2)</f>
        <v>4</v>
      </c>
      <c r="C1102" s="2222"/>
      <c r="D1102" s="2223"/>
      <c r="E1102" s="2223"/>
      <c r="F1102" s="2223"/>
      <c r="G1102" s="2224"/>
      <c r="H1102" s="652"/>
      <c r="I1102" s="652"/>
      <c r="J1102" s="652"/>
      <c r="K1102" s="652"/>
      <c r="L1102" s="652"/>
      <c r="M1102" s="652"/>
    </row>
    <row r="1103" spans="1:13" ht="15.75" thickBot="1">
      <c r="A1103" s="653"/>
      <c r="B1103" s="654"/>
      <c r="C1103" s="654"/>
      <c r="D1103" s="654"/>
      <c r="E1103" s="654"/>
      <c r="F1103" s="654"/>
      <c r="G1103" s="655"/>
      <c r="H1103" s="652"/>
      <c r="I1103" s="652"/>
      <c r="J1103" s="652"/>
      <c r="K1103" s="652"/>
      <c r="L1103" s="652"/>
      <c r="M1103" s="652"/>
    </row>
    <row r="1104" spans="1:13" ht="15.75" thickBot="1">
      <c r="A1104" s="666" t="s">
        <v>880</v>
      </c>
      <c r="B1104" s="2163" t="s">
        <v>881</v>
      </c>
      <c r="C1104" s="2164"/>
      <c r="D1104" s="2164"/>
      <c r="E1104" s="2164"/>
      <c r="F1104" s="2164"/>
      <c r="G1104" s="2165"/>
      <c r="H1104" s="652"/>
      <c r="I1104" s="652"/>
      <c r="J1104" s="652"/>
      <c r="K1104" s="652"/>
      <c r="L1104" s="652"/>
      <c r="M1104" s="652"/>
    </row>
    <row r="1105" spans="1:13">
      <c r="A1105" s="2182" t="s">
        <v>279</v>
      </c>
      <c r="B1105" s="2183"/>
      <c r="C1105" s="2183"/>
      <c r="D1105" s="2183"/>
      <c r="E1105" s="2183"/>
      <c r="F1105" s="2183"/>
      <c r="G1105" s="2184"/>
      <c r="H1105" s="652"/>
      <c r="I1105" s="652"/>
      <c r="J1105" s="652"/>
      <c r="K1105" s="652"/>
      <c r="L1105" s="652"/>
      <c r="M1105" s="652"/>
    </row>
    <row r="1106" spans="1:13">
      <c r="A1106" s="2169" t="s">
        <v>868</v>
      </c>
      <c r="B1106" s="2170"/>
      <c r="C1106" s="2170"/>
      <c r="D1106" s="2170"/>
      <c r="E1106" s="2170"/>
      <c r="F1106" s="2170"/>
      <c r="G1106" s="2171"/>
      <c r="H1106" s="652"/>
      <c r="I1106" s="652"/>
      <c r="J1106" s="652"/>
      <c r="K1106" s="652"/>
      <c r="L1106" s="652"/>
      <c r="M1106" s="652"/>
    </row>
    <row r="1107" spans="1:13">
      <c r="A1107" s="855" t="s">
        <v>869</v>
      </c>
      <c r="B1107" s="856" t="s">
        <v>870</v>
      </c>
      <c r="C1107" s="2250"/>
      <c r="D1107" s="2251"/>
      <c r="E1107" s="2251"/>
      <c r="F1107" s="2251"/>
      <c r="G1107" s="2252"/>
      <c r="H1107" s="652"/>
      <c r="I1107" s="652"/>
      <c r="J1107" s="652"/>
      <c r="K1107" s="652"/>
      <c r="L1107" s="652"/>
      <c r="M1107" s="652"/>
    </row>
    <row r="1108" spans="1:13">
      <c r="A1108" s="857" t="s">
        <v>789</v>
      </c>
      <c r="B1108" s="858">
        <v>2</v>
      </c>
      <c r="C1108" s="2199"/>
      <c r="D1108" s="2243"/>
      <c r="E1108" s="2243"/>
      <c r="F1108" s="2243"/>
      <c r="G1108" s="2200"/>
      <c r="H1108" s="652"/>
      <c r="I1108" s="652"/>
      <c r="J1108" s="652"/>
      <c r="K1108" s="652"/>
      <c r="L1108" s="652"/>
      <c r="M1108" s="652"/>
    </row>
    <row r="1109" spans="1:13">
      <c r="A1109" s="857" t="s">
        <v>787</v>
      </c>
      <c r="B1109" s="858">
        <v>2</v>
      </c>
      <c r="C1109" s="2199"/>
      <c r="D1109" s="2243"/>
      <c r="E1109" s="2243"/>
      <c r="F1109" s="2243"/>
      <c r="G1109" s="2200"/>
      <c r="H1109" s="652"/>
      <c r="I1109" s="652"/>
      <c r="J1109" s="652"/>
      <c r="K1109" s="652"/>
      <c r="L1109" s="652"/>
      <c r="M1109" s="652"/>
    </row>
    <row r="1110" spans="1:13" ht="15.75" thickBot="1">
      <c r="A1110" s="859" t="s">
        <v>283</v>
      </c>
      <c r="B1110" s="676">
        <f>ROUNDUP(SUM(B1108:B1109),2)</f>
        <v>4</v>
      </c>
      <c r="C1110" s="2222"/>
      <c r="D1110" s="2223"/>
      <c r="E1110" s="2223"/>
      <c r="F1110" s="2223"/>
      <c r="G1110" s="2224"/>
      <c r="H1110" s="652"/>
      <c r="I1110" s="652"/>
      <c r="J1110" s="652"/>
      <c r="K1110" s="652"/>
      <c r="L1110" s="652"/>
      <c r="M1110" s="652"/>
    </row>
    <row r="1111" spans="1:13" ht="15.75" thickBot="1">
      <c r="A1111" s="842"/>
      <c r="B1111" s="710"/>
      <c r="C1111" s="789"/>
      <c r="D1111" s="789"/>
      <c r="E1111" s="789"/>
      <c r="F1111" s="789"/>
      <c r="G1111" s="843"/>
      <c r="H1111" s="652"/>
      <c r="I1111" s="652"/>
      <c r="J1111" s="652"/>
      <c r="K1111" s="652"/>
      <c r="L1111" s="652"/>
      <c r="M1111" s="652"/>
    </row>
    <row r="1112" spans="1:13" ht="15.75" thickBot="1">
      <c r="A1112" s="666" t="s">
        <v>882</v>
      </c>
      <c r="B1112" s="2163" t="s">
        <v>883</v>
      </c>
      <c r="C1112" s="2164"/>
      <c r="D1112" s="2164"/>
      <c r="E1112" s="2164"/>
      <c r="F1112" s="2164"/>
      <c r="G1112" s="2165"/>
      <c r="H1112" s="652"/>
      <c r="I1112" s="652"/>
      <c r="J1112" s="652"/>
      <c r="K1112" s="652"/>
      <c r="L1112" s="652"/>
      <c r="M1112" s="652"/>
    </row>
    <row r="1113" spans="1:13">
      <c r="A1113" s="2182" t="s">
        <v>279</v>
      </c>
      <c r="B1113" s="2183"/>
      <c r="C1113" s="2183"/>
      <c r="D1113" s="2183"/>
      <c r="E1113" s="2183"/>
      <c r="F1113" s="2183"/>
      <c r="G1113" s="2184"/>
      <c r="H1113" s="652"/>
      <c r="I1113" s="652"/>
      <c r="J1113" s="652"/>
      <c r="K1113" s="652"/>
      <c r="L1113" s="652"/>
      <c r="M1113" s="652"/>
    </row>
    <row r="1114" spans="1:13">
      <c r="A1114" s="2169" t="s">
        <v>868</v>
      </c>
      <c r="B1114" s="2170"/>
      <c r="C1114" s="2170"/>
      <c r="D1114" s="2170"/>
      <c r="E1114" s="2170"/>
      <c r="F1114" s="2170"/>
      <c r="G1114" s="2171"/>
      <c r="H1114" s="652"/>
      <c r="I1114" s="652"/>
      <c r="J1114" s="652"/>
      <c r="K1114" s="652"/>
      <c r="L1114" s="652"/>
      <c r="M1114" s="652"/>
    </row>
    <row r="1115" spans="1:13">
      <c r="A1115" s="855" t="s">
        <v>869</v>
      </c>
      <c r="B1115" s="856" t="s">
        <v>870</v>
      </c>
      <c r="C1115" s="2250"/>
      <c r="D1115" s="2251"/>
      <c r="E1115" s="2251"/>
      <c r="F1115" s="2251"/>
      <c r="G1115" s="2252"/>
      <c r="H1115" s="652"/>
      <c r="I1115" s="652"/>
      <c r="J1115" s="652"/>
      <c r="K1115" s="652"/>
      <c r="L1115" s="652"/>
      <c r="M1115" s="652"/>
    </row>
    <row r="1116" spans="1:13">
      <c r="A1116" s="857" t="s">
        <v>789</v>
      </c>
      <c r="B1116" s="858">
        <v>2</v>
      </c>
      <c r="C1116" s="863"/>
      <c r="D1116" s="654"/>
      <c r="E1116" s="654"/>
      <c r="F1116" s="654"/>
      <c r="G1116" s="655"/>
      <c r="H1116" s="652"/>
      <c r="I1116" s="652"/>
      <c r="J1116" s="652"/>
      <c r="K1116" s="652"/>
      <c r="L1116" s="652"/>
      <c r="M1116" s="652"/>
    </row>
    <row r="1117" spans="1:13">
      <c r="A1117" s="857" t="s">
        <v>787</v>
      </c>
      <c r="B1117" s="858">
        <v>2</v>
      </c>
      <c r="C1117" s="863"/>
      <c r="D1117" s="654"/>
      <c r="E1117" s="654"/>
      <c r="F1117" s="654"/>
      <c r="G1117" s="655"/>
      <c r="H1117" s="652"/>
      <c r="I1117" s="652"/>
      <c r="J1117" s="652"/>
      <c r="K1117" s="652"/>
      <c r="L1117" s="652"/>
      <c r="M1117" s="652"/>
    </row>
    <row r="1118" spans="1:13" ht="15.75" thickBot="1">
      <c r="A1118" s="859" t="s">
        <v>283</v>
      </c>
      <c r="B1118" s="676">
        <f>SUM(B1116:B1117)</f>
        <v>4</v>
      </c>
      <c r="C1118" s="2222"/>
      <c r="D1118" s="2223"/>
      <c r="E1118" s="2223"/>
      <c r="F1118" s="2223"/>
      <c r="G1118" s="2224"/>
      <c r="H1118" s="652"/>
      <c r="I1118" s="652"/>
      <c r="J1118" s="652"/>
      <c r="K1118" s="652"/>
      <c r="L1118" s="652"/>
      <c r="M1118" s="652"/>
    </row>
    <row r="1119" spans="1:13" ht="15.75" thickBot="1">
      <c r="A1119" s="842"/>
      <c r="B1119" s="710"/>
      <c r="C1119" s="789"/>
      <c r="D1119" s="789"/>
      <c r="E1119" s="789"/>
      <c r="F1119" s="789"/>
      <c r="G1119" s="843"/>
      <c r="H1119" s="652"/>
      <c r="I1119" s="652"/>
      <c r="J1119" s="652"/>
      <c r="K1119" s="652"/>
      <c r="L1119" s="652"/>
      <c r="M1119" s="652"/>
    </row>
    <row r="1120" spans="1:13" ht="15.75" thickBot="1">
      <c r="A1120" s="666" t="s">
        <v>884</v>
      </c>
      <c r="B1120" s="2163" t="s">
        <v>885</v>
      </c>
      <c r="C1120" s="2164"/>
      <c r="D1120" s="2164"/>
      <c r="E1120" s="2164"/>
      <c r="F1120" s="2164"/>
      <c r="G1120" s="2165"/>
      <c r="H1120" s="652"/>
      <c r="I1120" s="652"/>
      <c r="J1120" s="652"/>
      <c r="K1120" s="652"/>
      <c r="L1120" s="652"/>
      <c r="M1120" s="652"/>
    </row>
    <row r="1121" spans="1:13">
      <c r="A1121" s="2182" t="s">
        <v>279</v>
      </c>
      <c r="B1121" s="2183"/>
      <c r="C1121" s="2183"/>
      <c r="D1121" s="2183"/>
      <c r="E1121" s="2183"/>
      <c r="F1121" s="2183"/>
      <c r="G1121" s="2184"/>
      <c r="H1121" s="652"/>
      <c r="I1121" s="652"/>
      <c r="J1121" s="652"/>
      <c r="K1121" s="652"/>
      <c r="L1121" s="652"/>
      <c r="M1121" s="652"/>
    </row>
    <row r="1122" spans="1:13">
      <c r="A1122" s="2169" t="s">
        <v>868</v>
      </c>
      <c r="B1122" s="2170"/>
      <c r="C1122" s="2170"/>
      <c r="D1122" s="2170"/>
      <c r="E1122" s="2170"/>
      <c r="F1122" s="2170"/>
      <c r="G1122" s="2171"/>
      <c r="H1122" s="652"/>
      <c r="I1122" s="652"/>
      <c r="J1122" s="652"/>
      <c r="K1122" s="652"/>
      <c r="L1122" s="652"/>
      <c r="M1122" s="652"/>
    </row>
    <row r="1123" spans="1:13">
      <c r="A1123" s="855" t="s">
        <v>869</v>
      </c>
      <c r="B1123" s="856" t="s">
        <v>870</v>
      </c>
      <c r="C1123" s="2250"/>
      <c r="D1123" s="2251"/>
      <c r="E1123" s="2251"/>
      <c r="F1123" s="2251"/>
      <c r="G1123" s="2252"/>
      <c r="H1123" s="652"/>
      <c r="I1123" s="652"/>
      <c r="J1123" s="652"/>
      <c r="K1123" s="652"/>
      <c r="L1123" s="652"/>
      <c r="M1123" s="652"/>
    </row>
    <row r="1124" spans="1:13">
      <c r="A1124" s="857" t="s">
        <v>876</v>
      </c>
      <c r="B1124" s="858">
        <v>1</v>
      </c>
      <c r="C1124" s="863" t="s">
        <v>886</v>
      </c>
      <c r="D1124" s="654"/>
      <c r="E1124" s="654"/>
      <c r="F1124" s="654"/>
      <c r="G1124" s="655"/>
      <c r="H1124" s="652"/>
      <c r="I1124" s="652"/>
      <c r="J1124" s="652"/>
      <c r="K1124" s="652"/>
      <c r="L1124" s="652"/>
      <c r="M1124" s="652"/>
    </row>
    <row r="1125" spans="1:13">
      <c r="A1125" s="857" t="s">
        <v>887</v>
      </c>
      <c r="B1125" s="858">
        <v>1</v>
      </c>
      <c r="C1125" s="863" t="s">
        <v>886</v>
      </c>
      <c r="D1125" s="654"/>
      <c r="E1125" s="654"/>
      <c r="F1125" s="654"/>
      <c r="G1125" s="655"/>
      <c r="H1125" s="652"/>
      <c r="I1125" s="652"/>
      <c r="J1125" s="652"/>
      <c r="K1125" s="652"/>
      <c r="L1125" s="652"/>
      <c r="M1125" s="652"/>
    </row>
    <row r="1126" spans="1:13" ht="15.75" thickBot="1">
      <c r="A1126" s="859" t="s">
        <v>283</v>
      </c>
      <c r="B1126" s="676">
        <f>ROUNDUP(SUM(B1124:B1125),2)</f>
        <v>2</v>
      </c>
      <c r="C1126" s="2222"/>
      <c r="D1126" s="2223"/>
      <c r="E1126" s="2223"/>
      <c r="F1126" s="2223"/>
      <c r="G1126" s="2224"/>
      <c r="H1126" s="652"/>
      <c r="I1126" s="652"/>
      <c r="J1126" s="652"/>
      <c r="K1126" s="652"/>
      <c r="L1126" s="652"/>
      <c r="M1126" s="652"/>
    </row>
    <row r="1127" spans="1:13" ht="15.75" thickBot="1">
      <c r="A1127" s="842"/>
      <c r="B1127" s="710"/>
      <c r="C1127" s="789"/>
      <c r="D1127" s="789"/>
      <c r="E1127" s="789"/>
      <c r="F1127" s="789"/>
      <c r="G1127" s="843"/>
      <c r="H1127" s="652"/>
      <c r="I1127" s="652"/>
      <c r="J1127" s="652"/>
      <c r="K1127" s="652"/>
      <c r="L1127" s="652"/>
      <c r="M1127" s="652"/>
    </row>
    <row r="1128" spans="1:13" ht="15.75" thickBot="1">
      <c r="A1128" s="666" t="s">
        <v>888</v>
      </c>
      <c r="B1128" s="2163" t="s">
        <v>889</v>
      </c>
      <c r="C1128" s="2164"/>
      <c r="D1128" s="2164"/>
      <c r="E1128" s="2164"/>
      <c r="F1128" s="2164"/>
      <c r="G1128" s="2165"/>
      <c r="H1128" s="652"/>
      <c r="I1128" s="652"/>
      <c r="J1128" s="652"/>
      <c r="K1128" s="652"/>
      <c r="L1128" s="652"/>
      <c r="M1128" s="652"/>
    </row>
    <row r="1129" spans="1:13">
      <c r="A1129" s="2182" t="s">
        <v>279</v>
      </c>
      <c r="B1129" s="2183"/>
      <c r="C1129" s="2183"/>
      <c r="D1129" s="2183"/>
      <c r="E1129" s="2183"/>
      <c r="F1129" s="2183"/>
      <c r="G1129" s="2184"/>
      <c r="H1129" s="652"/>
      <c r="I1129" s="652"/>
      <c r="J1129" s="652"/>
      <c r="K1129" s="652"/>
      <c r="L1129" s="652"/>
      <c r="M1129" s="652"/>
    </row>
    <row r="1130" spans="1:13">
      <c r="A1130" s="2169" t="s">
        <v>868</v>
      </c>
      <c r="B1130" s="2170"/>
      <c r="C1130" s="2170"/>
      <c r="D1130" s="2170"/>
      <c r="E1130" s="2170"/>
      <c r="F1130" s="2170"/>
      <c r="G1130" s="2171"/>
      <c r="H1130" s="652"/>
      <c r="I1130" s="652"/>
      <c r="J1130" s="652"/>
      <c r="K1130" s="652"/>
      <c r="L1130" s="652"/>
      <c r="M1130" s="652"/>
    </row>
    <row r="1131" spans="1:13">
      <c r="A1131" s="855" t="s">
        <v>869</v>
      </c>
      <c r="B1131" s="856" t="s">
        <v>870</v>
      </c>
      <c r="C1131" s="2250"/>
      <c r="D1131" s="2251"/>
      <c r="E1131" s="2251"/>
      <c r="F1131" s="2251"/>
      <c r="G1131" s="2252"/>
      <c r="H1131" s="652"/>
      <c r="I1131" s="652"/>
      <c r="J1131" s="652"/>
      <c r="K1131" s="652"/>
      <c r="L1131" s="652"/>
      <c r="M1131" s="652"/>
    </row>
    <row r="1132" spans="1:13">
      <c r="A1132" s="857" t="s">
        <v>785</v>
      </c>
      <c r="B1132" s="858">
        <v>1</v>
      </c>
      <c r="C1132" s="2199"/>
      <c r="D1132" s="2243"/>
      <c r="E1132" s="2243"/>
      <c r="F1132" s="2243"/>
      <c r="G1132" s="2200"/>
      <c r="H1132" s="652"/>
      <c r="I1132" s="652"/>
      <c r="J1132" s="652"/>
      <c r="K1132" s="652"/>
      <c r="L1132" s="652"/>
      <c r="M1132" s="652"/>
    </row>
    <row r="1133" spans="1:13" ht="15.75" thickBot="1">
      <c r="A1133" s="859" t="s">
        <v>283</v>
      </c>
      <c r="B1133" s="676">
        <f>ROUNDUP(SUM(B1132:B1132),2)</f>
        <v>1</v>
      </c>
      <c r="C1133" s="2222"/>
      <c r="D1133" s="2223"/>
      <c r="E1133" s="2223"/>
      <c r="F1133" s="2223"/>
      <c r="G1133" s="2224"/>
      <c r="H1133" s="652"/>
      <c r="I1133" s="652"/>
      <c r="J1133" s="652"/>
      <c r="K1133" s="652"/>
      <c r="L1133" s="652"/>
      <c r="M1133" s="652"/>
    </row>
    <row r="1134" spans="1:13" ht="15.75" thickBot="1">
      <c r="A1134" s="842"/>
      <c r="B1134" s="710"/>
      <c r="C1134" s="789"/>
      <c r="D1134" s="789"/>
      <c r="E1134" s="789"/>
      <c r="F1134" s="789"/>
      <c r="G1134" s="843"/>
      <c r="H1134" s="652"/>
      <c r="I1134" s="652"/>
      <c r="J1134" s="652"/>
      <c r="K1134" s="652"/>
      <c r="L1134" s="652"/>
      <c r="M1134" s="652"/>
    </row>
    <row r="1135" spans="1:13" ht="15.75" thickBot="1">
      <c r="A1135" s="666" t="s">
        <v>890</v>
      </c>
      <c r="B1135" s="2163" t="s">
        <v>891</v>
      </c>
      <c r="C1135" s="2164"/>
      <c r="D1135" s="2164"/>
      <c r="E1135" s="2164"/>
      <c r="F1135" s="2164"/>
      <c r="G1135" s="2165"/>
      <c r="H1135" s="652"/>
      <c r="I1135" s="652"/>
      <c r="J1135" s="652"/>
      <c r="K1135" s="652"/>
      <c r="L1135" s="652"/>
      <c r="M1135" s="652"/>
    </row>
    <row r="1136" spans="1:13" ht="15.75" thickBot="1">
      <c r="A1136" s="666" t="s">
        <v>892</v>
      </c>
      <c r="B1136" s="2163" t="s">
        <v>893</v>
      </c>
      <c r="C1136" s="2164"/>
      <c r="D1136" s="2164"/>
      <c r="E1136" s="2164"/>
      <c r="F1136" s="2164"/>
      <c r="G1136" s="2165"/>
      <c r="H1136" s="652"/>
      <c r="I1136" s="652"/>
      <c r="J1136" s="652"/>
      <c r="K1136" s="652"/>
      <c r="L1136" s="652"/>
      <c r="M1136" s="652"/>
    </row>
    <row r="1137" spans="1:13">
      <c r="A1137" s="2182" t="s">
        <v>279</v>
      </c>
      <c r="B1137" s="2183"/>
      <c r="C1137" s="2183"/>
      <c r="D1137" s="2183"/>
      <c r="E1137" s="2183"/>
      <c r="F1137" s="2183"/>
      <c r="G1137" s="2184"/>
      <c r="H1137" s="652"/>
      <c r="I1137" s="652"/>
      <c r="J1137" s="652"/>
      <c r="K1137" s="652"/>
      <c r="L1137" s="652"/>
      <c r="M1137" s="652"/>
    </row>
    <row r="1138" spans="1:13">
      <c r="A1138" s="2169" t="s">
        <v>868</v>
      </c>
      <c r="B1138" s="2170"/>
      <c r="C1138" s="2170"/>
      <c r="D1138" s="2170"/>
      <c r="E1138" s="2170"/>
      <c r="F1138" s="2170"/>
      <c r="G1138" s="2171"/>
      <c r="H1138" s="652"/>
      <c r="I1138" s="652"/>
      <c r="J1138" s="652"/>
      <c r="K1138" s="652"/>
      <c r="L1138" s="652"/>
      <c r="M1138" s="652"/>
    </row>
    <row r="1139" spans="1:13">
      <c r="A1139" s="855" t="s">
        <v>353</v>
      </c>
      <c r="B1139" s="856" t="s">
        <v>894</v>
      </c>
      <c r="C1139" s="2188"/>
      <c r="D1139" s="2189"/>
      <c r="E1139" s="2189"/>
      <c r="F1139" s="864"/>
      <c r="G1139" s="865"/>
      <c r="H1139" s="652"/>
      <c r="I1139" s="652"/>
      <c r="J1139" s="652"/>
      <c r="K1139" s="652"/>
      <c r="L1139" s="652"/>
      <c r="M1139" s="652"/>
    </row>
    <row r="1140" spans="1:13">
      <c r="A1140" s="857" t="s">
        <v>895</v>
      </c>
      <c r="B1140" s="858">
        <v>2</v>
      </c>
      <c r="C1140" s="2219"/>
      <c r="D1140" s="2220"/>
      <c r="E1140" s="2220"/>
      <c r="F1140" s="2220"/>
      <c r="G1140" s="2221"/>
      <c r="H1140" s="652"/>
      <c r="I1140" s="652"/>
      <c r="J1140" s="652"/>
      <c r="K1140" s="652"/>
      <c r="L1140" s="652"/>
      <c r="M1140" s="652"/>
    </row>
    <row r="1141" spans="1:13">
      <c r="A1141" s="857" t="s">
        <v>896</v>
      </c>
      <c r="B1141" s="858">
        <v>2</v>
      </c>
      <c r="C1141" s="2199"/>
      <c r="D1141" s="2243"/>
      <c r="E1141" s="2243"/>
      <c r="F1141" s="2243"/>
      <c r="G1141" s="2200"/>
      <c r="H1141" s="652"/>
      <c r="I1141" s="652"/>
      <c r="J1141" s="652"/>
      <c r="K1141" s="652"/>
      <c r="L1141" s="652"/>
      <c r="M1141" s="652"/>
    </row>
    <row r="1142" spans="1:13" ht="15.75" thickBot="1">
      <c r="A1142" s="859" t="s">
        <v>897</v>
      </c>
      <c r="B1142" s="676">
        <f>ROUNDUP(B1140+B1141,2)</f>
        <v>4</v>
      </c>
      <c r="C1142" s="2244"/>
      <c r="D1142" s="2245"/>
      <c r="E1142" s="2245"/>
      <c r="F1142" s="2245"/>
      <c r="G1142" s="2246"/>
      <c r="H1142" s="652"/>
      <c r="I1142" s="652"/>
      <c r="J1142" s="652"/>
      <c r="K1142" s="652"/>
      <c r="L1142" s="652"/>
      <c r="M1142" s="652"/>
    </row>
    <row r="1143" spans="1:13" ht="15.75" thickBot="1">
      <c r="A1143" s="653"/>
      <c r="B1143" s="654"/>
      <c r="C1143" s="654"/>
      <c r="D1143" s="654"/>
      <c r="E1143" s="654"/>
      <c r="F1143" s="654"/>
      <c r="G1143" s="655"/>
      <c r="H1143" s="652"/>
      <c r="I1143" s="652"/>
      <c r="J1143" s="652"/>
      <c r="K1143" s="652"/>
      <c r="L1143" s="652"/>
      <c r="M1143" s="652"/>
    </row>
    <row r="1144" spans="1:13" ht="15.75" thickBot="1">
      <c r="A1144" s="666" t="s">
        <v>898</v>
      </c>
      <c r="B1144" s="2163" t="s">
        <v>899</v>
      </c>
      <c r="C1144" s="2164"/>
      <c r="D1144" s="2164"/>
      <c r="E1144" s="2164"/>
      <c r="F1144" s="2164"/>
      <c r="G1144" s="2165"/>
      <c r="H1144" s="652"/>
      <c r="I1144" s="652"/>
      <c r="J1144" s="652"/>
      <c r="K1144" s="652"/>
      <c r="L1144" s="652"/>
      <c r="M1144" s="652"/>
    </row>
    <row r="1145" spans="1:13">
      <c r="A1145" s="2182" t="s">
        <v>279</v>
      </c>
      <c r="B1145" s="2183"/>
      <c r="C1145" s="2183"/>
      <c r="D1145" s="2183"/>
      <c r="E1145" s="2183"/>
      <c r="F1145" s="2183"/>
      <c r="G1145" s="2184"/>
      <c r="H1145" s="652"/>
      <c r="I1145" s="652"/>
      <c r="J1145" s="652"/>
      <c r="K1145" s="652"/>
      <c r="L1145" s="652"/>
      <c r="M1145" s="652"/>
    </row>
    <row r="1146" spans="1:13">
      <c r="A1146" s="2169" t="s">
        <v>868</v>
      </c>
      <c r="B1146" s="2170"/>
      <c r="C1146" s="2170"/>
      <c r="D1146" s="2170"/>
      <c r="E1146" s="2170"/>
      <c r="F1146" s="2170"/>
      <c r="G1146" s="2171"/>
      <c r="H1146" s="652"/>
      <c r="I1146" s="652"/>
      <c r="J1146" s="652"/>
      <c r="K1146" s="652"/>
      <c r="L1146" s="652"/>
      <c r="M1146" s="652"/>
    </row>
    <row r="1147" spans="1:13">
      <c r="A1147" s="855" t="s">
        <v>353</v>
      </c>
      <c r="B1147" s="866" t="s">
        <v>900</v>
      </c>
      <c r="C1147" s="2188"/>
      <c r="D1147" s="2189"/>
      <c r="E1147" s="2189"/>
      <c r="F1147" s="2189"/>
      <c r="G1147" s="865"/>
      <c r="H1147" s="652"/>
      <c r="I1147" s="652"/>
      <c r="J1147" s="652"/>
      <c r="K1147" s="652"/>
      <c r="L1147" s="652"/>
      <c r="M1147" s="652"/>
    </row>
    <row r="1148" spans="1:13">
      <c r="A1148" s="857" t="s">
        <v>895</v>
      </c>
      <c r="B1148" s="867">
        <v>1</v>
      </c>
      <c r="C1148" s="2219"/>
      <c r="D1148" s="2220"/>
      <c r="E1148" s="2220"/>
      <c r="F1148" s="2220"/>
      <c r="G1148" s="2221"/>
      <c r="H1148" s="652"/>
      <c r="I1148" s="652"/>
      <c r="J1148" s="652"/>
      <c r="K1148" s="652"/>
      <c r="L1148" s="652"/>
      <c r="M1148" s="652"/>
    </row>
    <row r="1149" spans="1:13">
      <c r="A1149" s="857" t="s">
        <v>901</v>
      </c>
      <c r="B1149" s="867">
        <v>1</v>
      </c>
      <c r="C1149" s="2199"/>
      <c r="D1149" s="2243"/>
      <c r="E1149" s="2243"/>
      <c r="F1149" s="2243"/>
      <c r="G1149" s="2200"/>
      <c r="H1149" s="652"/>
      <c r="I1149" s="652"/>
      <c r="J1149" s="652"/>
      <c r="K1149" s="652"/>
      <c r="L1149" s="652"/>
      <c r="M1149" s="652"/>
    </row>
    <row r="1150" spans="1:13" ht="15.75" thickBot="1">
      <c r="A1150" s="859" t="s">
        <v>897</v>
      </c>
      <c r="B1150" s="676">
        <f>ROUNDUP(B1148+B1149,2)</f>
        <v>2</v>
      </c>
      <c r="C1150" s="2244"/>
      <c r="D1150" s="2245"/>
      <c r="E1150" s="2245"/>
      <c r="F1150" s="2245"/>
      <c r="G1150" s="2246"/>
      <c r="H1150" s="652"/>
      <c r="I1150" s="652"/>
      <c r="J1150" s="652"/>
      <c r="K1150" s="652"/>
      <c r="L1150" s="652"/>
      <c r="M1150" s="652"/>
    </row>
    <row r="1151" spans="1:13" ht="15.75" thickBot="1">
      <c r="A1151" s="653"/>
      <c r="B1151" s="654"/>
      <c r="C1151" s="654"/>
      <c r="D1151" s="654"/>
      <c r="E1151" s="654"/>
      <c r="F1151" s="654"/>
      <c r="G1151" s="655"/>
      <c r="H1151" s="652"/>
      <c r="I1151" s="652"/>
      <c r="J1151" s="652"/>
      <c r="K1151" s="652"/>
      <c r="L1151" s="652"/>
      <c r="M1151" s="652"/>
    </row>
    <row r="1152" spans="1:13" ht="15.75" thickBot="1">
      <c r="A1152" s="666" t="s">
        <v>902</v>
      </c>
      <c r="B1152" s="2163" t="s">
        <v>903</v>
      </c>
      <c r="C1152" s="2164"/>
      <c r="D1152" s="2164"/>
      <c r="E1152" s="2164"/>
      <c r="F1152" s="2164"/>
      <c r="G1152" s="2165"/>
      <c r="H1152" s="652"/>
      <c r="I1152" s="652"/>
      <c r="J1152" s="652"/>
      <c r="K1152" s="652"/>
      <c r="L1152" s="652"/>
      <c r="M1152" s="652"/>
    </row>
    <row r="1153" spans="1:13">
      <c r="A1153" s="2182" t="s">
        <v>279</v>
      </c>
      <c r="B1153" s="2183"/>
      <c r="C1153" s="2183"/>
      <c r="D1153" s="2183"/>
      <c r="E1153" s="2183"/>
      <c r="F1153" s="2183"/>
      <c r="G1153" s="2184"/>
      <c r="H1153" s="652"/>
      <c r="I1153" s="652"/>
      <c r="J1153" s="652"/>
      <c r="K1153" s="652"/>
      <c r="L1153" s="652"/>
      <c r="M1153" s="652"/>
    </row>
    <row r="1154" spans="1:13">
      <c r="A1154" s="2169" t="s">
        <v>868</v>
      </c>
      <c r="B1154" s="2170"/>
      <c r="C1154" s="2170"/>
      <c r="D1154" s="2170"/>
      <c r="E1154" s="2170"/>
      <c r="F1154" s="2170"/>
      <c r="G1154" s="2171"/>
      <c r="H1154" s="652"/>
      <c r="I1154" s="652"/>
      <c r="J1154" s="652"/>
      <c r="K1154" s="652"/>
      <c r="L1154" s="652"/>
      <c r="M1154" s="652"/>
    </row>
    <row r="1155" spans="1:13">
      <c r="A1155" s="855" t="s">
        <v>353</v>
      </c>
      <c r="B1155" s="856" t="s">
        <v>904</v>
      </c>
      <c r="C1155" s="2188"/>
      <c r="D1155" s="2189"/>
      <c r="E1155" s="2189"/>
      <c r="F1155" s="2189"/>
      <c r="G1155" s="2190"/>
      <c r="H1155" s="652"/>
      <c r="I1155" s="652"/>
      <c r="J1155" s="652"/>
      <c r="K1155" s="652"/>
      <c r="L1155" s="652"/>
      <c r="M1155" s="652"/>
    </row>
    <row r="1156" spans="1:13">
      <c r="A1156" s="857" t="s">
        <v>895</v>
      </c>
      <c r="B1156" s="858">
        <v>1</v>
      </c>
      <c r="C1156" s="2219"/>
      <c r="D1156" s="2220"/>
      <c r="E1156" s="2220"/>
      <c r="F1156" s="2220"/>
      <c r="G1156" s="2221"/>
      <c r="H1156" s="652"/>
      <c r="I1156" s="652"/>
      <c r="J1156" s="652"/>
      <c r="K1156" s="652"/>
      <c r="L1156" s="652"/>
      <c r="M1156" s="652"/>
    </row>
    <row r="1157" spans="1:13">
      <c r="A1157" s="857" t="s">
        <v>901</v>
      </c>
      <c r="B1157" s="858">
        <v>1</v>
      </c>
      <c r="C1157" s="2199"/>
      <c r="D1157" s="2243"/>
      <c r="E1157" s="2243"/>
      <c r="F1157" s="2243"/>
      <c r="G1157" s="2200"/>
      <c r="H1157" s="652"/>
      <c r="I1157" s="652"/>
      <c r="J1157" s="652"/>
      <c r="K1157" s="652"/>
      <c r="L1157" s="652"/>
      <c r="M1157" s="652"/>
    </row>
    <row r="1158" spans="1:13" ht="15.75" thickBot="1">
      <c r="A1158" s="859" t="s">
        <v>897</v>
      </c>
      <c r="B1158" s="676">
        <f>ROUNDUP(B1156+B1157,2)</f>
        <v>2</v>
      </c>
      <c r="C1158" s="2244"/>
      <c r="D1158" s="2245"/>
      <c r="E1158" s="2245"/>
      <c r="F1158" s="2245"/>
      <c r="G1158" s="2246"/>
      <c r="H1158" s="652"/>
      <c r="I1158" s="652"/>
      <c r="J1158" s="652"/>
      <c r="K1158" s="652"/>
      <c r="L1158" s="652"/>
      <c r="M1158" s="652"/>
    </row>
    <row r="1159" spans="1:13" ht="15.75" thickBot="1">
      <c r="A1159" s="653"/>
      <c r="B1159" s="654"/>
      <c r="C1159" s="654"/>
      <c r="D1159" s="654"/>
      <c r="E1159" s="654"/>
      <c r="F1159" s="654"/>
      <c r="G1159" s="655"/>
      <c r="H1159" s="652"/>
      <c r="I1159" s="652"/>
      <c r="J1159" s="652"/>
      <c r="K1159" s="652"/>
      <c r="L1159" s="652"/>
      <c r="M1159" s="652"/>
    </row>
    <row r="1160" spans="1:13" ht="15.75" thickBot="1">
      <c r="A1160" s="666" t="s">
        <v>905</v>
      </c>
      <c r="B1160" s="2163" t="s">
        <v>906</v>
      </c>
      <c r="C1160" s="2164"/>
      <c r="D1160" s="2164"/>
      <c r="E1160" s="2164"/>
      <c r="F1160" s="2164"/>
      <c r="G1160" s="2165"/>
      <c r="H1160" s="652"/>
      <c r="I1160" s="652"/>
      <c r="J1160" s="652"/>
      <c r="K1160" s="652"/>
      <c r="L1160" s="652"/>
      <c r="M1160" s="652"/>
    </row>
    <row r="1161" spans="1:13">
      <c r="A1161" s="2249" t="s">
        <v>279</v>
      </c>
      <c r="B1161" s="2183"/>
      <c r="C1161" s="2183"/>
      <c r="D1161" s="2183"/>
      <c r="E1161" s="2183"/>
      <c r="F1161" s="2183"/>
      <c r="G1161" s="2184"/>
      <c r="H1161" s="652"/>
      <c r="I1161" s="652"/>
      <c r="J1161" s="652"/>
      <c r="K1161" s="652"/>
      <c r="L1161" s="652"/>
      <c r="M1161" s="652"/>
    </row>
    <row r="1162" spans="1:13">
      <c r="A1162" s="2247" t="s">
        <v>868</v>
      </c>
      <c r="B1162" s="2170"/>
      <c r="C1162" s="2170"/>
      <c r="D1162" s="2170"/>
      <c r="E1162" s="2170"/>
      <c r="F1162" s="2170"/>
      <c r="G1162" s="2171"/>
      <c r="H1162" s="652"/>
      <c r="I1162" s="652"/>
      <c r="J1162" s="652"/>
      <c r="K1162" s="652"/>
      <c r="L1162" s="652"/>
      <c r="M1162" s="652"/>
    </row>
    <row r="1163" spans="1:13">
      <c r="A1163" s="921" t="s">
        <v>353</v>
      </c>
      <c r="B1163" s="674" t="s">
        <v>252</v>
      </c>
      <c r="C1163" s="2188"/>
      <c r="D1163" s="2189"/>
      <c r="E1163" s="2189"/>
      <c r="F1163" s="2189"/>
      <c r="G1163" s="865"/>
      <c r="H1163" s="652"/>
      <c r="I1163" s="652"/>
      <c r="J1163" s="652"/>
      <c r="K1163" s="652"/>
      <c r="L1163" s="652"/>
      <c r="M1163" s="652"/>
    </row>
    <row r="1164" spans="1:13">
      <c r="A1164" s="922" t="s">
        <v>901</v>
      </c>
      <c r="B1164" s="867">
        <v>1</v>
      </c>
      <c r="C1164" s="654"/>
      <c r="D1164" s="654"/>
      <c r="E1164" s="868"/>
      <c r="F1164" s="868"/>
      <c r="G1164" s="869"/>
      <c r="H1164" s="652"/>
      <c r="I1164" s="652"/>
      <c r="J1164" s="652"/>
      <c r="K1164" s="652"/>
      <c r="L1164" s="652"/>
      <c r="M1164" s="652"/>
    </row>
    <row r="1165" spans="1:13">
      <c r="A1165" s="922" t="s">
        <v>907</v>
      </c>
      <c r="B1165" s="867">
        <v>1</v>
      </c>
      <c r="C1165" s="654"/>
      <c r="D1165" s="654"/>
      <c r="E1165" s="654"/>
      <c r="F1165" s="654"/>
      <c r="G1165" s="655"/>
      <c r="H1165" s="652"/>
      <c r="I1165" s="652"/>
      <c r="J1165" s="652"/>
      <c r="K1165" s="652"/>
      <c r="L1165" s="652"/>
      <c r="M1165" s="652"/>
    </row>
    <row r="1166" spans="1:13">
      <c r="A1166" s="922" t="s">
        <v>908</v>
      </c>
      <c r="B1166" s="870">
        <v>1</v>
      </c>
      <c r="C1166" s="654"/>
      <c r="D1166" s="654"/>
      <c r="E1166" s="654" t="s">
        <v>909</v>
      </c>
      <c r="F1166" s="654"/>
      <c r="G1166" s="655"/>
      <c r="H1166" s="652"/>
      <c r="I1166" s="652"/>
      <c r="J1166" s="652"/>
      <c r="K1166" s="652"/>
      <c r="L1166" s="652"/>
      <c r="M1166" s="652"/>
    </row>
    <row r="1167" spans="1:13">
      <c r="A1167" s="922" t="s">
        <v>910</v>
      </c>
      <c r="B1167" s="870">
        <v>1</v>
      </c>
      <c r="C1167" s="654"/>
      <c r="D1167" s="654"/>
      <c r="E1167" s="654"/>
      <c r="F1167" s="654"/>
      <c r="G1167" s="655"/>
      <c r="H1167" s="652"/>
      <c r="I1167" s="652"/>
      <c r="J1167" s="652"/>
      <c r="K1167" s="652"/>
      <c r="L1167" s="652"/>
      <c r="M1167" s="652"/>
    </row>
    <row r="1168" spans="1:13">
      <c r="A1168" s="871"/>
      <c r="B1168" s="870"/>
      <c r="C1168" s="654"/>
      <c r="D1168" s="654"/>
      <c r="E1168" s="654"/>
      <c r="F1168" s="654"/>
      <c r="G1168" s="655"/>
      <c r="H1168" s="652"/>
      <c r="I1168" s="652"/>
      <c r="J1168" s="652"/>
      <c r="K1168" s="652"/>
      <c r="L1168" s="652"/>
      <c r="M1168" s="652"/>
    </row>
    <row r="1169" spans="1:13">
      <c r="A1169" s="871"/>
      <c r="B1169" s="870"/>
      <c r="C1169" s="654"/>
      <c r="D1169" s="654"/>
      <c r="E1169" s="654"/>
      <c r="F1169" s="654"/>
      <c r="G1169" s="655"/>
      <c r="H1169" s="652"/>
      <c r="I1169" s="652"/>
      <c r="J1169" s="652"/>
      <c r="K1169" s="652"/>
      <c r="L1169" s="652"/>
      <c r="M1169" s="652"/>
    </row>
    <row r="1170" spans="1:13">
      <c r="A1170" s="871"/>
      <c r="B1170" s="870"/>
      <c r="C1170" s="654"/>
      <c r="D1170" s="654"/>
      <c r="E1170" s="654"/>
      <c r="F1170" s="654"/>
      <c r="G1170" s="655"/>
      <c r="H1170" s="652"/>
      <c r="I1170" s="652"/>
      <c r="J1170" s="652"/>
      <c r="K1170" s="652"/>
      <c r="L1170" s="652"/>
      <c r="M1170" s="652"/>
    </row>
    <row r="1171" spans="1:13" ht="15.75" thickBot="1">
      <c r="A1171" s="859" t="s">
        <v>897</v>
      </c>
      <c r="B1171" s="676">
        <f>ROUNDUP(B1164+B1165+B1166+B1167,2)</f>
        <v>4</v>
      </c>
      <c r="C1171" s="2244"/>
      <c r="D1171" s="2248"/>
      <c r="E1171" s="2248"/>
      <c r="F1171" s="2248"/>
      <c r="G1171" s="2246"/>
      <c r="H1171" s="652"/>
      <c r="I1171" s="652"/>
      <c r="J1171" s="652"/>
      <c r="K1171" s="652"/>
      <c r="L1171" s="652"/>
      <c r="M1171" s="652"/>
    </row>
    <row r="1172" spans="1:13" ht="15.75" thickBot="1">
      <c r="A1172" s="653"/>
      <c r="B1172" s="654"/>
      <c r="C1172" s="654"/>
      <c r="D1172" s="654"/>
      <c r="E1172" s="654"/>
      <c r="F1172" s="654"/>
      <c r="G1172" s="655"/>
      <c r="H1172" s="652"/>
      <c r="I1172" s="652"/>
      <c r="J1172" s="652"/>
      <c r="K1172" s="652"/>
      <c r="L1172" s="652"/>
      <c r="M1172" s="652"/>
    </row>
    <row r="1173" spans="1:13" ht="15.75" thickBot="1">
      <c r="A1173" s="666" t="s">
        <v>911</v>
      </c>
      <c r="B1173" s="2163" t="s">
        <v>912</v>
      </c>
      <c r="C1173" s="2164"/>
      <c r="D1173" s="2164"/>
      <c r="E1173" s="2164"/>
      <c r="F1173" s="2164"/>
      <c r="G1173" s="2165"/>
      <c r="H1173" s="652"/>
      <c r="I1173" s="652"/>
      <c r="J1173" s="652"/>
      <c r="K1173" s="652"/>
      <c r="L1173" s="652"/>
      <c r="M1173" s="652"/>
    </row>
    <row r="1174" spans="1:13">
      <c r="A1174" s="2182" t="s">
        <v>279</v>
      </c>
      <c r="B1174" s="2183"/>
      <c r="C1174" s="2183"/>
      <c r="D1174" s="2183"/>
      <c r="E1174" s="2183"/>
      <c r="F1174" s="2183"/>
      <c r="G1174" s="2184"/>
      <c r="H1174" s="652"/>
      <c r="I1174" s="652"/>
      <c r="J1174" s="652"/>
      <c r="K1174" s="652"/>
      <c r="L1174" s="652"/>
      <c r="M1174" s="652"/>
    </row>
    <row r="1175" spans="1:13">
      <c r="A1175" s="2169" t="s">
        <v>868</v>
      </c>
      <c r="B1175" s="2170"/>
      <c r="C1175" s="2170"/>
      <c r="D1175" s="2170"/>
      <c r="E1175" s="2170"/>
      <c r="F1175" s="2170"/>
      <c r="G1175" s="2171"/>
      <c r="H1175" s="652"/>
      <c r="I1175" s="652"/>
      <c r="J1175" s="652"/>
      <c r="K1175" s="652"/>
      <c r="L1175" s="652"/>
      <c r="M1175" s="652"/>
    </row>
    <row r="1176" spans="1:13">
      <c r="A1176" s="855" t="s">
        <v>353</v>
      </c>
      <c r="B1176" s="856" t="s">
        <v>252</v>
      </c>
      <c r="C1176" s="2188"/>
      <c r="D1176" s="2189"/>
      <c r="E1176" s="2189"/>
      <c r="F1176" s="2189"/>
      <c r="G1176" s="865"/>
      <c r="H1176" s="652"/>
      <c r="I1176" s="652"/>
      <c r="J1176" s="652"/>
      <c r="K1176" s="652"/>
      <c r="L1176" s="652"/>
      <c r="M1176" s="652"/>
    </row>
    <row r="1177" spans="1:13">
      <c r="A1177" s="857" t="s">
        <v>901</v>
      </c>
      <c r="B1177" s="858">
        <v>1</v>
      </c>
      <c r="C1177" s="874"/>
      <c r="D1177" s="868"/>
      <c r="E1177" s="868"/>
      <c r="F1177" s="868"/>
      <c r="G1177" s="869"/>
      <c r="H1177" s="652"/>
      <c r="I1177" s="652"/>
      <c r="J1177" s="652"/>
      <c r="K1177" s="652"/>
      <c r="L1177" s="652"/>
      <c r="M1177" s="652"/>
    </row>
    <row r="1178" spans="1:13">
      <c r="A1178" s="857" t="s">
        <v>895</v>
      </c>
      <c r="B1178" s="858">
        <v>1</v>
      </c>
      <c r="C1178" s="863"/>
      <c r="D1178" s="654"/>
      <c r="E1178" s="654"/>
      <c r="F1178" s="654"/>
      <c r="G1178" s="655"/>
      <c r="H1178" s="652"/>
      <c r="I1178" s="652"/>
      <c r="J1178" s="652"/>
      <c r="K1178" s="652"/>
      <c r="L1178" s="652"/>
      <c r="M1178" s="652"/>
    </row>
    <row r="1179" spans="1:13">
      <c r="A1179" s="871" t="s">
        <v>908</v>
      </c>
      <c r="B1179" s="875">
        <v>1</v>
      </c>
      <c r="C1179" s="863"/>
      <c r="D1179" s="654"/>
      <c r="E1179" s="654"/>
      <c r="F1179" s="654"/>
      <c r="G1179" s="655"/>
      <c r="H1179" s="652"/>
      <c r="I1179" s="652"/>
      <c r="J1179" s="652"/>
      <c r="K1179" s="652"/>
      <c r="L1179" s="652"/>
      <c r="M1179" s="652"/>
    </row>
    <row r="1180" spans="1:13">
      <c r="A1180" s="871" t="s">
        <v>910</v>
      </c>
      <c r="B1180" s="875">
        <v>1</v>
      </c>
      <c r="C1180" s="863"/>
      <c r="D1180" s="654"/>
      <c r="E1180" s="654"/>
      <c r="F1180" s="654"/>
      <c r="G1180" s="655"/>
      <c r="H1180" s="652"/>
      <c r="I1180" s="652"/>
      <c r="J1180" s="652"/>
      <c r="K1180" s="652"/>
      <c r="L1180" s="652"/>
      <c r="M1180" s="652"/>
    </row>
    <row r="1181" spans="1:13">
      <c r="A1181" s="871"/>
      <c r="B1181" s="875"/>
      <c r="C1181" s="863"/>
      <c r="D1181" s="654"/>
      <c r="E1181" s="654"/>
      <c r="F1181" s="654"/>
      <c r="G1181" s="655"/>
      <c r="H1181" s="652"/>
      <c r="I1181" s="652"/>
      <c r="J1181" s="652"/>
      <c r="K1181" s="652"/>
      <c r="L1181" s="652"/>
      <c r="M1181" s="652"/>
    </row>
    <row r="1182" spans="1:13">
      <c r="A1182" s="871"/>
      <c r="B1182" s="875"/>
      <c r="C1182" s="863"/>
      <c r="D1182" s="654"/>
      <c r="E1182" s="654"/>
      <c r="F1182" s="654"/>
      <c r="G1182" s="655"/>
      <c r="H1182" s="652"/>
      <c r="I1182" s="652"/>
      <c r="J1182" s="652"/>
      <c r="K1182" s="652"/>
      <c r="L1182" s="652"/>
      <c r="M1182" s="652"/>
    </row>
    <row r="1183" spans="1:13">
      <c r="A1183" s="871"/>
      <c r="B1183" s="875"/>
      <c r="C1183" s="863"/>
      <c r="D1183" s="654"/>
      <c r="E1183" s="654"/>
      <c r="F1183" s="654"/>
      <c r="G1183" s="655"/>
      <c r="H1183" s="652"/>
      <c r="I1183" s="652"/>
      <c r="J1183" s="652"/>
      <c r="K1183" s="652"/>
      <c r="L1183" s="652"/>
      <c r="M1183" s="652"/>
    </row>
    <row r="1184" spans="1:13">
      <c r="A1184" s="871"/>
      <c r="B1184" s="875"/>
      <c r="C1184" s="863"/>
      <c r="D1184" s="654"/>
      <c r="E1184" s="654"/>
      <c r="F1184" s="654"/>
      <c r="G1184" s="655"/>
      <c r="H1184" s="652"/>
      <c r="I1184" s="652"/>
      <c r="J1184" s="652"/>
      <c r="K1184" s="652"/>
      <c r="L1184" s="652"/>
      <c r="M1184" s="652"/>
    </row>
    <row r="1185" spans="1:13" ht="15.75" thickBot="1">
      <c r="A1185" s="859" t="s">
        <v>897</v>
      </c>
      <c r="B1185" s="676">
        <f>ROUNDUP(B1177+B1178+B1179+B1180,2)</f>
        <v>4</v>
      </c>
      <c r="C1185" s="2244"/>
      <c r="D1185" s="2245"/>
      <c r="E1185" s="2245"/>
      <c r="F1185" s="2245"/>
      <c r="G1185" s="2246"/>
      <c r="H1185" s="652"/>
      <c r="I1185" s="652"/>
      <c r="J1185" s="652"/>
      <c r="K1185" s="652"/>
      <c r="L1185" s="652"/>
      <c r="M1185" s="652"/>
    </row>
    <row r="1186" spans="1:13" ht="15.75" thickBot="1">
      <c r="A1186" s="873"/>
      <c r="B1186" s="873"/>
      <c r="C1186" s="873"/>
      <c r="D1186" s="873"/>
      <c r="E1186" s="873"/>
      <c r="F1186" s="873"/>
      <c r="G1186" s="873"/>
      <c r="H1186" s="652"/>
      <c r="I1186" s="652"/>
      <c r="J1186" s="652"/>
      <c r="K1186" s="652"/>
      <c r="L1186" s="652"/>
      <c r="M1186" s="652"/>
    </row>
    <row r="1187" spans="1:13" ht="15.75" thickBot="1">
      <c r="A1187" s="666" t="s">
        <v>913</v>
      </c>
      <c r="B1187" s="2163" t="s">
        <v>914</v>
      </c>
      <c r="C1187" s="2164"/>
      <c r="D1187" s="2164"/>
      <c r="E1187" s="2164"/>
      <c r="F1187" s="2164"/>
      <c r="G1187" s="2165"/>
      <c r="H1187" s="652"/>
      <c r="I1187" s="652"/>
      <c r="J1187" s="652"/>
      <c r="K1187" s="652"/>
      <c r="L1187" s="652"/>
      <c r="M1187" s="652"/>
    </row>
    <row r="1188" spans="1:13">
      <c r="A1188" s="2249" t="s">
        <v>279</v>
      </c>
      <c r="B1188" s="2183"/>
      <c r="C1188" s="2183"/>
      <c r="D1188" s="2183"/>
      <c r="E1188" s="2183"/>
      <c r="F1188" s="2183"/>
      <c r="G1188" s="2184"/>
      <c r="H1188" s="652"/>
      <c r="I1188" s="652"/>
      <c r="J1188" s="652"/>
      <c r="K1188" s="652"/>
      <c r="L1188" s="652"/>
      <c r="M1188" s="652"/>
    </row>
    <row r="1189" spans="1:13">
      <c r="A1189" s="2247" t="s">
        <v>868</v>
      </c>
      <c r="B1189" s="2170"/>
      <c r="C1189" s="2170"/>
      <c r="D1189" s="2170"/>
      <c r="E1189" s="2170"/>
      <c r="F1189" s="2170"/>
      <c r="G1189" s="2171"/>
      <c r="H1189" s="652"/>
      <c r="I1189" s="652"/>
      <c r="J1189" s="652"/>
      <c r="K1189" s="652"/>
      <c r="L1189" s="652"/>
      <c r="M1189" s="652"/>
    </row>
    <row r="1190" spans="1:13">
      <c r="A1190" s="921" t="s">
        <v>353</v>
      </c>
      <c r="B1190" s="674" t="s">
        <v>252</v>
      </c>
      <c r="C1190" s="2189"/>
      <c r="D1190" s="2189"/>
      <c r="E1190" s="2189"/>
      <c r="F1190" s="2189"/>
      <c r="G1190" s="865"/>
      <c r="H1190" s="652"/>
      <c r="I1190" s="652"/>
      <c r="J1190" s="652"/>
      <c r="K1190" s="652"/>
      <c r="L1190" s="652"/>
      <c r="M1190" s="652"/>
    </row>
    <row r="1191" spans="1:13">
      <c r="A1191" s="922" t="s">
        <v>901</v>
      </c>
      <c r="B1191" s="920">
        <v>1</v>
      </c>
      <c r="C1191" s="868"/>
      <c r="D1191" s="868"/>
      <c r="E1191" s="868"/>
      <c r="F1191" s="868"/>
      <c r="G1191" s="869"/>
      <c r="H1191" s="652"/>
      <c r="I1191" s="652"/>
      <c r="J1191" s="652"/>
      <c r="K1191" s="652"/>
      <c r="L1191" s="652"/>
      <c r="M1191" s="652"/>
    </row>
    <row r="1192" spans="1:13">
      <c r="A1192" s="922" t="s">
        <v>895</v>
      </c>
      <c r="B1192" s="920">
        <v>1</v>
      </c>
      <c r="C1192" s="654"/>
      <c r="D1192" s="654"/>
      <c r="E1192" s="654"/>
      <c r="F1192" s="654"/>
      <c r="G1192" s="655"/>
      <c r="H1192" s="652"/>
      <c r="I1192" s="652"/>
      <c r="J1192" s="652"/>
      <c r="K1192" s="652"/>
      <c r="L1192" s="652"/>
      <c r="M1192" s="652"/>
    </row>
    <row r="1193" spans="1:13">
      <c r="A1193" s="922" t="s">
        <v>908</v>
      </c>
      <c r="B1193" s="920">
        <v>2</v>
      </c>
      <c r="C1193" s="654"/>
      <c r="D1193" s="654"/>
      <c r="E1193" s="654" t="s">
        <v>915</v>
      </c>
      <c r="F1193" s="654"/>
      <c r="G1193" s="655"/>
      <c r="H1193" s="652"/>
      <c r="I1193" s="652"/>
      <c r="J1193" s="652"/>
      <c r="K1193" s="652"/>
      <c r="L1193" s="652"/>
      <c r="M1193" s="652"/>
    </row>
    <row r="1194" spans="1:13">
      <c r="A1194" s="922" t="s">
        <v>910</v>
      </c>
      <c r="B1194" s="920">
        <v>2</v>
      </c>
      <c r="C1194" s="654"/>
      <c r="D1194" s="654"/>
      <c r="E1194" s="654"/>
      <c r="F1194" s="654"/>
      <c r="G1194" s="655"/>
      <c r="H1194" s="652"/>
      <c r="I1194" s="652"/>
      <c r="J1194" s="652"/>
      <c r="K1194" s="652"/>
      <c r="L1194" s="652"/>
      <c r="M1194" s="652"/>
    </row>
    <row r="1195" spans="1:13">
      <c r="A1195" s="922"/>
      <c r="B1195" s="920"/>
      <c r="C1195" s="654"/>
      <c r="D1195" s="654"/>
      <c r="E1195" s="654"/>
      <c r="F1195" s="654"/>
      <c r="G1195" s="655"/>
      <c r="H1195" s="652"/>
      <c r="I1195" s="652"/>
      <c r="J1195" s="652"/>
      <c r="K1195" s="652"/>
      <c r="L1195" s="652"/>
      <c r="M1195" s="652"/>
    </row>
    <row r="1196" spans="1:13">
      <c r="A1196" s="922"/>
      <c r="B1196" s="920"/>
      <c r="C1196" s="654"/>
      <c r="D1196" s="654"/>
      <c r="E1196" s="654"/>
      <c r="F1196" s="654"/>
      <c r="G1196" s="655"/>
      <c r="H1196" s="652"/>
      <c r="I1196" s="652"/>
      <c r="J1196" s="652"/>
      <c r="K1196" s="652"/>
      <c r="L1196" s="652"/>
      <c r="M1196" s="652"/>
    </row>
    <row r="1197" spans="1:13">
      <c r="A1197" s="922"/>
      <c r="B1197" s="920"/>
      <c r="C1197" s="654"/>
      <c r="D1197" s="654"/>
      <c r="E1197" s="654"/>
      <c r="F1197" s="654"/>
      <c r="G1197" s="655"/>
      <c r="H1197" s="652"/>
      <c r="I1197" s="652"/>
      <c r="J1197" s="652"/>
      <c r="K1197" s="652"/>
      <c r="L1197" s="652"/>
      <c r="M1197" s="652"/>
    </row>
    <row r="1198" spans="1:13" ht="15.75" thickBot="1">
      <c r="A1198" s="923" t="s">
        <v>897</v>
      </c>
      <c r="B1198" s="676">
        <f>ROUNDUP(B1191+B1193+B1194+B1192,2)</f>
        <v>6</v>
      </c>
      <c r="C1198" s="2248"/>
      <c r="D1198" s="2248"/>
      <c r="E1198" s="2248"/>
      <c r="F1198" s="2248"/>
      <c r="G1198" s="2246"/>
      <c r="H1198" s="652"/>
      <c r="I1198" s="652"/>
      <c r="J1198" s="652"/>
      <c r="K1198" s="652"/>
      <c r="L1198" s="652"/>
      <c r="M1198" s="652"/>
    </row>
    <row r="1199" spans="1:13" ht="15.75" thickBot="1">
      <c r="A1199" s="653"/>
      <c r="B1199" s="654"/>
      <c r="C1199" s="654"/>
      <c r="D1199" s="654"/>
      <c r="E1199" s="654"/>
      <c r="F1199" s="654"/>
      <c r="G1199" s="655"/>
      <c r="H1199" s="652"/>
      <c r="I1199" s="652"/>
      <c r="J1199" s="652"/>
      <c r="K1199" s="652"/>
      <c r="L1199" s="652"/>
      <c r="M1199" s="652"/>
    </row>
    <row r="1200" spans="1:13" ht="15.75" thickBot="1">
      <c r="A1200" s="666" t="s">
        <v>916</v>
      </c>
      <c r="B1200" s="2163" t="s">
        <v>917</v>
      </c>
      <c r="C1200" s="2164"/>
      <c r="D1200" s="2164"/>
      <c r="E1200" s="2164"/>
      <c r="F1200" s="2164"/>
      <c r="G1200" s="2165"/>
      <c r="H1200" s="652"/>
      <c r="I1200" s="652"/>
      <c r="J1200" s="652"/>
      <c r="K1200" s="652"/>
      <c r="L1200" s="652"/>
      <c r="M1200" s="652"/>
    </row>
    <row r="1201" spans="1:13">
      <c r="A1201" s="2182" t="s">
        <v>279</v>
      </c>
      <c r="B1201" s="2183"/>
      <c r="C1201" s="2183"/>
      <c r="D1201" s="2183"/>
      <c r="E1201" s="2183"/>
      <c r="F1201" s="2183"/>
      <c r="G1201" s="2184"/>
      <c r="H1201" s="652"/>
      <c r="I1201" s="652"/>
      <c r="J1201" s="652"/>
      <c r="K1201" s="652"/>
      <c r="L1201" s="652"/>
      <c r="M1201" s="652"/>
    </row>
    <row r="1202" spans="1:13">
      <c r="A1202" s="2169" t="s">
        <v>868</v>
      </c>
      <c r="B1202" s="2170"/>
      <c r="C1202" s="2170"/>
      <c r="D1202" s="2170"/>
      <c r="E1202" s="2170"/>
      <c r="F1202" s="2170"/>
      <c r="G1202" s="2171"/>
      <c r="H1202" s="652"/>
      <c r="I1202" s="652"/>
      <c r="J1202" s="652"/>
      <c r="K1202" s="652"/>
      <c r="L1202" s="652"/>
      <c r="M1202" s="652"/>
    </row>
    <row r="1203" spans="1:13">
      <c r="A1203" s="855" t="s">
        <v>353</v>
      </c>
      <c r="B1203" s="856" t="s">
        <v>252</v>
      </c>
      <c r="C1203" s="2188" t="s">
        <v>918</v>
      </c>
      <c r="D1203" s="2189"/>
      <c r="E1203" s="2189"/>
      <c r="F1203" s="2189"/>
      <c r="G1203" s="865"/>
      <c r="H1203" s="652"/>
      <c r="I1203" s="652"/>
      <c r="J1203" s="652"/>
      <c r="K1203" s="652"/>
      <c r="L1203" s="652"/>
      <c r="M1203" s="652"/>
    </row>
    <row r="1204" spans="1:13">
      <c r="A1204" s="857" t="s">
        <v>901</v>
      </c>
      <c r="B1204" s="858">
        <v>1</v>
      </c>
      <c r="C1204" s="2219">
        <f>0.45*0.9*4</f>
        <v>1.62</v>
      </c>
      <c r="D1204" s="2220"/>
      <c r="E1204" s="2220"/>
      <c r="F1204" s="2220"/>
      <c r="G1204" s="2221"/>
      <c r="H1204" s="652"/>
      <c r="I1204" s="652"/>
      <c r="J1204" s="652"/>
      <c r="K1204" s="652"/>
      <c r="L1204" s="652"/>
      <c r="M1204" s="652"/>
    </row>
    <row r="1205" spans="1:13">
      <c r="A1205" s="857" t="s">
        <v>895</v>
      </c>
      <c r="B1205" s="858">
        <v>1</v>
      </c>
      <c r="C1205" s="2199"/>
      <c r="D1205" s="2243"/>
      <c r="E1205" s="2243"/>
      <c r="F1205" s="2243"/>
      <c r="G1205" s="2200"/>
      <c r="H1205" s="652"/>
      <c r="I1205" s="652"/>
      <c r="J1205" s="652"/>
      <c r="K1205" s="652"/>
      <c r="L1205" s="652"/>
      <c r="M1205" s="652"/>
    </row>
    <row r="1206" spans="1:13">
      <c r="A1206" s="857" t="s">
        <v>919</v>
      </c>
      <c r="B1206" s="875">
        <v>1</v>
      </c>
      <c r="C1206" s="2199"/>
      <c r="D1206" s="2243"/>
      <c r="E1206" s="2243"/>
      <c r="F1206" s="2243"/>
      <c r="G1206" s="2200"/>
      <c r="H1206" s="652"/>
      <c r="I1206" s="652"/>
      <c r="J1206" s="652"/>
      <c r="K1206" s="652"/>
      <c r="L1206" s="652"/>
      <c r="M1206" s="652"/>
    </row>
    <row r="1207" spans="1:13">
      <c r="A1207" s="857" t="s">
        <v>920</v>
      </c>
      <c r="B1207" s="875">
        <v>1</v>
      </c>
      <c r="C1207" s="2199"/>
      <c r="D1207" s="2243"/>
      <c r="E1207" s="2243"/>
      <c r="F1207" s="2243"/>
      <c r="G1207" s="2200"/>
      <c r="H1207" s="652"/>
      <c r="I1207" s="652"/>
      <c r="J1207" s="652"/>
      <c r="K1207" s="652"/>
      <c r="L1207" s="652"/>
      <c r="M1207" s="652"/>
    </row>
    <row r="1208" spans="1:13" ht="15.75" thickBot="1">
      <c r="A1208" s="859" t="s">
        <v>897</v>
      </c>
      <c r="B1208" s="676">
        <f>SUM(B1204:B1207)</f>
        <v>4</v>
      </c>
      <c r="C1208" s="2244"/>
      <c r="D1208" s="2245"/>
      <c r="E1208" s="2245"/>
      <c r="F1208" s="2245"/>
      <c r="G1208" s="2246"/>
      <c r="H1208" s="652"/>
      <c r="I1208" s="652"/>
      <c r="J1208" s="652"/>
      <c r="K1208" s="652"/>
      <c r="L1208" s="652"/>
      <c r="M1208" s="652"/>
    </row>
    <row r="1209" spans="1:13" ht="15.75" thickBot="1">
      <c r="A1209" s="872"/>
      <c r="B1209" s="873"/>
      <c r="C1209" s="873"/>
      <c r="D1209" s="873"/>
      <c r="E1209" s="873"/>
      <c r="F1209" s="873"/>
      <c r="G1209" s="876"/>
      <c r="H1209" s="652"/>
      <c r="I1209" s="652"/>
      <c r="J1209" s="652"/>
      <c r="K1209" s="652"/>
      <c r="L1209" s="652"/>
      <c r="M1209" s="652"/>
    </row>
    <row r="1210" spans="1:13" ht="15.75" thickBot="1">
      <c r="A1210" s="666" t="s">
        <v>921</v>
      </c>
      <c r="B1210" s="2163" t="s">
        <v>922</v>
      </c>
      <c r="C1210" s="2164"/>
      <c r="D1210" s="2164"/>
      <c r="E1210" s="2164"/>
      <c r="F1210" s="2164"/>
      <c r="G1210" s="2165"/>
      <c r="H1210" s="652"/>
      <c r="I1210" s="652"/>
      <c r="J1210" s="652"/>
      <c r="K1210" s="652"/>
      <c r="L1210" s="652"/>
      <c r="M1210" s="652"/>
    </row>
    <row r="1211" spans="1:13" ht="15.75" thickBot="1">
      <c r="A1211" s="666" t="s">
        <v>923</v>
      </c>
      <c r="B1211" s="2163" t="s">
        <v>924</v>
      </c>
      <c r="C1211" s="2164"/>
      <c r="D1211" s="2164"/>
      <c r="E1211" s="2164"/>
      <c r="F1211" s="2164"/>
      <c r="G1211" s="2165"/>
      <c r="H1211" s="652"/>
      <c r="I1211" s="652"/>
      <c r="J1211" s="652"/>
      <c r="K1211" s="652"/>
      <c r="L1211" s="652"/>
      <c r="M1211" s="652"/>
    </row>
    <row r="1212" spans="1:13">
      <c r="A1212" s="2182" t="s">
        <v>279</v>
      </c>
      <c r="B1212" s="2183"/>
      <c r="C1212" s="2183"/>
      <c r="D1212" s="2183"/>
      <c r="E1212" s="2183"/>
      <c r="F1212" s="2183"/>
      <c r="G1212" s="2184"/>
      <c r="H1212" s="652"/>
      <c r="I1212" s="652"/>
      <c r="J1212" s="652"/>
      <c r="K1212" s="652"/>
      <c r="L1212" s="652"/>
      <c r="M1212" s="652"/>
    </row>
    <row r="1213" spans="1:13">
      <c r="A1213" s="2169" t="s">
        <v>868</v>
      </c>
      <c r="B1213" s="2170"/>
      <c r="C1213" s="2170"/>
      <c r="D1213" s="2170"/>
      <c r="E1213" s="2170"/>
      <c r="F1213" s="2170"/>
      <c r="G1213" s="2171"/>
      <c r="H1213" s="652"/>
      <c r="I1213" s="652"/>
      <c r="J1213" s="652"/>
      <c r="K1213" s="652"/>
      <c r="L1213" s="652"/>
      <c r="M1213" s="652"/>
    </row>
    <row r="1214" spans="1:13">
      <c r="A1214" s="855" t="s">
        <v>925</v>
      </c>
      <c r="B1214" s="856" t="s">
        <v>252</v>
      </c>
      <c r="C1214" s="877"/>
      <c r="D1214" s="878"/>
      <c r="E1214" s="2189"/>
      <c r="F1214" s="2189"/>
      <c r="G1214" s="2190"/>
      <c r="H1214" s="652"/>
      <c r="I1214" s="652"/>
      <c r="J1214" s="652"/>
      <c r="K1214" s="652"/>
      <c r="L1214" s="652"/>
      <c r="M1214" s="652"/>
    </row>
    <row r="1215" spans="1:13">
      <c r="A1215" s="857" t="s">
        <v>785</v>
      </c>
      <c r="B1215" s="879">
        <v>1</v>
      </c>
      <c r="C1215" s="2237"/>
      <c r="D1215" s="2238"/>
      <c r="E1215" s="2238"/>
      <c r="F1215" s="2238"/>
      <c r="G1215" s="2239"/>
      <c r="H1215" s="652"/>
      <c r="I1215" s="652"/>
      <c r="J1215" s="652"/>
      <c r="K1215" s="652"/>
      <c r="L1215" s="652"/>
      <c r="M1215" s="652"/>
    </row>
    <row r="1216" spans="1:13">
      <c r="A1216" s="880" t="s">
        <v>897</v>
      </c>
      <c r="B1216" s="881">
        <f>ROUNDUP(B1215,2)</f>
        <v>1</v>
      </c>
      <c r="C1216" s="2240"/>
      <c r="D1216" s="2241"/>
      <c r="E1216" s="2241"/>
      <c r="F1216" s="2241"/>
      <c r="G1216" s="2242"/>
      <c r="H1216" s="652"/>
      <c r="I1216" s="652"/>
      <c r="J1216" s="652"/>
      <c r="K1216" s="652"/>
      <c r="L1216" s="652"/>
      <c r="M1216" s="652"/>
    </row>
    <row r="1217" spans="1:13" ht="15.75" thickBot="1">
      <c r="A1217" s="653"/>
      <c r="B1217" s="654"/>
      <c r="C1217" s="654"/>
      <c r="D1217" s="654"/>
      <c r="E1217" s="654"/>
      <c r="F1217" s="654"/>
      <c r="G1217" s="655"/>
      <c r="H1217" s="652"/>
      <c r="I1217" s="652"/>
      <c r="J1217" s="652"/>
      <c r="K1217" s="652"/>
      <c r="L1217" s="652"/>
      <c r="M1217" s="652"/>
    </row>
    <row r="1218" spans="1:13" ht="15.75" thickBot="1">
      <c r="A1218" s="666">
        <v>15</v>
      </c>
      <c r="B1218" s="2163" t="s">
        <v>926</v>
      </c>
      <c r="C1218" s="2164"/>
      <c r="D1218" s="2164"/>
      <c r="E1218" s="2164"/>
      <c r="F1218" s="2164"/>
      <c r="G1218" s="2165"/>
      <c r="H1218" s="652"/>
      <c r="I1218" s="652"/>
      <c r="J1218" s="652"/>
      <c r="K1218" s="652"/>
      <c r="L1218" s="652"/>
      <c r="M1218" s="652"/>
    </row>
    <row r="1219" spans="1:13" ht="15.75" thickBot="1">
      <c r="A1219" s="732"/>
      <c r="B1219" s="664"/>
      <c r="C1219" s="710"/>
      <c r="D1219" s="733"/>
      <c r="E1219" s="734"/>
      <c r="F1219" s="734"/>
      <c r="G1219" s="735"/>
      <c r="H1219" s="652"/>
      <c r="I1219" s="652"/>
      <c r="J1219" s="652"/>
      <c r="K1219" s="652"/>
      <c r="L1219" s="652"/>
      <c r="M1219" s="652"/>
    </row>
    <row r="1220" spans="1:13" ht="15.75" thickBot="1">
      <c r="A1220" s="666">
        <v>16</v>
      </c>
      <c r="B1220" s="2163" t="s">
        <v>927</v>
      </c>
      <c r="C1220" s="2164"/>
      <c r="D1220" s="2164"/>
      <c r="E1220" s="2164"/>
      <c r="F1220" s="2164"/>
      <c r="G1220" s="2165"/>
      <c r="H1220" s="652"/>
      <c r="I1220" s="652"/>
      <c r="J1220" s="652"/>
      <c r="K1220" s="652"/>
      <c r="L1220" s="652"/>
      <c r="M1220" s="652"/>
    </row>
    <row r="1221" spans="1:13" ht="15.75" thickBot="1">
      <c r="A1221" s="732"/>
      <c r="B1221" s="664"/>
      <c r="C1221" s="710"/>
      <c r="D1221" s="733"/>
      <c r="E1221" s="734"/>
      <c r="F1221" s="734"/>
      <c r="G1221" s="735"/>
      <c r="H1221" s="652"/>
      <c r="I1221" s="652"/>
      <c r="J1221" s="652"/>
      <c r="K1221" s="652"/>
      <c r="L1221" s="652"/>
      <c r="M1221" s="652"/>
    </row>
    <row r="1222" spans="1:13" ht="15.75" thickBot="1">
      <c r="A1222" s="666">
        <v>17</v>
      </c>
      <c r="B1222" s="2163" t="s">
        <v>928</v>
      </c>
      <c r="C1222" s="2164"/>
      <c r="D1222" s="2164"/>
      <c r="E1222" s="2164"/>
      <c r="F1222" s="2164"/>
      <c r="G1222" s="2165"/>
      <c r="H1222" s="652"/>
      <c r="I1222" s="652"/>
      <c r="J1222" s="652"/>
      <c r="K1222" s="652"/>
      <c r="L1222" s="652"/>
      <c r="M1222" s="652"/>
    </row>
    <row r="1223" spans="1:13" ht="15.75" thickBot="1">
      <c r="A1223" s="732"/>
      <c r="B1223" s="664"/>
      <c r="C1223" s="710"/>
      <c r="D1223" s="733"/>
      <c r="E1223" s="734"/>
      <c r="F1223" s="734"/>
      <c r="G1223" s="735"/>
      <c r="H1223" s="652"/>
      <c r="I1223" s="652"/>
      <c r="J1223" s="652"/>
      <c r="K1223" s="652"/>
      <c r="L1223" s="652"/>
      <c r="M1223" s="652"/>
    </row>
    <row r="1224" spans="1:13" ht="15.75" thickBot="1">
      <c r="A1224" s="666">
        <v>18</v>
      </c>
      <c r="B1224" s="2163" t="s">
        <v>75</v>
      </c>
      <c r="C1224" s="2164"/>
      <c r="D1224" s="2164"/>
      <c r="E1224" s="2164"/>
      <c r="F1224" s="2164"/>
      <c r="G1224" s="2165"/>
      <c r="H1224" s="652"/>
      <c r="I1224" s="652"/>
      <c r="J1224" s="652"/>
      <c r="K1224" s="652"/>
      <c r="L1224" s="652"/>
      <c r="M1224" s="652"/>
    </row>
    <row r="1225" spans="1:13" ht="15.75" thickBot="1">
      <c r="A1225" s="732"/>
      <c r="B1225" s="664"/>
      <c r="C1225" s="710"/>
      <c r="D1225" s="733"/>
      <c r="E1225" s="734"/>
      <c r="F1225" s="734"/>
      <c r="G1225" s="735"/>
      <c r="H1225" s="652"/>
      <c r="I1225" s="652"/>
      <c r="J1225" s="652"/>
      <c r="K1225" s="652"/>
      <c r="L1225" s="652"/>
      <c r="M1225" s="652"/>
    </row>
    <row r="1226" spans="1:13" ht="15.75" thickBot="1">
      <c r="A1226" s="666">
        <v>19</v>
      </c>
      <c r="B1226" s="2163" t="s">
        <v>929</v>
      </c>
      <c r="C1226" s="2164"/>
      <c r="D1226" s="2164"/>
      <c r="E1226" s="2164"/>
      <c r="F1226" s="2164"/>
      <c r="G1226" s="2165"/>
      <c r="H1226" s="652"/>
      <c r="I1226" s="652"/>
      <c r="J1226" s="652"/>
      <c r="K1226" s="652"/>
      <c r="L1226" s="652"/>
      <c r="M1226" s="652"/>
    </row>
    <row r="1227" spans="1:13" ht="15.75" thickBot="1">
      <c r="A1227" s="653"/>
      <c r="B1227" s="654"/>
      <c r="C1227" s="654"/>
      <c r="D1227" s="654"/>
      <c r="E1227" s="654"/>
      <c r="F1227" s="654"/>
      <c r="G1227" s="655"/>
      <c r="H1227" s="652"/>
      <c r="I1227" s="652"/>
      <c r="J1227" s="652"/>
      <c r="K1227" s="652"/>
      <c r="L1227" s="652"/>
      <c r="M1227" s="652"/>
    </row>
    <row r="1228" spans="1:13" ht="15.75" thickBot="1">
      <c r="A1228" s="666">
        <v>20</v>
      </c>
      <c r="B1228" s="2163" t="s">
        <v>930</v>
      </c>
      <c r="C1228" s="2164"/>
      <c r="D1228" s="2164"/>
      <c r="E1228" s="2164"/>
      <c r="F1228" s="2164"/>
      <c r="G1228" s="2165"/>
      <c r="H1228" s="652"/>
      <c r="I1228" s="652"/>
      <c r="J1228" s="652"/>
      <c r="K1228" s="652"/>
      <c r="L1228" s="652"/>
      <c r="M1228" s="652"/>
    </row>
    <row r="1229" spans="1:13" ht="15.75" thickBot="1">
      <c r="A1229" s="653"/>
      <c r="B1229" s="654"/>
      <c r="C1229" s="654"/>
      <c r="D1229" s="654"/>
      <c r="E1229" s="654"/>
      <c r="F1229" s="654"/>
      <c r="G1229" s="655"/>
      <c r="H1229" s="652"/>
      <c r="I1229" s="652"/>
      <c r="J1229" s="652"/>
      <c r="K1229" s="652"/>
      <c r="L1229" s="652"/>
      <c r="M1229" s="652"/>
    </row>
    <row r="1230" spans="1:13" ht="15.75" thickBot="1">
      <c r="A1230" s="666">
        <v>21</v>
      </c>
      <c r="B1230" s="2163" t="s">
        <v>931</v>
      </c>
      <c r="C1230" s="2164"/>
      <c r="D1230" s="2164"/>
      <c r="E1230" s="2164"/>
      <c r="F1230" s="2164"/>
      <c r="G1230" s="2165"/>
      <c r="H1230" s="652"/>
      <c r="I1230" s="652"/>
      <c r="J1230" s="652"/>
      <c r="K1230" s="652"/>
      <c r="L1230" s="652"/>
      <c r="M1230" s="652"/>
    </row>
    <row r="1231" spans="1:13" ht="15.75" thickBot="1">
      <c r="A1231" s="666" t="s">
        <v>932</v>
      </c>
      <c r="B1231" s="2163" t="s">
        <v>2087</v>
      </c>
      <c r="C1231" s="2164"/>
      <c r="D1231" s="2164"/>
      <c r="E1231" s="2164"/>
      <c r="F1231" s="2164"/>
      <c r="G1231" s="2165"/>
      <c r="H1231" s="652"/>
      <c r="I1231" s="652"/>
      <c r="J1231" s="652"/>
      <c r="K1231" s="652"/>
      <c r="L1231" s="652"/>
      <c r="M1231" s="652"/>
    </row>
    <row r="1232" spans="1:13">
      <c r="A1232" s="2205" t="s">
        <v>279</v>
      </c>
      <c r="B1232" s="2206"/>
      <c r="C1232" s="2206"/>
      <c r="D1232" s="2206"/>
      <c r="E1232" s="2206"/>
      <c r="F1232" s="2206"/>
      <c r="G1232" s="2207"/>
      <c r="H1232" s="652"/>
      <c r="I1232" s="652"/>
      <c r="J1232" s="652"/>
      <c r="K1232" s="652"/>
      <c r="L1232" s="652"/>
      <c r="M1232" s="652"/>
    </row>
    <row r="1233" spans="1:13">
      <c r="A1233" s="2185" t="s">
        <v>933</v>
      </c>
      <c r="B1233" s="2186"/>
      <c r="C1233" s="2186"/>
      <c r="D1233" s="2186"/>
      <c r="E1233" s="2186"/>
      <c r="F1233" s="2186"/>
      <c r="G1233" s="2187"/>
      <c r="H1233" s="652"/>
      <c r="I1233" s="652"/>
      <c r="J1233" s="652"/>
      <c r="K1233" s="652"/>
      <c r="L1233" s="652"/>
      <c r="M1233" s="652"/>
    </row>
    <row r="1234" spans="1:13">
      <c r="A1234" s="2217" t="s">
        <v>284</v>
      </c>
      <c r="B1234" s="2218"/>
      <c r="C1234" s="882" t="s">
        <v>593</v>
      </c>
      <c r="D1234" s="882" t="s">
        <v>339</v>
      </c>
      <c r="E1234" s="2208" t="s">
        <v>282</v>
      </c>
      <c r="F1234" s="2209"/>
      <c r="G1234" s="2210"/>
      <c r="H1234" s="652"/>
      <c r="I1234" s="652"/>
      <c r="J1234" s="652"/>
      <c r="K1234" s="652"/>
      <c r="L1234" s="652"/>
      <c r="M1234" s="652"/>
    </row>
    <row r="1235" spans="1:13" ht="30.75" customHeight="1">
      <c r="A1235" s="2152" t="s">
        <v>2117</v>
      </c>
      <c r="B1235" s="2153"/>
      <c r="C1235" s="1115" t="s">
        <v>2116</v>
      </c>
      <c r="D1235" s="779">
        <f>31.95+13.7+66.73</f>
        <v>112.38</v>
      </c>
      <c r="E1235" s="2219" t="s">
        <v>934</v>
      </c>
      <c r="F1235" s="2220"/>
      <c r="G1235" s="2221"/>
      <c r="H1235" s="652"/>
      <c r="I1235" s="652"/>
      <c r="J1235" s="652"/>
      <c r="K1235" s="652"/>
      <c r="L1235" s="652"/>
      <c r="M1235" s="652"/>
    </row>
    <row r="1236" spans="1:13" ht="30.75" customHeight="1">
      <c r="A1236" s="2411" t="s">
        <v>2118</v>
      </c>
      <c r="B1236" s="2411"/>
      <c r="C1236" s="1118" t="s">
        <v>806</v>
      </c>
      <c r="D1236" s="675">
        <f>68.14+108.42</f>
        <v>176.56</v>
      </c>
      <c r="E1236" s="2219" t="s">
        <v>934</v>
      </c>
      <c r="F1236" s="2220"/>
      <c r="G1236" s="2221"/>
      <c r="H1236" s="652"/>
      <c r="I1236" s="652"/>
      <c r="J1236" s="652"/>
      <c r="K1236" s="652"/>
      <c r="L1236" s="652"/>
      <c r="M1236" s="652"/>
    </row>
    <row r="1237" spans="1:13" ht="15.75" thickBot="1">
      <c r="A1237" s="2157" t="s">
        <v>316</v>
      </c>
      <c r="B1237" s="2158"/>
      <c r="C1237" s="2159"/>
      <c r="D1237" s="883">
        <f>SUM(D1235+D1236)</f>
        <v>288.94</v>
      </c>
      <c r="E1237" s="2222">
        <f>D1237*0.07</f>
        <v>20.225800000000003</v>
      </c>
      <c r="F1237" s="2223"/>
      <c r="G1237" s="2224"/>
      <c r="H1237" s="652"/>
      <c r="I1237" s="652"/>
      <c r="J1237" s="652"/>
      <c r="K1237" s="652"/>
      <c r="L1237" s="652"/>
      <c r="M1237" s="652"/>
    </row>
    <row r="1238" spans="1:13" ht="15.75" thickBot="1">
      <c r="A1238" s="653"/>
      <c r="B1238" s="654"/>
      <c r="C1238" s="654"/>
      <c r="D1238" s="654"/>
      <c r="E1238" s="654"/>
      <c r="F1238" s="654"/>
      <c r="G1238" s="655"/>
      <c r="H1238" s="652"/>
      <c r="I1238" s="652"/>
      <c r="J1238" s="652"/>
      <c r="K1238" s="652"/>
      <c r="L1238" s="652"/>
      <c r="M1238" s="652"/>
    </row>
    <row r="1239" spans="1:13" ht="15.75" thickBot="1">
      <c r="A1239" s="666" t="s">
        <v>935</v>
      </c>
      <c r="B1239" s="2163" t="s">
        <v>936</v>
      </c>
      <c r="C1239" s="2164"/>
      <c r="D1239" s="2164"/>
      <c r="E1239" s="2164"/>
      <c r="F1239" s="2164"/>
      <c r="G1239" s="2165"/>
      <c r="H1239" s="652"/>
      <c r="I1239" s="652"/>
      <c r="J1239" s="652"/>
      <c r="K1239" s="652"/>
      <c r="L1239" s="652"/>
      <c r="M1239" s="652"/>
    </row>
    <row r="1240" spans="1:13">
      <c r="A1240" s="2205" t="s">
        <v>279</v>
      </c>
      <c r="B1240" s="2206"/>
      <c r="C1240" s="2206"/>
      <c r="D1240" s="2206"/>
      <c r="E1240" s="2206"/>
      <c r="F1240" s="2206"/>
      <c r="G1240" s="2207"/>
      <c r="H1240" s="652"/>
      <c r="I1240" s="652"/>
      <c r="J1240" s="652"/>
      <c r="K1240" s="652"/>
      <c r="L1240" s="652"/>
      <c r="M1240" s="652"/>
    </row>
    <row r="1241" spans="1:13">
      <c r="A1241" s="2185" t="s">
        <v>933</v>
      </c>
      <c r="B1241" s="2186"/>
      <c r="C1241" s="2186"/>
      <c r="D1241" s="2186"/>
      <c r="E1241" s="2186"/>
      <c r="F1241" s="2186"/>
      <c r="G1241" s="2187"/>
      <c r="H1241" s="652"/>
      <c r="I1241" s="652"/>
      <c r="J1241" s="652"/>
      <c r="K1241" s="652"/>
      <c r="L1241" s="652"/>
      <c r="M1241" s="652"/>
    </row>
    <row r="1242" spans="1:13">
      <c r="A1242" s="2217" t="s">
        <v>284</v>
      </c>
      <c r="B1242" s="2218"/>
      <c r="C1242" s="882" t="s">
        <v>592</v>
      </c>
      <c r="D1242" s="882" t="s">
        <v>354</v>
      </c>
      <c r="E1242" s="2208" t="s">
        <v>282</v>
      </c>
      <c r="F1242" s="2209"/>
      <c r="G1242" s="2210"/>
      <c r="H1242" s="652"/>
      <c r="I1242" s="652"/>
      <c r="J1242" s="652"/>
      <c r="K1242" s="652"/>
      <c r="L1242" s="652"/>
      <c r="M1242" s="652"/>
    </row>
    <row r="1243" spans="1:13">
      <c r="A1243" s="2152" t="s">
        <v>937</v>
      </c>
      <c r="B1243" s="2153"/>
      <c r="C1243" s="779">
        <f>27.48+41.78</f>
        <v>69.260000000000005</v>
      </c>
      <c r="D1243" s="779">
        <f>C1243</f>
        <v>69.260000000000005</v>
      </c>
      <c r="E1243" s="2219"/>
      <c r="F1243" s="2220"/>
      <c r="G1243" s="2221"/>
      <c r="H1243" s="652"/>
      <c r="I1243" s="652"/>
      <c r="J1243" s="652"/>
      <c r="K1243" s="652"/>
      <c r="L1243" s="652"/>
      <c r="M1243" s="652"/>
    </row>
    <row r="1244" spans="1:13" ht="15.75" thickBot="1">
      <c r="A1244" s="2157" t="s">
        <v>316</v>
      </c>
      <c r="B1244" s="2158"/>
      <c r="C1244" s="2159"/>
      <c r="D1244" s="883">
        <f>SUM(D1243)</f>
        <v>69.260000000000005</v>
      </c>
      <c r="E1244" s="2222"/>
      <c r="F1244" s="2223"/>
      <c r="G1244" s="2224"/>
      <c r="H1244" s="652"/>
      <c r="I1244" s="652"/>
      <c r="J1244" s="652"/>
      <c r="K1244" s="652"/>
      <c r="L1244" s="652"/>
      <c r="M1244" s="652"/>
    </row>
    <row r="1245" spans="1:13" ht="15.75" thickBot="1">
      <c r="A1245" s="884"/>
      <c r="B1245" s="761"/>
      <c r="C1245" s="761"/>
      <c r="D1245" s="690"/>
      <c r="E1245" s="885"/>
      <c r="F1245" s="885"/>
      <c r="G1245" s="886"/>
      <c r="H1245" s="652"/>
      <c r="I1245" s="652"/>
      <c r="J1245" s="652"/>
      <c r="K1245" s="652"/>
      <c r="L1245" s="652"/>
      <c r="M1245" s="652"/>
    </row>
    <row r="1246" spans="1:13" ht="15.75" thickBot="1">
      <c r="A1246" s="666" t="s">
        <v>938</v>
      </c>
      <c r="B1246" s="2163" t="s">
        <v>939</v>
      </c>
      <c r="C1246" s="2164"/>
      <c r="D1246" s="2164"/>
      <c r="E1246" s="2164"/>
      <c r="F1246" s="2164"/>
      <c r="G1246" s="2165"/>
      <c r="H1246" s="652"/>
      <c r="I1246" s="652"/>
      <c r="J1246" s="652"/>
      <c r="K1246" s="652"/>
      <c r="L1246" s="652"/>
      <c r="M1246" s="652"/>
    </row>
    <row r="1247" spans="1:13">
      <c r="A1247" s="2205" t="s">
        <v>279</v>
      </c>
      <c r="B1247" s="2206"/>
      <c r="C1247" s="2206"/>
      <c r="D1247" s="2206"/>
      <c r="E1247" s="2206"/>
      <c r="F1247" s="2206"/>
      <c r="G1247" s="2207"/>
      <c r="H1247" s="652"/>
      <c r="I1247" s="652"/>
      <c r="J1247" s="652"/>
      <c r="K1247" s="652"/>
      <c r="L1247" s="652"/>
      <c r="M1247" s="652"/>
    </row>
    <row r="1248" spans="1:13">
      <c r="A1248" s="2185" t="s">
        <v>933</v>
      </c>
      <c r="B1248" s="2186"/>
      <c r="C1248" s="2186"/>
      <c r="D1248" s="2186"/>
      <c r="E1248" s="2186"/>
      <c r="F1248" s="2186"/>
      <c r="G1248" s="2187"/>
      <c r="H1248" s="652"/>
      <c r="I1248" s="652"/>
      <c r="J1248" s="652"/>
      <c r="K1248" s="652"/>
      <c r="L1248" s="652"/>
      <c r="M1248" s="652"/>
    </row>
    <row r="1249" spans="1:13">
      <c r="A1249" s="2217" t="s">
        <v>284</v>
      </c>
      <c r="B1249" s="2218"/>
      <c r="C1249" s="882" t="s">
        <v>592</v>
      </c>
      <c r="D1249" s="882" t="s">
        <v>354</v>
      </c>
      <c r="E1249" s="2208" t="s">
        <v>282</v>
      </c>
      <c r="F1249" s="2209"/>
      <c r="G1249" s="2210"/>
      <c r="H1249" s="652"/>
      <c r="I1249" s="652"/>
      <c r="J1249" s="652"/>
      <c r="K1249" s="652"/>
      <c r="L1249" s="652"/>
      <c r="M1249" s="652"/>
    </row>
    <row r="1250" spans="1:13">
      <c r="A1250" s="2235">
        <v>4.17</v>
      </c>
      <c r="B1250" s="2236"/>
      <c r="C1250" s="779">
        <v>4.17</v>
      </c>
      <c r="D1250" s="779">
        <f>C1250</f>
        <v>4.17</v>
      </c>
      <c r="E1250" s="2219"/>
      <c r="F1250" s="2220"/>
      <c r="G1250" s="2221"/>
      <c r="H1250" s="652"/>
      <c r="I1250" s="652"/>
      <c r="J1250" s="652"/>
      <c r="K1250" s="652"/>
      <c r="L1250" s="652"/>
      <c r="M1250" s="652"/>
    </row>
    <row r="1251" spans="1:13" ht="15.75" thickBot="1">
      <c r="A1251" s="2157" t="s">
        <v>316</v>
      </c>
      <c r="B1251" s="2158"/>
      <c r="C1251" s="2159"/>
      <c r="D1251" s="883">
        <f>SUM(D1250)</f>
        <v>4.17</v>
      </c>
      <c r="E1251" s="2222"/>
      <c r="F1251" s="2223"/>
      <c r="G1251" s="2224"/>
      <c r="H1251" s="652"/>
      <c r="I1251" s="652"/>
      <c r="J1251" s="652"/>
      <c r="K1251" s="652"/>
      <c r="L1251" s="652"/>
      <c r="M1251" s="652"/>
    </row>
    <row r="1252" spans="1:13" ht="15.75" thickBot="1">
      <c r="A1252" s="884"/>
      <c r="B1252" s="761"/>
      <c r="C1252" s="761"/>
      <c r="D1252" s="690"/>
      <c r="E1252" s="885"/>
      <c r="F1252" s="885"/>
      <c r="G1252" s="886"/>
      <c r="H1252" s="652"/>
      <c r="I1252" s="652"/>
      <c r="J1252" s="652"/>
      <c r="K1252" s="652"/>
      <c r="L1252" s="652"/>
      <c r="M1252" s="652"/>
    </row>
    <row r="1253" spans="1:13" ht="15.75" thickBot="1">
      <c r="A1253" s="666" t="s">
        <v>940</v>
      </c>
      <c r="B1253" s="2163" t="s">
        <v>941</v>
      </c>
      <c r="C1253" s="2164"/>
      <c r="D1253" s="2164"/>
      <c r="E1253" s="2164"/>
      <c r="F1253" s="2164"/>
      <c r="G1253" s="2165"/>
      <c r="H1253" s="652"/>
      <c r="I1253" s="652"/>
      <c r="J1253" s="652"/>
      <c r="K1253" s="652"/>
      <c r="L1253" s="652"/>
      <c r="M1253" s="652"/>
    </row>
    <row r="1254" spans="1:13">
      <c r="A1254" s="2166" t="s">
        <v>279</v>
      </c>
      <c r="B1254" s="2167"/>
      <c r="C1254" s="2167"/>
      <c r="D1254" s="2167"/>
      <c r="E1254" s="2167"/>
      <c r="F1254" s="2167"/>
      <c r="G1254" s="2168"/>
      <c r="H1254" s="652"/>
      <c r="I1254" s="652"/>
      <c r="J1254" s="652"/>
      <c r="K1254" s="652"/>
      <c r="L1254" s="652"/>
      <c r="M1254" s="652"/>
    </row>
    <row r="1255" spans="1:13">
      <c r="A1255" s="2185" t="s">
        <v>933</v>
      </c>
      <c r="B1255" s="2186"/>
      <c r="C1255" s="2186"/>
      <c r="D1255" s="2186"/>
      <c r="E1255" s="2186"/>
      <c r="F1255" s="2186"/>
      <c r="G1255" s="2187"/>
      <c r="H1255" s="652"/>
      <c r="I1255" s="652"/>
      <c r="J1255" s="652"/>
      <c r="K1255" s="652"/>
      <c r="L1255" s="652"/>
      <c r="M1255" s="652"/>
    </row>
    <row r="1256" spans="1:13">
      <c r="A1256" s="887" t="s">
        <v>284</v>
      </c>
      <c r="B1256" s="882" t="s">
        <v>281</v>
      </c>
      <c r="C1256" s="882" t="s">
        <v>334</v>
      </c>
      <c r="D1256" s="882" t="s">
        <v>339</v>
      </c>
      <c r="E1256" s="2208" t="s">
        <v>282</v>
      </c>
      <c r="F1256" s="2209"/>
      <c r="G1256" s="2210"/>
      <c r="H1256" s="652"/>
      <c r="I1256" s="652"/>
      <c r="J1256" s="652"/>
      <c r="K1256" s="652"/>
      <c r="L1256" s="652"/>
      <c r="M1256" s="652"/>
    </row>
    <row r="1257" spans="1:13" ht="24">
      <c r="A1257" s="765" t="s">
        <v>942</v>
      </c>
      <c r="B1257" s="685" t="s">
        <v>943</v>
      </c>
      <c r="C1257" s="685">
        <f>72.98+21.26+99.48+15.52</f>
        <v>209.24000000000004</v>
      </c>
      <c r="D1257" s="791">
        <f>ROUNDUP(C1257,2)</f>
        <v>209.24</v>
      </c>
      <c r="E1257" s="2211" t="s">
        <v>944</v>
      </c>
      <c r="F1257" s="2212"/>
      <c r="G1257" s="2213"/>
      <c r="H1257" s="652"/>
      <c r="I1257" s="652"/>
      <c r="J1257" s="652"/>
      <c r="K1257" s="652"/>
      <c r="L1257" s="652"/>
      <c r="M1257" s="652"/>
    </row>
    <row r="1258" spans="1:13" ht="15.75" thickBot="1">
      <c r="A1258" s="2157" t="s">
        <v>316</v>
      </c>
      <c r="B1258" s="2158"/>
      <c r="C1258" s="2158"/>
      <c r="D1258" s="883">
        <f>ROUNDUP(D1257,2)</f>
        <v>209.24</v>
      </c>
      <c r="E1258" s="2222"/>
      <c r="F1258" s="2223"/>
      <c r="G1258" s="2224"/>
      <c r="H1258" s="652"/>
      <c r="I1258" s="652"/>
      <c r="J1258" s="652"/>
      <c r="K1258" s="652"/>
      <c r="L1258" s="652"/>
      <c r="M1258" s="652"/>
    </row>
    <row r="1259" spans="1:13" ht="15.75" thickBot="1">
      <c r="A1259" s="653"/>
      <c r="B1259" s="654"/>
      <c r="C1259" s="654"/>
      <c r="D1259" s="654"/>
      <c r="E1259" s="654"/>
      <c r="F1259" s="654"/>
      <c r="G1259" s="655"/>
      <c r="H1259" s="652"/>
      <c r="I1259" s="652"/>
      <c r="J1259" s="652"/>
      <c r="K1259" s="652"/>
      <c r="L1259" s="652"/>
      <c r="M1259" s="652"/>
    </row>
    <row r="1260" spans="1:13" ht="15.75" thickBot="1">
      <c r="A1260" s="666" t="s">
        <v>945</v>
      </c>
      <c r="B1260" s="2163" t="s">
        <v>946</v>
      </c>
      <c r="C1260" s="2164"/>
      <c r="D1260" s="2164"/>
      <c r="E1260" s="2164"/>
      <c r="F1260" s="2164"/>
      <c r="G1260" s="2165"/>
      <c r="H1260" s="652"/>
      <c r="I1260" s="652"/>
      <c r="J1260" s="652"/>
      <c r="K1260" s="652"/>
      <c r="L1260" s="652"/>
      <c r="M1260" s="652"/>
    </row>
    <row r="1261" spans="1:13">
      <c r="A1261" s="2166" t="s">
        <v>279</v>
      </c>
      <c r="B1261" s="2167"/>
      <c r="C1261" s="2167"/>
      <c r="D1261" s="2167"/>
      <c r="E1261" s="2167"/>
      <c r="F1261" s="2167"/>
      <c r="G1261" s="2168"/>
      <c r="H1261" s="652"/>
      <c r="I1261" s="652"/>
      <c r="J1261" s="652"/>
      <c r="K1261" s="652"/>
      <c r="L1261" s="652"/>
      <c r="M1261" s="652"/>
    </row>
    <row r="1262" spans="1:13">
      <c r="A1262" s="2185" t="s">
        <v>933</v>
      </c>
      <c r="B1262" s="2186"/>
      <c r="C1262" s="2186"/>
      <c r="D1262" s="2186"/>
      <c r="E1262" s="2186"/>
      <c r="F1262" s="2186"/>
      <c r="G1262" s="2187"/>
      <c r="H1262" s="652"/>
      <c r="I1262" s="652"/>
      <c r="J1262" s="652"/>
      <c r="K1262" s="652"/>
      <c r="L1262" s="652"/>
      <c r="M1262" s="652"/>
    </row>
    <row r="1263" spans="1:13">
      <c r="A1263" s="887" t="s">
        <v>284</v>
      </c>
      <c r="B1263" s="882" t="s">
        <v>281</v>
      </c>
      <c r="C1263" s="882" t="s">
        <v>334</v>
      </c>
      <c r="D1263" s="882" t="s">
        <v>339</v>
      </c>
      <c r="E1263" s="2208" t="s">
        <v>282</v>
      </c>
      <c r="F1263" s="2209"/>
      <c r="G1263" s="2210"/>
      <c r="H1263" s="652"/>
      <c r="I1263" s="652"/>
      <c r="J1263" s="652"/>
      <c r="K1263" s="652"/>
      <c r="L1263" s="652"/>
      <c r="M1263" s="652"/>
    </row>
    <row r="1264" spans="1:13">
      <c r="A1264" s="765" t="s">
        <v>947</v>
      </c>
      <c r="B1264" s="685" t="s">
        <v>948</v>
      </c>
      <c r="C1264" s="685">
        <f>72.98+21.26+99.48</f>
        <v>193.72000000000003</v>
      </c>
      <c r="D1264" s="791">
        <f>ROUNDUP(C1264,2)</f>
        <v>193.72</v>
      </c>
      <c r="E1264" s="2211" t="s">
        <v>944</v>
      </c>
      <c r="F1264" s="2212"/>
      <c r="G1264" s="2213"/>
      <c r="H1264" s="652"/>
      <c r="I1264" s="652"/>
      <c r="J1264" s="652"/>
      <c r="K1264" s="652"/>
      <c r="L1264" s="652"/>
      <c r="M1264" s="652"/>
    </row>
    <row r="1265" spans="1:13" ht="15.75" thickBot="1">
      <c r="A1265" s="2157" t="s">
        <v>316</v>
      </c>
      <c r="B1265" s="2158"/>
      <c r="C1265" s="2158"/>
      <c r="D1265" s="883">
        <f>ROUNDUP(D1264,2)</f>
        <v>193.72</v>
      </c>
      <c r="E1265" s="2222"/>
      <c r="F1265" s="2223"/>
      <c r="G1265" s="2224"/>
      <c r="H1265" s="652"/>
      <c r="I1265" s="652"/>
      <c r="J1265" s="652"/>
      <c r="K1265" s="652"/>
      <c r="L1265" s="652"/>
      <c r="M1265" s="652"/>
    </row>
    <row r="1266" spans="1:13" ht="15.75" thickBot="1">
      <c r="A1266" s="2232"/>
      <c r="B1266" s="2233"/>
      <c r="C1266" s="2233"/>
      <c r="D1266" s="2233"/>
      <c r="E1266" s="2233"/>
      <c r="F1266" s="2233"/>
      <c r="G1266" s="2234"/>
      <c r="H1266" s="652"/>
      <c r="I1266" s="652"/>
      <c r="J1266" s="652"/>
      <c r="K1266" s="652"/>
      <c r="L1266" s="652"/>
      <c r="M1266" s="652"/>
    </row>
    <row r="1267" spans="1:13" ht="15.75" thickBot="1">
      <c r="A1267" s="666" t="s">
        <v>949</v>
      </c>
      <c r="B1267" s="2163" t="s">
        <v>950</v>
      </c>
      <c r="C1267" s="2164"/>
      <c r="D1267" s="2164"/>
      <c r="E1267" s="2164"/>
      <c r="F1267" s="2164"/>
      <c r="G1267" s="2165"/>
      <c r="H1267" s="652"/>
      <c r="I1267" s="652"/>
      <c r="J1267" s="652"/>
      <c r="K1267" s="652"/>
      <c r="L1267" s="652"/>
      <c r="M1267" s="652"/>
    </row>
    <row r="1268" spans="1:13">
      <c r="A1268" s="2166" t="s">
        <v>279</v>
      </c>
      <c r="B1268" s="2167"/>
      <c r="C1268" s="2167"/>
      <c r="D1268" s="2167"/>
      <c r="E1268" s="2167"/>
      <c r="F1268" s="2167"/>
      <c r="G1268" s="2168"/>
      <c r="H1268" s="652"/>
      <c r="I1268" s="652"/>
      <c r="J1268" s="652"/>
      <c r="K1268" s="652"/>
      <c r="L1268" s="652"/>
      <c r="M1268" s="652"/>
    </row>
    <row r="1269" spans="1:13">
      <c r="A1269" s="2185" t="s">
        <v>933</v>
      </c>
      <c r="B1269" s="2186"/>
      <c r="C1269" s="2186"/>
      <c r="D1269" s="2186"/>
      <c r="E1269" s="2186"/>
      <c r="F1269" s="2186"/>
      <c r="G1269" s="2187"/>
      <c r="H1269" s="652"/>
      <c r="I1269" s="652"/>
      <c r="J1269" s="652"/>
      <c r="K1269" s="652"/>
      <c r="L1269" s="652"/>
      <c r="M1269" s="652"/>
    </row>
    <row r="1270" spans="1:13">
      <c r="A1270" s="887" t="s">
        <v>284</v>
      </c>
      <c r="B1270" s="882" t="s">
        <v>281</v>
      </c>
      <c r="C1270" s="882" t="s">
        <v>334</v>
      </c>
      <c r="D1270" s="882" t="s">
        <v>339</v>
      </c>
      <c r="E1270" s="2208" t="s">
        <v>282</v>
      </c>
      <c r="F1270" s="2209"/>
      <c r="G1270" s="2210"/>
      <c r="H1270" s="652"/>
      <c r="I1270" s="652"/>
      <c r="J1270" s="652"/>
      <c r="K1270" s="652"/>
      <c r="L1270" s="652"/>
      <c r="M1270" s="652"/>
    </row>
    <row r="1271" spans="1:13">
      <c r="A1271" s="765" t="s">
        <v>951</v>
      </c>
      <c r="B1271" s="685">
        <v>15.52</v>
      </c>
      <c r="C1271" s="685">
        <v>15.52</v>
      </c>
      <c r="D1271" s="791">
        <f>ROUNDUP(C1271,2)</f>
        <v>15.52</v>
      </c>
      <c r="E1271" s="2211"/>
      <c r="F1271" s="2212"/>
      <c r="G1271" s="2213"/>
      <c r="H1271" s="652"/>
      <c r="I1271" s="652"/>
      <c r="J1271" s="652"/>
      <c r="K1271" s="652"/>
      <c r="L1271" s="652"/>
      <c r="M1271" s="652"/>
    </row>
    <row r="1272" spans="1:13" ht="15.75" thickBot="1">
      <c r="A1272" s="2157" t="s">
        <v>316</v>
      </c>
      <c r="B1272" s="2158"/>
      <c r="C1272" s="2158"/>
      <c r="D1272" s="883">
        <f>ROUNDUP(D1271,2)</f>
        <v>15.52</v>
      </c>
      <c r="E1272" s="2222"/>
      <c r="F1272" s="2223"/>
      <c r="G1272" s="2224"/>
      <c r="H1272" s="652"/>
      <c r="I1272" s="652"/>
      <c r="J1272" s="652"/>
      <c r="K1272" s="652"/>
      <c r="L1272" s="652"/>
      <c r="M1272" s="652"/>
    </row>
    <row r="1273" spans="1:13" ht="15.75" thickBot="1">
      <c r="A1273" s="653"/>
      <c r="B1273" s="654"/>
      <c r="C1273" s="654"/>
      <c r="D1273" s="654"/>
      <c r="E1273" s="654"/>
      <c r="F1273" s="654"/>
      <c r="G1273" s="655"/>
      <c r="H1273" s="652"/>
      <c r="I1273" s="652"/>
      <c r="J1273" s="652"/>
      <c r="K1273" s="652"/>
      <c r="L1273" s="652"/>
      <c r="M1273" s="652"/>
    </row>
    <row r="1274" spans="1:13" ht="15.75" thickBot="1">
      <c r="A1274" s="666" t="s">
        <v>952</v>
      </c>
      <c r="B1274" s="2163" t="s">
        <v>953</v>
      </c>
      <c r="C1274" s="2164"/>
      <c r="D1274" s="2164"/>
      <c r="E1274" s="2164"/>
      <c r="F1274" s="2164"/>
      <c r="G1274" s="2165"/>
      <c r="H1274" s="652"/>
      <c r="I1274" s="652"/>
      <c r="J1274" s="652"/>
      <c r="K1274" s="652"/>
      <c r="L1274" s="652"/>
      <c r="M1274" s="652"/>
    </row>
    <row r="1275" spans="1:13">
      <c r="A1275" s="2166" t="s">
        <v>279</v>
      </c>
      <c r="B1275" s="2167"/>
      <c r="C1275" s="2167"/>
      <c r="D1275" s="2167"/>
      <c r="E1275" s="2167"/>
      <c r="F1275" s="2167"/>
      <c r="G1275" s="2168"/>
      <c r="H1275" s="652"/>
      <c r="I1275" s="652"/>
      <c r="J1275" s="652"/>
      <c r="K1275" s="652"/>
      <c r="L1275" s="652"/>
      <c r="M1275" s="652"/>
    </row>
    <row r="1276" spans="1:13">
      <c r="A1276" s="2185" t="s">
        <v>933</v>
      </c>
      <c r="B1276" s="2186"/>
      <c r="C1276" s="2186"/>
      <c r="D1276" s="2186"/>
      <c r="E1276" s="2186"/>
      <c r="F1276" s="2186"/>
      <c r="G1276" s="2187"/>
      <c r="H1276" s="652"/>
      <c r="I1276" s="652"/>
      <c r="J1276" s="652"/>
      <c r="K1276" s="652"/>
      <c r="L1276" s="652"/>
      <c r="M1276" s="652"/>
    </row>
    <row r="1277" spans="1:13">
      <c r="A1277" s="887" t="s">
        <v>284</v>
      </c>
      <c r="B1277" s="2208" t="s">
        <v>954</v>
      </c>
      <c r="C1277" s="2218"/>
      <c r="D1277" s="2208" t="s">
        <v>282</v>
      </c>
      <c r="E1277" s="2209"/>
      <c r="F1277" s="2209"/>
      <c r="G1277" s="2210"/>
      <c r="H1277" s="652"/>
      <c r="I1277" s="652"/>
      <c r="J1277" s="652"/>
      <c r="K1277" s="652"/>
      <c r="L1277" s="652"/>
      <c r="M1277" s="652"/>
    </row>
    <row r="1278" spans="1:13" ht="24">
      <c r="A1278" s="765" t="s">
        <v>955</v>
      </c>
      <c r="B1278" s="2228">
        <v>12</v>
      </c>
      <c r="C1278" s="2229"/>
      <c r="D1278" s="2154"/>
      <c r="E1278" s="2155"/>
      <c r="F1278" s="2155"/>
      <c r="G1278" s="2156"/>
      <c r="H1278" s="652"/>
      <c r="I1278" s="652"/>
      <c r="J1278" s="652"/>
      <c r="K1278" s="652"/>
      <c r="L1278" s="652"/>
      <c r="M1278" s="652"/>
    </row>
    <row r="1279" spans="1:13" ht="15.75" thickBot="1">
      <c r="A1279" s="888" t="s">
        <v>316</v>
      </c>
      <c r="B1279" s="2230">
        <f>SUM(B1278)</f>
        <v>12</v>
      </c>
      <c r="C1279" s="2231"/>
      <c r="D1279" s="889"/>
      <c r="E1279" s="706"/>
      <c r="F1279" s="706"/>
      <c r="G1279" s="890"/>
      <c r="H1279" s="652"/>
      <c r="I1279" s="652"/>
      <c r="J1279" s="652"/>
      <c r="K1279" s="652"/>
      <c r="L1279" s="652"/>
      <c r="M1279" s="652"/>
    </row>
    <row r="1280" spans="1:13" ht="15.75" thickBot="1">
      <c r="A1280" s="653"/>
      <c r="B1280" s="654"/>
      <c r="C1280" s="654"/>
      <c r="D1280" s="654"/>
      <c r="E1280" s="654"/>
      <c r="F1280" s="654"/>
      <c r="G1280" s="655"/>
      <c r="H1280" s="652"/>
      <c r="I1280" s="652"/>
      <c r="J1280" s="652"/>
      <c r="K1280" s="652"/>
      <c r="L1280" s="652"/>
      <c r="M1280" s="652"/>
    </row>
    <row r="1281" spans="1:13" ht="15.75" thickBot="1">
      <c r="A1281" s="666" t="s">
        <v>956</v>
      </c>
      <c r="B1281" s="2163" t="s">
        <v>957</v>
      </c>
      <c r="C1281" s="2164"/>
      <c r="D1281" s="2164"/>
      <c r="E1281" s="2164"/>
      <c r="F1281" s="2164"/>
      <c r="G1281" s="2165"/>
      <c r="H1281" s="652"/>
      <c r="I1281" s="652"/>
      <c r="J1281" s="652"/>
      <c r="K1281" s="652"/>
      <c r="L1281" s="652"/>
      <c r="M1281" s="652"/>
    </row>
    <row r="1282" spans="1:13">
      <c r="A1282" s="2166" t="s">
        <v>279</v>
      </c>
      <c r="B1282" s="2167"/>
      <c r="C1282" s="2167"/>
      <c r="D1282" s="2167"/>
      <c r="E1282" s="2167"/>
      <c r="F1282" s="2167"/>
      <c r="G1282" s="2168"/>
      <c r="H1282" s="652"/>
      <c r="I1282" s="652"/>
      <c r="J1282" s="652"/>
      <c r="K1282" s="652"/>
      <c r="L1282" s="652"/>
      <c r="M1282" s="652"/>
    </row>
    <row r="1283" spans="1:13">
      <c r="A1283" s="2185" t="s">
        <v>933</v>
      </c>
      <c r="B1283" s="2186"/>
      <c r="C1283" s="2186"/>
      <c r="D1283" s="2186"/>
      <c r="E1283" s="2186"/>
      <c r="F1283" s="2186"/>
      <c r="G1283" s="2187"/>
      <c r="H1283" s="652"/>
      <c r="I1283" s="652"/>
      <c r="J1283" s="652"/>
      <c r="K1283" s="652"/>
      <c r="L1283" s="652"/>
      <c r="M1283" s="652"/>
    </row>
    <row r="1284" spans="1:13">
      <c r="A1284" s="887" t="s">
        <v>284</v>
      </c>
      <c r="B1284" s="2208" t="s">
        <v>954</v>
      </c>
      <c r="C1284" s="2218"/>
      <c r="D1284" s="2208" t="s">
        <v>282</v>
      </c>
      <c r="E1284" s="2209"/>
      <c r="F1284" s="2209"/>
      <c r="G1284" s="2210"/>
      <c r="H1284" s="652"/>
      <c r="I1284" s="652"/>
      <c r="J1284" s="652"/>
      <c r="K1284" s="652"/>
      <c r="L1284" s="652"/>
      <c r="M1284" s="652"/>
    </row>
    <row r="1285" spans="1:13" ht="24">
      <c r="A1285" s="765" t="s">
        <v>955</v>
      </c>
      <c r="B1285" s="2228">
        <v>7</v>
      </c>
      <c r="C1285" s="2229"/>
      <c r="D1285" s="2154"/>
      <c r="E1285" s="2155"/>
      <c r="F1285" s="2155"/>
      <c r="G1285" s="2156"/>
      <c r="H1285" s="652"/>
      <c r="I1285" s="652"/>
      <c r="J1285" s="652"/>
      <c r="K1285" s="652"/>
      <c r="L1285" s="652"/>
      <c r="M1285" s="652"/>
    </row>
    <row r="1286" spans="1:13" ht="15.75" thickBot="1">
      <c r="A1286" s="888" t="s">
        <v>316</v>
      </c>
      <c r="B1286" s="2230">
        <f>SUM(B1285)</f>
        <v>7</v>
      </c>
      <c r="C1286" s="2231"/>
      <c r="D1286" s="889"/>
      <c r="E1286" s="706"/>
      <c r="F1286" s="706"/>
      <c r="G1286" s="890"/>
      <c r="H1286" s="652"/>
      <c r="I1286" s="652"/>
      <c r="J1286" s="652"/>
      <c r="K1286" s="652"/>
      <c r="L1286" s="652"/>
      <c r="M1286" s="652"/>
    </row>
    <row r="1287" spans="1:13" ht="15.75" thickBot="1">
      <c r="A1287" s="842"/>
      <c r="B1287" s="891"/>
      <c r="C1287" s="891"/>
      <c r="D1287" s="892"/>
      <c r="E1287" s="892"/>
      <c r="F1287" s="892"/>
      <c r="G1287" s="893"/>
      <c r="H1287" s="652"/>
      <c r="I1287" s="652"/>
      <c r="J1287" s="652"/>
      <c r="K1287" s="652"/>
      <c r="L1287" s="652"/>
      <c r="M1287" s="652"/>
    </row>
    <row r="1288" spans="1:13" ht="15.75" thickBot="1">
      <c r="A1288" s="2232"/>
      <c r="B1288" s="2233"/>
      <c r="C1288" s="2233"/>
      <c r="D1288" s="2233"/>
      <c r="E1288" s="2233"/>
      <c r="F1288" s="2233"/>
      <c r="G1288" s="2234"/>
      <c r="H1288" s="652"/>
      <c r="I1288" s="652"/>
      <c r="J1288" s="652"/>
      <c r="K1288" s="652"/>
      <c r="L1288" s="652"/>
      <c r="M1288" s="652"/>
    </row>
    <row r="1289" spans="1:13" ht="15.75" thickBot="1">
      <c r="A1289" s="666" t="s">
        <v>958</v>
      </c>
      <c r="B1289" s="2163" t="s">
        <v>959</v>
      </c>
      <c r="C1289" s="2164"/>
      <c r="D1289" s="2164"/>
      <c r="E1289" s="2164"/>
      <c r="F1289" s="2164"/>
      <c r="G1289" s="2165"/>
      <c r="H1289" s="652"/>
      <c r="I1289" s="652"/>
      <c r="J1289" s="652"/>
      <c r="K1289" s="652"/>
      <c r="L1289" s="652"/>
      <c r="M1289" s="652"/>
    </row>
    <row r="1290" spans="1:13">
      <c r="A1290" s="2182" t="s">
        <v>279</v>
      </c>
      <c r="B1290" s="2183"/>
      <c r="C1290" s="2183"/>
      <c r="D1290" s="2183"/>
      <c r="E1290" s="2183"/>
      <c r="F1290" s="2183"/>
      <c r="G1290" s="2184"/>
      <c r="H1290" s="652"/>
      <c r="I1290" s="652"/>
      <c r="J1290" s="652"/>
      <c r="K1290" s="652"/>
      <c r="L1290" s="652"/>
      <c r="M1290" s="652"/>
    </row>
    <row r="1291" spans="1:13">
      <c r="A1291" s="2185" t="s">
        <v>933</v>
      </c>
      <c r="B1291" s="2186"/>
      <c r="C1291" s="2186"/>
      <c r="D1291" s="2186"/>
      <c r="E1291" s="2186"/>
      <c r="F1291" s="2186"/>
      <c r="G1291" s="2187"/>
      <c r="H1291" s="652"/>
      <c r="I1291" s="652"/>
      <c r="J1291" s="652"/>
      <c r="K1291" s="652"/>
      <c r="L1291" s="652"/>
      <c r="M1291" s="652"/>
    </row>
    <row r="1292" spans="1:13">
      <c r="A1292" s="855" t="s">
        <v>592</v>
      </c>
      <c r="B1292" s="856" t="s">
        <v>960</v>
      </c>
      <c r="C1292" s="856" t="s">
        <v>338</v>
      </c>
      <c r="D1292" s="856" t="s">
        <v>961</v>
      </c>
      <c r="E1292" s="894" t="s">
        <v>334</v>
      </c>
      <c r="F1292" s="2197" t="s">
        <v>282</v>
      </c>
      <c r="G1292" s="2198"/>
      <c r="H1292" s="652"/>
      <c r="I1292" s="652"/>
      <c r="J1292" s="652"/>
      <c r="K1292" s="652"/>
      <c r="L1292" s="652"/>
      <c r="M1292" s="652"/>
    </row>
    <row r="1293" spans="1:13">
      <c r="A1293" s="765" t="s">
        <v>962</v>
      </c>
      <c r="B1293" s="879">
        <f>24.9+44.7</f>
        <v>69.599999999999994</v>
      </c>
      <c r="C1293" s="700">
        <v>0.4</v>
      </c>
      <c r="D1293" s="895">
        <f>(3.9*2*0.4)+(1.5*0.4)</f>
        <v>3.72</v>
      </c>
      <c r="E1293" s="896">
        <f>((69.6*0.4))-D1293</f>
        <v>24.12</v>
      </c>
      <c r="F1293" s="2203"/>
      <c r="G1293" s="2204"/>
      <c r="H1293" s="652"/>
      <c r="I1293" s="652"/>
      <c r="J1293" s="652"/>
      <c r="K1293" s="652"/>
      <c r="L1293" s="652"/>
      <c r="M1293" s="652"/>
    </row>
    <row r="1294" spans="1:13" ht="15.75" thickBot="1">
      <c r="A1294" s="2157"/>
      <c r="B1294" s="2158"/>
      <c r="C1294" s="2159"/>
      <c r="D1294" s="839" t="s">
        <v>316</v>
      </c>
      <c r="E1294" s="897">
        <f>E1293</f>
        <v>24.12</v>
      </c>
      <c r="F1294" s="898"/>
      <c r="G1294" s="899"/>
      <c r="H1294" s="652"/>
      <c r="I1294" s="652"/>
      <c r="J1294" s="652"/>
      <c r="K1294" s="652"/>
      <c r="L1294" s="652"/>
      <c r="M1294" s="652"/>
    </row>
    <row r="1295" spans="1:13" ht="15.75" thickBot="1">
      <c r="A1295" s="842"/>
      <c r="B1295" s="891"/>
      <c r="C1295" s="891"/>
      <c r="D1295" s="892"/>
      <c r="E1295" s="892"/>
      <c r="F1295" s="892"/>
      <c r="G1295" s="893"/>
      <c r="H1295" s="652"/>
      <c r="I1295" s="652"/>
      <c r="J1295" s="652"/>
      <c r="K1295" s="652"/>
      <c r="L1295" s="652"/>
      <c r="M1295" s="652"/>
    </row>
    <row r="1296" spans="1:13" ht="15.75" thickBot="1">
      <c r="A1296" s="666" t="s">
        <v>963</v>
      </c>
      <c r="B1296" s="2163" t="s">
        <v>964</v>
      </c>
      <c r="C1296" s="2164"/>
      <c r="D1296" s="2164"/>
      <c r="E1296" s="2164"/>
      <c r="F1296" s="2164"/>
      <c r="G1296" s="2165"/>
      <c r="H1296" s="652"/>
      <c r="I1296" s="652"/>
      <c r="J1296" s="652"/>
      <c r="K1296" s="652"/>
      <c r="L1296" s="652"/>
      <c r="M1296" s="652"/>
    </row>
    <row r="1297" spans="1:13">
      <c r="A1297" s="2182" t="s">
        <v>279</v>
      </c>
      <c r="B1297" s="2183"/>
      <c r="C1297" s="2183"/>
      <c r="D1297" s="2183"/>
      <c r="E1297" s="2183"/>
      <c r="F1297" s="2183"/>
      <c r="G1297" s="2184"/>
      <c r="H1297" s="652"/>
      <c r="I1297" s="652"/>
      <c r="J1297" s="652"/>
      <c r="K1297" s="652"/>
      <c r="L1297" s="652"/>
      <c r="M1297" s="652"/>
    </row>
    <row r="1298" spans="1:13">
      <c r="A1298" s="2185" t="s">
        <v>933</v>
      </c>
      <c r="B1298" s="2186"/>
      <c r="C1298" s="2186"/>
      <c r="D1298" s="2186"/>
      <c r="E1298" s="2186"/>
      <c r="F1298" s="2186"/>
      <c r="G1298" s="2187"/>
      <c r="H1298" s="652"/>
      <c r="I1298" s="652"/>
      <c r="J1298" s="652"/>
      <c r="K1298" s="652"/>
      <c r="L1298" s="652"/>
      <c r="M1298" s="652"/>
    </row>
    <row r="1299" spans="1:13">
      <c r="A1299" s="855" t="s">
        <v>592</v>
      </c>
      <c r="B1299" s="856" t="s">
        <v>960</v>
      </c>
      <c r="C1299" s="856" t="s">
        <v>338</v>
      </c>
      <c r="D1299" s="856" t="s">
        <v>961</v>
      </c>
      <c r="E1299" s="894" t="s">
        <v>334</v>
      </c>
      <c r="F1299" s="2197" t="s">
        <v>282</v>
      </c>
      <c r="G1299" s="2198"/>
      <c r="H1299" s="652"/>
      <c r="I1299" s="652"/>
      <c r="J1299" s="652"/>
      <c r="K1299" s="652"/>
      <c r="L1299" s="652"/>
      <c r="M1299" s="652"/>
    </row>
    <row r="1300" spans="1:13">
      <c r="A1300" s="765" t="s">
        <v>965</v>
      </c>
      <c r="B1300" s="879">
        <f>((24.9+44.7)*2)</f>
        <v>139.19999999999999</v>
      </c>
      <c r="C1300" s="700">
        <v>0.4</v>
      </c>
      <c r="D1300" s="895">
        <f>((3.9*2*0.4)+(1.5*0.4))*2</f>
        <v>7.44</v>
      </c>
      <c r="E1300" s="896">
        <f>(B1300*C1300)-D1300</f>
        <v>48.24</v>
      </c>
      <c r="F1300" s="2203"/>
      <c r="G1300" s="2204"/>
      <c r="H1300" s="652"/>
      <c r="I1300" s="652"/>
      <c r="J1300" s="652"/>
      <c r="K1300" s="652"/>
      <c r="L1300" s="652"/>
      <c r="M1300" s="652"/>
    </row>
    <row r="1301" spans="1:13">
      <c r="A1301" s="765" t="s">
        <v>966</v>
      </c>
      <c r="B1301" s="879">
        <f>((24.9+44.7))</f>
        <v>69.599999999999994</v>
      </c>
      <c r="C1301" s="700">
        <v>0.15</v>
      </c>
      <c r="D1301" s="895"/>
      <c r="E1301" s="896">
        <f>(B1301*C1301)</f>
        <v>10.44</v>
      </c>
      <c r="F1301" s="2203"/>
      <c r="G1301" s="2204"/>
      <c r="H1301" s="652"/>
      <c r="I1301" s="652"/>
      <c r="J1301" s="652"/>
      <c r="K1301" s="652"/>
      <c r="L1301" s="652"/>
      <c r="M1301" s="652"/>
    </row>
    <row r="1302" spans="1:13" ht="15.75" thickBot="1">
      <c r="A1302" s="2157"/>
      <c r="B1302" s="2158"/>
      <c r="C1302" s="2159"/>
      <c r="D1302" s="839" t="s">
        <v>316</v>
      </c>
      <c r="E1302" s="897">
        <f>SUM(E1300:E1301)</f>
        <v>58.68</v>
      </c>
      <c r="F1302" s="898"/>
      <c r="G1302" s="899"/>
      <c r="H1302" s="652"/>
      <c r="I1302" s="652"/>
      <c r="J1302" s="652"/>
      <c r="K1302" s="652"/>
      <c r="L1302" s="652"/>
      <c r="M1302" s="652"/>
    </row>
    <row r="1303" spans="1:13" ht="15.75" thickBot="1">
      <c r="A1303" s="842"/>
      <c r="B1303" s="891"/>
      <c r="C1303" s="891"/>
      <c r="D1303" s="892"/>
      <c r="E1303" s="892"/>
      <c r="F1303" s="892"/>
      <c r="G1303" s="893"/>
      <c r="H1303" s="652"/>
      <c r="I1303" s="652"/>
      <c r="J1303" s="652"/>
      <c r="K1303" s="652"/>
      <c r="L1303" s="652"/>
      <c r="M1303" s="652"/>
    </row>
    <row r="1304" spans="1:13" ht="15.75" thickBot="1">
      <c r="A1304" s="666" t="s">
        <v>967</v>
      </c>
      <c r="B1304" s="2163" t="s">
        <v>968</v>
      </c>
      <c r="C1304" s="2164"/>
      <c r="D1304" s="2164"/>
      <c r="E1304" s="2164"/>
      <c r="F1304" s="2164"/>
      <c r="G1304" s="2165"/>
      <c r="H1304" s="652"/>
      <c r="I1304" s="652"/>
      <c r="J1304" s="652"/>
      <c r="K1304" s="652"/>
      <c r="L1304" s="652"/>
      <c r="M1304" s="652"/>
    </row>
    <row r="1305" spans="1:13">
      <c r="A1305" s="2182" t="s">
        <v>279</v>
      </c>
      <c r="B1305" s="2183"/>
      <c r="C1305" s="2183"/>
      <c r="D1305" s="2183"/>
      <c r="E1305" s="2183"/>
      <c r="F1305" s="2183"/>
      <c r="G1305" s="2184"/>
      <c r="H1305" s="652"/>
      <c r="I1305" s="652"/>
      <c r="J1305" s="652"/>
      <c r="K1305" s="652"/>
      <c r="L1305" s="652"/>
      <c r="M1305" s="652"/>
    </row>
    <row r="1306" spans="1:13">
      <c r="A1306" s="2185" t="s">
        <v>933</v>
      </c>
      <c r="B1306" s="2186"/>
      <c r="C1306" s="2186"/>
      <c r="D1306" s="2186"/>
      <c r="E1306" s="2186"/>
      <c r="F1306" s="2186"/>
      <c r="G1306" s="2187"/>
      <c r="H1306" s="652"/>
      <c r="I1306" s="652"/>
      <c r="J1306" s="652"/>
      <c r="K1306" s="652"/>
      <c r="L1306" s="652"/>
      <c r="M1306" s="652"/>
    </row>
    <row r="1307" spans="1:13">
      <c r="A1307" s="855" t="s">
        <v>592</v>
      </c>
      <c r="B1307" s="856" t="s">
        <v>960</v>
      </c>
      <c r="C1307" s="856" t="s">
        <v>338</v>
      </c>
      <c r="D1307" s="856" t="s">
        <v>961</v>
      </c>
      <c r="E1307" s="894" t="s">
        <v>334</v>
      </c>
      <c r="F1307" s="2197" t="s">
        <v>282</v>
      </c>
      <c r="G1307" s="2198"/>
      <c r="H1307" s="652"/>
      <c r="I1307" s="652"/>
      <c r="J1307" s="652"/>
      <c r="K1307" s="652"/>
      <c r="L1307" s="652"/>
      <c r="M1307" s="652"/>
    </row>
    <row r="1308" spans="1:13">
      <c r="A1308" s="765" t="s">
        <v>965</v>
      </c>
      <c r="B1308" s="879">
        <f>((24.9+44.7)*2)</f>
        <v>139.19999999999999</v>
      </c>
      <c r="C1308" s="700">
        <v>0.4</v>
      </c>
      <c r="D1308" s="895">
        <f>((3.9*2*0.4)+(1.5*0.4))*2</f>
        <v>7.44</v>
      </c>
      <c r="E1308" s="896">
        <f>(B1308*C1308)-D1308</f>
        <v>48.24</v>
      </c>
      <c r="F1308" s="2203"/>
      <c r="G1308" s="2204"/>
      <c r="H1308" s="652"/>
      <c r="I1308" s="652"/>
      <c r="J1308" s="652"/>
      <c r="K1308" s="652"/>
      <c r="L1308" s="652"/>
      <c r="M1308" s="652"/>
    </row>
    <row r="1309" spans="1:13">
      <c r="A1309" s="765" t="s">
        <v>966</v>
      </c>
      <c r="B1309" s="879">
        <f>((24.9+44.7))</f>
        <v>69.599999999999994</v>
      </c>
      <c r="C1309" s="700">
        <v>0.15</v>
      </c>
      <c r="D1309" s="895"/>
      <c r="E1309" s="896">
        <f>(B1309*C1309)</f>
        <v>10.44</v>
      </c>
      <c r="F1309" s="2203"/>
      <c r="G1309" s="2204"/>
      <c r="H1309" s="652"/>
      <c r="I1309" s="652"/>
      <c r="J1309" s="652"/>
      <c r="K1309" s="652"/>
      <c r="L1309" s="652"/>
      <c r="M1309" s="652"/>
    </row>
    <row r="1310" spans="1:13" ht="15.75" thickBot="1">
      <c r="A1310" s="2157"/>
      <c r="B1310" s="2158"/>
      <c r="C1310" s="2159"/>
      <c r="D1310" s="839" t="s">
        <v>316</v>
      </c>
      <c r="E1310" s="897">
        <f>SUM(E1308:E1309)</f>
        <v>58.68</v>
      </c>
      <c r="F1310" s="898"/>
      <c r="G1310" s="899"/>
      <c r="H1310" s="652"/>
      <c r="I1310" s="652"/>
      <c r="J1310" s="652"/>
      <c r="K1310" s="652"/>
      <c r="L1310" s="652"/>
      <c r="M1310" s="652"/>
    </row>
    <row r="1311" spans="1:13" ht="15.75" thickBot="1">
      <c r="A1311" s="842"/>
      <c r="B1311" s="891"/>
      <c r="C1311" s="891"/>
      <c r="D1311" s="892"/>
      <c r="E1311" s="892"/>
      <c r="F1311" s="892"/>
      <c r="G1311" s="893"/>
      <c r="H1311" s="652"/>
      <c r="I1311" s="652"/>
      <c r="J1311" s="652"/>
      <c r="K1311" s="652"/>
      <c r="L1311" s="652"/>
      <c r="M1311" s="652"/>
    </row>
    <row r="1312" spans="1:13" ht="15.75" thickBot="1">
      <c r="A1312" s="666" t="s">
        <v>969</v>
      </c>
      <c r="B1312" s="2163" t="s">
        <v>970</v>
      </c>
      <c r="C1312" s="2164"/>
      <c r="D1312" s="2164"/>
      <c r="E1312" s="2164"/>
      <c r="F1312" s="2164"/>
      <c r="G1312" s="2165"/>
      <c r="H1312" s="652"/>
      <c r="I1312" s="652"/>
      <c r="J1312" s="652"/>
      <c r="K1312" s="652"/>
      <c r="L1312" s="652"/>
      <c r="M1312" s="652"/>
    </row>
    <row r="1313" spans="1:13">
      <c r="A1313" s="2182" t="s">
        <v>279</v>
      </c>
      <c r="B1313" s="2183"/>
      <c r="C1313" s="2183"/>
      <c r="D1313" s="2183"/>
      <c r="E1313" s="2183"/>
      <c r="F1313" s="2183"/>
      <c r="G1313" s="2184"/>
      <c r="H1313" s="652"/>
      <c r="I1313" s="652"/>
      <c r="J1313" s="652"/>
      <c r="K1313" s="652"/>
      <c r="L1313" s="652"/>
      <c r="M1313" s="652"/>
    </row>
    <row r="1314" spans="1:13">
      <c r="A1314" s="2185" t="s">
        <v>933</v>
      </c>
      <c r="B1314" s="2186"/>
      <c r="C1314" s="2186"/>
      <c r="D1314" s="2186"/>
      <c r="E1314" s="2186"/>
      <c r="F1314" s="2186"/>
      <c r="G1314" s="2187"/>
      <c r="H1314" s="652"/>
      <c r="I1314" s="652"/>
      <c r="J1314" s="652"/>
      <c r="K1314" s="652"/>
      <c r="L1314" s="652"/>
      <c r="M1314" s="652"/>
    </row>
    <row r="1315" spans="1:13">
      <c r="A1315" s="855" t="s">
        <v>592</v>
      </c>
      <c r="B1315" s="856" t="s">
        <v>960</v>
      </c>
      <c r="C1315" s="856" t="s">
        <v>338</v>
      </c>
      <c r="D1315" s="856" t="s">
        <v>961</v>
      </c>
      <c r="E1315" s="894" t="s">
        <v>334</v>
      </c>
      <c r="F1315" s="2197" t="s">
        <v>282</v>
      </c>
      <c r="G1315" s="2198"/>
      <c r="H1315" s="652"/>
      <c r="I1315" s="652"/>
      <c r="J1315" s="652"/>
      <c r="K1315" s="652"/>
      <c r="L1315" s="652"/>
      <c r="M1315" s="652"/>
    </row>
    <row r="1316" spans="1:13">
      <c r="A1316" s="765" t="s">
        <v>965</v>
      </c>
      <c r="B1316" s="879">
        <f>((24.9+44.7)*2)</f>
        <v>139.19999999999999</v>
      </c>
      <c r="C1316" s="700">
        <v>0.4</v>
      </c>
      <c r="D1316" s="895">
        <f>((3.9*2*0.4)+(1.5*0.4))*2</f>
        <v>7.44</v>
      </c>
      <c r="E1316" s="896">
        <f>(B1316*C1316)-D1316</f>
        <v>48.24</v>
      </c>
      <c r="F1316" s="2203"/>
      <c r="G1316" s="2204"/>
      <c r="H1316" s="652"/>
      <c r="I1316" s="652"/>
      <c r="J1316" s="652"/>
      <c r="K1316" s="652"/>
      <c r="L1316" s="652"/>
      <c r="M1316" s="652"/>
    </row>
    <row r="1317" spans="1:13">
      <c r="A1317" s="765" t="s">
        <v>966</v>
      </c>
      <c r="B1317" s="879">
        <f>((24.9+44.7))</f>
        <v>69.599999999999994</v>
      </c>
      <c r="C1317" s="700">
        <v>0.15</v>
      </c>
      <c r="D1317" s="895"/>
      <c r="E1317" s="896">
        <f>(B1317*C1317)</f>
        <v>10.44</v>
      </c>
      <c r="F1317" s="2203"/>
      <c r="G1317" s="2204"/>
      <c r="H1317" s="652"/>
      <c r="I1317" s="652"/>
      <c r="J1317" s="652"/>
      <c r="K1317" s="652"/>
      <c r="L1317" s="652"/>
      <c r="M1317" s="652"/>
    </row>
    <row r="1318" spans="1:13" ht="15.75" thickBot="1">
      <c r="A1318" s="2157"/>
      <c r="B1318" s="2158"/>
      <c r="C1318" s="2159"/>
      <c r="D1318" s="839" t="s">
        <v>316</v>
      </c>
      <c r="E1318" s="897">
        <f>SUM(E1316:E1317)</f>
        <v>58.68</v>
      </c>
      <c r="F1318" s="898"/>
      <c r="G1318" s="899"/>
      <c r="H1318" s="652"/>
      <c r="I1318" s="652"/>
      <c r="J1318" s="652"/>
      <c r="K1318" s="652"/>
      <c r="L1318" s="652"/>
      <c r="M1318" s="652"/>
    </row>
    <row r="1319" spans="1:13" ht="15.75" thickBot="1">
      <c r="A1319" s="842"/>
      <c r="B1319" s="891"/>
      <c r="C1319" s="891"/>
      <c r="D1319" s="892"/>
      <c r="E1319" s="892"/>
      <c r="F1319" s="892"/>
      <c r="G1319" s="893"/>
      <c r="H1319" s="652"/>
      <c r="I1319" s="652"/>
      <c r="J1319" s="652"/>
      <c r="K1319" s="652"/>
      <c r="L1319" s="652"/>
      <c r="M1319" s="652"/>
    </row>
    <row r="1320" spans="1:13" ht="15.75" thickBot="1">
      <c r="A1320" s="666" t="s">
        <v>971</v>
      </c>
      <c r="B1320" s="2163" t="s">
        <v>972</v>
      </c>
      <c r="C1320" s="2164"/>
      <c r="D1320" s="2164"/>
      <c r="E1320" s="2164"/>
      <c r="F1320" s="2164"/>
      <c r="G1320" s="2165"/>
      <c r="H1320" s="652"/>
      <c r="I1320" s="652"/>
      <c r="J1320" s="652"/>
      <c r="K1320" s="652"/>
      <c r="L1320" s="652"/>
      <c r="M1320" s="652"/>
    </row>
    <row r="1321" spans="1:13">
      <c r="A1321" s="2182" t="s">
        <v>279</v>
      </c>
      <c r="B1321" s="2183"/>
      <c r="C1321" s="2183"/>
      <c r="D1321" s="2183"/>
      <c r="E1321" s="2183"/>
      <c r="F1321" s="2183"/>
      <c r="G1321" s="2184"/>
      <c r="H1321" s="652"/>
      <c r="I1321" s="652"/>
      <c r="J1321" s="652"/>
      <c r="K1321" s="652"/>
      <c r="L1321" s="652"/>
      <c r="M1321" s="652"/>
    </row>
    <row r="1322" spans="1:13">
      <c r="A1322" s="2185" t="s">
        <v>933</v>
      </c>
      <c r="B1322" s="2186"/>
      <c r="C1322" s="2186"/>
      <c r="D1322" s="2186"/>
      <c r="E1322" s="2186"/>
      <c r="F1322" s="2186"/>
      <c r="G1322" s="2187"/>
      <c r="H1322" s="652"/>
      <c r="I1322" s="652"/>
      <c r="J1322" s="652"/>
      <c r="K1322" s="652"/>
      <c r="L1322" s="652"/>
      <c r="M1322" s="652"/>
    </row>
    <row r="1323" spans="1:13">
      <c r="A1323" s="855" t="s">
        <v>592</v>
      </c>
      <c r="B1323" s="856" t="s">
        <v>960</v>
      </c>
      <c r="C1323" s="856" t="s">
        <v>338</v>
      </c>
      <c r="D1323" s="856" t="s">
        <v>961</v>
      </c>
      <c r="E1323" s="894" t="s">
        <v>334</v>
      </c>
      <c r="F1323" s="2197" t="s">
        <v>282</v>
      </c>
      <c r="G1323" s="2198"/>
      <c r="H1323" s="652"/>
      <c r="I1323" s="652"/>
      <c r="J1323" s="652"/>
      <c r="K1323" s="652"/>
      <c r="L1323" s="652"/>
      <c r="M1323" s="652"/>
    </row>
    <row r="1324" spans="1:13">
      <c r="A1324" s="765" t="s">
        <v>965</v>
      </c>
      <c r="B1324" s="879">
        <f>((24.9+44.7)*2)</f>
        <v>139.19999999999999</v>
      </c>
      <c r="C1324" s="700">
        <v>0.4</v>
      </c>
      <c r="D1324" s="895">
        <f>((3.9*2*0.4)+(1.5*0.4))*2</f>
        <v>7.44</v>
      </c>
      <c r="E1324" s="896">
        <f>(B1324*C1324)-D1324</f>
        <v>48.24</v>
      </c>
      <c r="F1324" s="2203"/>
      <c r="G1324" s="2204"/>
      <c r="H1324" s="652"/>
      <c r="I1324" s="652"/>
      <c r="J1324" s="652"/>
      <c r="K1324" s="652"/>
      <c r="L1324" s="652"/>
      <c r="M1324" s="652"/>
    </row>
    <row r="1325" spans="1:13">
      <c r="A1325" s="765" t="s">
        <v>966</v>
      </c>
      <c r="B1325" s="879">
        <f>((24.9+44.7))</f>
        <v>69.599999999999994</v>
      </c>
      <c r="C1325" s="700">
        <v>0.15</v>
      </c>
      <c r="D1325" s="895"/>
      <c r="E1325" s="896">
        <f>(B1325*C1325)</f>
        <v>10.44</v>
      </c>
      <c r="F1325" s="2203"/>
      <c r="G1325" s="2204"/>
      <c r="H1325" s="652"/>
      <c r="I1325" s="652"/>
      <c r="J1325" s="652"/>
      <c r="K1325" s="652"/>
      <c r="L1325" s="652"/>
      <c r="M1325" s="652"/>
    </row>
    <row r="1326" spans="1:13" ht="15.75" thickBot="1">
      <c r="A1326" s="2157"/>
      <c r="B1326" s="2158"/>
      <c r="C1326" s="2159"/>
      <c r="D1326" s="839" t="s">
        <v>316</v>
      </c>
      <c r="E1326" s="897">
        <f>SUM(E1324:E1325)</f>
        <v>58.68</v>
      </c>
      <c r="F1326" s="898"/>
      <c r="G1326" s="899"/>
      <c r="H1326" s="652"/>
      <c r="I1326" s="652"/>
      <c r="J1326" s="652"/>
      <c r="K1326" s="652"/>
      <c r="L1326" s="652"/>
      <c r="M1326" s="652"/>
    </row>
    <row r="1327" spans="1:13" ht="15.75" thickBot="1">
      <c r="A1327" s="842"/>
      <c r="B1327" s="891"/>
      <c r="C1327" s="891"/>
      <c r="D1327" s="892"/>
      <c r="E1327" s="892"/>
      <c r="F1327" s="892"/>
      <c r="G1327" s="893"/>
      <c r="H1327" s="652"/>
      <c r="I1327" s="652"/>
      <c r="J1327" s="652"/>
      <c r="K1327" s="652"/>
      <c r="L1327" s="652"/>
      <c r="M1327" s="652"/>
    </row>
    <row r="1328" spans="1:13" ht="15.75" thickBot="1">
      <c r="A1328" s="666" t="s">
        <v>973</v>
      </c>
      <c r="B1328" s="2163" t="s">
        <v>974</v>
      </c>
      <c r="C1328" s="2164"/>
      <c r="D1328" s="2164"/>
      <c r="E1328" s="2164"/>
      <c r="F1328" s="2164"/>
      <c r="G1328" s="2165"/>
      <c r="H1328" s="652"/>
      <c r="I1328" s="652"/>
      <c r="J1328" s="652"/>
      <c r="K1328" s="652"/>
      <c r="L1328" s="652"/>
      <c r="M1328" s="652"/>
    </row>
    <row r="1329" spans="1:13">
      <c r="A1329" s="2182" t="s">
        <v>279</v>
      </c>
      <c r="B1329" s="2183"/>
      <c r="C1329" s="2183"/>
      <c r="D1329" s="2183"/>
      <c r="E1329" s="2183"/>
      <c r="F1329" s="2183"/>
      <c r="G1329" s="2184"/>
      <c r="H1329" s="652"/>
      <c r="I1329" s="652"/>
      <c r="J1329" s="652"/>
      <c r="K1329" s="652"/>
      <c r="L1329" s="652"/>
      <c r="M1329" s="652"/>
    </row>
    <row r="1330" spans="1:13">
      <c r="A1330" s="2185" t="s">
        <v>933</v>
      </c>
      <c r="B1330" s="2186"/>
      <c r="C1330" s="2186"/>
      <c r="D1330" s="2186"/>
      <c r="E1330" s="2186"/>
      <c r="F1330" s="2186"/>
      <c r="G1330" s="2187"/>
      <c r="H1330" s="652"/>
      <c r="I1330" s="652"/>
      <c r="J1330" s="652"/>
      <c r="K1330" s="652"/>
      <c r="L1330" s="652"/>
      <c r="M1330" s="652"/>
    </row>
    <row r="1331" spans="1:13">
      <c r="A1331" s="855" t="s">
        <v>592</v>
      </c>
      <c r="B1331" s="856" t="s">
        <v>960</v>
      </c>
      <c r="C1331" s="856" t="s">
        <v>338</v>
      </c>
      <c r="D1331" s="856" t="s">
        <v>961</v>
      </c>
      <c r="E1331" s="894" t="s">
        <v>334</v>
      </c>
      <c r="F1331" s="2197" t="s">
        <v>282</v>
      </c>
      <c r="G1331" s="2198"/>
      <c r="H1331" s="652"/>
      <c r="I1331" s="652"/>
      <c r="J1331" s="652"/>
      <c r="K1331" s="652"/>
      <c r="L1331" s="652"/>
      <c r="M1331" s="652"/>
    </row>
    <row r="1332" spans="1:13">
      <c r="A1332" s="765" t="s">
        <v>965</v>
      </c>
      <c r="B1332" s="879">
        <f>((24.9+44.7)*2)</f>
        <v>139.19999999999999</v>
      </c>
      <c r="C1332" s="700">
        <v>0.4</v>
      </c>
      <c r="D1332" s="895">
        <f>((3.9*2*0.4)+(1.5*0.4))*2</f>
        <v>7.44</v>
      </c>
      <c r="E1332" s="896">
        <f>(B1332*C1332)-D1332</f>
        <v>48.24</v>
      </c>
      <c r="F1332" s="2203"/>
      <c r="G1332" s="2204"/>
      <c r="H1332" s="652"/>
      <c r="I1332" s="652"/>
      <c r="J1332" s="652"/>
      <c r="K1332" s="652"/>
      <c r="L1332" s="652"/>
      <c r="M1332" s="652"/>
    </row>
    <row r="1333" spans="1:13">
      <c r="A1333" s="765" t="s">
        <v>966</v>
      </c>
      <c r="B1333" s="879">
        <f>((24.9+44.7))</f>
        <v>69.599999999999994</v>
      </c>
      <c r="C1333" s="700">
        <v>0.15</v>
      </c>
      <c r="D1333" s="895"/>
      <c r="E1333" s="896">
        <f>(B1333*C1333)</f>
        <v>10.44</v>
      </c>
      <c r="F1333" s="2203"/>
      <c r="G1333" s="2204"/>
      <c r="H1333" s="652"/>
      <c r="I1333" s="652"/>
      <c r="J1333" s="652"/>
      <c r="K1333" s="652"/>
      <c r="L1333" s="652"/>
      <c r="M1333" s="652"/>
    </row>
    <row r="1334" spans="1:13" ht="15.75" thickBot="1">
      <c r="A1334" s="2157"/>
      <c r="B1334" s="2158"/>
      <c r="C1334" s="2159"/>
      <c r="D1334" s="839" t="s">
        <v>316</v>
      </c>
      <c r="E1334" s="897">
        <f>SUM(E1332:E1333)</f>
        <v>58.68</v>
      </c>
      <c r="F1334" s="898"/>
      <c r="G1334" s="899"/>
      <c r="H1334" s="652"/>
      <c r="I1334" s="652"/>
      <c r="J1334" s="652"/>
      <c r="K1334" s="652"/>
      <c r="L1334" s="652"/>
      <c r="M1334" s="652"/>
    </row>
    <row r="1335" spans="1:13" ht="15.75" thickBot="1">
      <c r="A1335" s="842"/>
      <c r="B1335" s="891"/>
      <c r="C1335" s="891"/>
      <c r="D1335" s="892"/>
      <c r="E1335" s="892"/>
      <c r="F1335" s="892"/>
      <c r="G1335" s="893"/>
      <c r="H1335" s="652"/>
      <c r="I1335" s="652"/>
      <c r="J1335" s="652"/>
      <c r="K1335" s="652"/>
      <c r="L1335" s="652"/>
      <c r="M1335" s="652"/>
    </row>
    <row r="1336" spans="1:13" ht="15.75" thickBot="1">
      <c r="A1336" s="666" t="s">
        <v>975</v>
      </c>
      <c r="B1336" s="2163" t="s">
        <v>976</v>
      </c>
      <c r="C1336" s="2164"/>
      <c r="D1336" s="2164"/>
      <c r="E1336" s="2164"/>
      <c r="F1336" s="2164"/>
      <c r="G1336" s="2165"/>
      <c r="H1336" s="652"/>
      <c r="I1336" s="652"/>
      <c r="J1336" s="652"/>
      <c r="K1336" s="652"/>
      <c r="L1336" s="652"/>
      <c r="M1336" s="652"/>
    </row>
    <row r="1337" spans="1:13">
      <c r="A1337" s="2182" t="s">
        <v>279</v>
      </c>
      <c r="B1337" s="2183"/>
      <c r="C1337" s="2183"/>
      <c r="D1337" s="2183"/>
      <c r="E1337" s="2183"/>
      <c r="F1337" s="2183"/>
      <c r="G1337" s="2184"/>
      <c r="H1337" s="652"/>
      <c r="I1337" s="652"/>
      <c r="J1337" s="652"/>
      <c r="K1337" s="652"/>
      <c r="L1337" s="652"/>
      <c r="M1337" s="652"/>
    </row>
    <row r="1338" spans="1:13">
      <c r="A1338" s="2185" t="s">
        <v>933</v>
      </c>
      <c r="B1338" s="2186"/>
      <c r="C1338" s="2186"/>
      <c r="D1338" s="2186"/>
      <c r="E1338" s="2186"/>
      <c r="F1338" s="2186"/>
      <c r="G1338" s="2187"/>
      <c r="H1338" s="652"/>
      <c r="I1338" s="652"/>
      <c r="J1338" s="652"/>
      <c r="K1338" s="652"/>
      <c r="L1338" s="652"/>
      <c r="M1338" s="652"/>
    </row>
    <row r="1339" spans="1:13">
      <c r="A1339" s="855" t="s">
        <v>592</v>
      </c>
      <c r="B1339" s="856" t="s">
        <v>960</v>
      </c>
      <c r="C1339" s="856" t="s">
        <v>338</v>
      </c>
      <c r="D1339" s="856" t="s">
        <v>961</v>
      </c>
      <c r="E1339" s="894" t="s">
        <v>334</v>
      </c>
      <c r="F1339" s="2197" t="s">
        <v>282</v>
      </c>
      <c r="G1339" s="2198"/>
      <c r="H1339" s="652"/>
      <c r="I1339" s="652"/>
      <c r="J1339" s="652"/>
      <c r="K1339" s="652"/>
      <c r="L1339" s="652"/>
      <c r="M1339" s="652"/>
    </row>
    <row r="1340" spans="1:13">
      <c r="A1340" s="765" t="s">
        <v>962</v>
      </c>
      <c r="B1340" s="879">
        <f>24.9+44.7</f>
        <v>69.599999999999994</v>
      </c>
      <c r="C1340" s="700">
        <v>2.0299999999999998</v>
      </c>
      <c r="D1340" s="895">
        <v>9.3000000000000007</v>
      </c>
      <c r="E1340" s="1120">
        <f>((69.6*2.03))-D1340</f>
        <v>131.98799999999997</v>
      </c>
      <c r="F1340" s="2203"/>
      <c r="G1340" s="2204"/>
      <c r="H1340" s="652"/>
      <c r="I1340" s="652">
        <f>24.9+44.7</f>
        <v>69.599999999999994</v>
      </c>
      <c r="J1340" s="652">
        <f>I1340*2.03</f>
        <v>141.28799999999998</v>
      </c>
      <c r="K1340" s="652">
        <f>J1340-D1340</f>
        <v>131.98799999999997</v>
      </c>
      <c r="L1340" s="652">
        <f>K1340-122.41</f>
        <v>9.5779999999999745</v>
      </c>
      <c r="M1340" s="652"/>
    </row>
    <row r="1341" spans="1:13" ht="15.75" thickBot="1">
      <c r="A1341" s="2157"/>
      <c r="B1341" s="2158"/>
      <c r="C1341" s="2159"/>
      <c r="D1341" s="839" t="s">
        <v>316</v>
      </c>
      <c r="E1341" s="1119">
        <f>E1340</f>
        <v>131.98799999999997</v>
      </c>
      <c r="F1341" s="900"/>
      <c r="G1341" s="901"/>
      <c r="H1341" s="652"/>
      <c r="I1341" s="652">
        <v>122.41</v>
      </c>
      <c r="J1341" s="652"/>
      <c r="K1341" s="748"/>
      <c r="L1341" s="652"/>
      <c r="M1341" s="652"/>
    </row>
    <row r="1342" spans="1:13" ht="15.75" thickBot="1">
      <c r="A1342" s="842"/>
      <c r="B1342" s="891"/>
      <c r="C1342" s="891"/>
      <c r="D1342" s="892"/>
      <c r="E1342" s="892"/>
      <c r="F1342" s="892"/>
      <c r="G1342" s="893"/>
      <c r="H1342" s="652"/>
      <c r="I1342" s="652"/>
      <c r="J1342" s="652"/>
      <c r="K1342" s="652"/>
      <c r="L1342" s="652"/>
      <c r="M1342" s="652"/>
    </row>
    <row r="1343" spans="1:13" ht="15.75" thickBot="1">
      <c r="A1343" s="666" t="s">
        <v>977</v>
      </c>
      <c r="B1343" s="2163" t="s">
        <v>978</v>
      </c>
      <c r="C1343" s="2164"/>
      <c r="D1343" s="2164"/>
      <c r="E1343" s="2164"/>
      <c r="F1343" s="2164"/>
      <c r="G1343" s="2165"/>
      <c r="H1343" s="652"/>
      <c r="I1343" s="652"/>
      <c r="J1343" s="652"/>
      <c r="K1343" s="652"/>
      <c r="L1343" s="652"/>
      <c r="M1343" s="652"/>
    </row>
    <row r="1344" spans="1:13">
      <c r="A1344" s="2225" t="s">
        <v>279</v>
      </c>
      <c r="B1344" s="2226"/>
      <c r="C1344" s="2226"/>
      <c r="D1344" s="2226"/>
      <c r="E1344" s="2226"/>
      <c r="F1344" s="2226"/>
      <c r="G1344" s="2227"/>
      <c r="H1344" s="652"/>
      <c r="I1344" s="652"/>
      <c r="J1344" s="652"/>
      <c r="K1344" s="652"/>
      <c r="L1344" s="652"/>
      <c r="M1344" s="652"/>
    </row>
    <row r="1345" spans="1:13">
      <c r="A1345" s="2185" t="s">
        <v>933</v>
      </c>
      <c r="B1345" s="2186"/>
      <c r="C1345" s="2186"/>
      <c r="D1345" s="2186"/>
      <c r="E1345" s="2186"/>
      <c r="F1345" s="2186"/>
      <c r="G1345" s="2187"/>
      <c r="H1345" s="652"/>
      <c r="I1345" s="652"/>
      <c r="J1345" s="652"/>
      <c r="K1345" s="652"/>
      <c r="L1345" s="652"/>
      <c r="M1345" s="652"/>
    </row>
    <row r="1346" spans="1:13">
      <c r="A1346" s="2217" t="s">
        <v>284</v>
      </c>
      <c r="B1346" s="2218"/>
      <c r="C1346" s="882" t="s">
        <v>593</v>
      </c>
      <c r="D1346" s="882" t="s">
        <v>339</v>
      </c>
      <c r="E1346" s="2208" t="s">
        <v>282</v>
      </c>
      <c r="F1346" s="2209"/>
      <c r="G1346" s="2210"/>
      <c r="H1346" s="652"/>
      <c r="I1346" s="652"/>
      <c r="J1346" s="652"/>
      <c r="K1346" s="652"/>
      <c r="L1346" s="652"/>
      <c r="M1346" s="652"/>
    </row>
    <row r="1347" spans="1:13">
      <c r="A1347" s="2152" t="s">
        <v>591</v>
      </c>
      <c r="B1347" s="2153"/>
      <c r="C1347" s="779">
        <v>334.18</v>
      </c>
      <c r="D1347" s="902">
        <v>334.18</v>
      </c>
      <c r="E1347" s="2219"/>
      <c r="F1347" s="2220"/>
      <c r="G1347" s="2221"/>
      <c r="H1347" s="652"/>
      <c r="I1347" s="652"/>
      <c r="J1347" s="652"/>
      <c r="K1347" s="652"/>
      <c r="L1347" s="652"/>
      <c r="M1347" s="652"/>
    </row>
    <row r="1348" spans="1:13" ht="15.75" thickBot="1">
      <c r="A1348" s="2157" t="s">
        <v>316</v>
      </c>
      <c r="B1348" s="2158"/>
      <c r="C1348" s="2159"/>
      <c r="D1348" s="883">
        <f>SUM(D1347)</f>
        <v>334.18</v>
      </c>
      <c r="E1348" s="2222"/>
      <c r="F1348" s="2223"/>
      <c r="G1348" s="2224"/>
      <c r="H1348" s="652"/>
      <c r="I1348" s="652"/>
      <c r="J1348" s="652"/>
      <c r="K1348" s="652"/>
      <c r="L1348" s="652"/>
      <c r="M1348" s="652"/>
    </row>
    <row r="1349" spans="1:13" ht="15.75" thickBot="1">
      <c r="A1349" s="842"/>
      <c r="B1349" s="891"/>
      <c r="C1349" s="891"/>
      <c r="D1349" s="892"/>
      <c r="E1349" s="892"/>
      <c r="F1349" s="892"/>
      <c r="G1349" s="893"/>
      <c r="H1349" s="652"/>
      <c r="I1349" s="652"/>
      <c r="J1349" s="652"/>
      <c r="K1349" s="652"/>
      <c r="L1349" s="652"/>
      <c r="M1349" s="652"/>
    </row>
    <row r="1350" spans="1:13" ht="15.75" thickBot="1">
      <c r="A1350" s="666" t="s">
        <v>979</v>
      </c>
      <c r="B1350" s="2163" t="s">
        <v>980</v>
      </c>
      <c r="C1350" s="2164"/>
      <c r="D1350" s="2164"/>
      <c r="E1350" s="2164"/>
      <c r="F1350" s="2164"/>
      <c r="G1350" s="2165"/>
      <c r="H1350" s="652"/>
      <c r="I1350" s="652"/>
      <c r="J1350" s="652"/>
      <c r="K1350" s="652"/>
      <c r="L1350" s="652"/>
      <c r="M1350" s="652"/>
    </row>
    <row r="1351" spans="1:13">
      <c r="A1351" s="2205" t="s">
        <v>279</v>
      </c>
      <c r="B1351" s="2206"/>
      <c r="C1351" s="2206"/>
      <c r="D1351" s="2206"/>
      <c r="E1351" s="2206"/>
      <c r="F1351" s="2206"/>
      <c r="G1351" s="2207"/>
      <c r="H1351" s="652"/>
      <c r="I1351" s="652"/>
      <c r="J1351" s="652"/>
      <c r="K1351" s="652"/>
      <c r="L1351" s="652"/>
      <c r="M1351" s="652"/>
    </row>
    <row r="1352" spans="1:13">
      <c r="A1352" s="2185" t="s">
        <v>933</v>
      </c>
      <c r="B1352" s="2186"/>
      <c r="C1352" s="2186"/>
      <c r="D1352" s="2186"/>
      <c r="E1352" s="2186"/>
      <c r="F1352" s="2186"/>
      <c r="G1352" s="2187"/>
      <c r="H1352" s="652"/>
      <c r="I1352" s="652"/>
      <c r="J1352" s="652"/>
      <c r="K1352" s="652"/>
      <c r="L1352" s="652"/>
      <c r="M1352" s="652"/>
    </row>
    <row r="1353" spans="1:13">
      <c r="A1353" s="2217" t="s">
        <v>284</v>
      </c>
      <c r="B1353" s="2218"/>
      <c r="C1353" s="882" t="s">
        <v>369</v>
      </c>
      <c r="D1353" s="882" t="s">
        <v>339</v>
      </c>
      <c r="E1353" s="2208" t="s">
        <v>282</v>
      </c>
      <c r="F1353" s="2209"/>
      <c r="G1353" s="2210"/>
      <c r="H1353" s="652"/>
      <c r="I1353" s="652"/>
      <c r="J1353" s="652"/>
      <c r="K1353" s="652"/>
      <c r="L1353" s="652"/>
      <c r="M1353" s="652"/>
    </row>
    <row r="1354" spans="1:13">
      <c r="A1354" s="2152" t="s">
        <v>591</v>
      </c>
      <c r="B1354" s="2153"/>
      <c r="C1354" s="779">
        <v>2.89</v>
      </c>
      <c r="D1354" s="902">
        <f>2.89*2</f>
        <v>5.78</v>
      </c>
      <c r="E1354" s="2219" t="s">
        <v>981</v>
      </c>
      <c r="F1354" s="2220"/>
      <c r="G1354" s="2221"/>
      <c r="H1354" s="652"/>
      <c r="I1354" s="652"/>
      <c r="J1354" s="652"/>
      <c r="K1354" s="652"/>
      <c r="L1354" s="652"/>
      <c r="M1354" s="652"/>
    </row>
    <row r="1355" spans="1:13" ht="15.75" thickBot="1">
      <c r="A1355" s="2157" t="s">
        <v>316</v>
      </c>
      <c r="B1355" s="2158"/>
      <c r="C1355" s="2159"/>
      <c r="D1355" s="883">
        <f>SUM(D1354)</f>
        <v>5.78</v>
      </c>
      <c r="E1355" s="2222"/>
      <c r="F1355" s="2223"/>
      <c r="G1355" s="2224"/>
      <c r="H1355" s="652"/>
      <c r="I1355" s="652"/>
      <c r="J1355" s="652"/>
      <c r="K1355" s="652"/>
      <c r="L1355" s="652"/>
      <c r="M1355" s="652"/>
    </row>
    <row r="1356" spans="1:13" ht="15.75" thickBot="1">
      <c r="A1356" s="653"/>
      <c r="B1356" s="654"/>
      <c r="C1356" s="654"/>
      <c r="D1356" s="654"/>
      <c r="E1356" s="654"/>
      <c r="F1356" s="654"/>
      <c r="G1356" s="655"/>
      <c r="H1356" s="652"/>
      <c r="I1356" s="652"/>
      <c r="J1356" s="652"/>
      <c r="K1356" s="652"/>
      <c r="L1356" s="652"/>
      <c r="M1356" s="652"/>
    </row>
    <row r="1357" spans="1:13" ht="15.75" thickBot="1">
      <c r="A1357" s="666" t="s">
        <v>982</v>
      </c>
      <c r="B1357" s="2163" t="s">
        <v>983</v>
      </c>
      <c r="C1357" s="2164"/>
      <c r="D1357" s="2164"/>
      <c r="E1357" s="2164"/>
      <c r="F1357" s="2164"/>
      <c r="G1357" s="2165"/>
      <c r="H1357" s="652"/>
      <c r="I1357" s="652"/>
      <c r="J1357" s="652"/>
      <c r="K1357" s="652"/>
      <c r="L1357" s="652"/>
      <c r="M1357" s="652"/>
    </row>
    <row r="1358" spans="1:13">
      <c r="A1358" s="2205" t="s">
        <v>279</v>
      </c>
      <c r="B1358" s="2206"/>
      <c r="C1358" s="2206"/>
      <c r="D1358" s="2206"/>
      <c r="E1358" s="2206"/>
      <c r="F1358" s="2206"/>
      <c r="G1358" s="2207"/>
      <c r="H1358" s="652"/>
      <c r="I1358" s="652"/>
      <c r="J1358" s="652"/>
      <c r="K1358" s="652"/>
      <c r="L1358" s="652"/>
      <c r="M1358" s="652"/>
    </row>
    <row r="1359" spans="1:13">
      <c r="A1359" s="2185" t="s">
        <v>933</v>
      </c>
      <c r="B1359" s="2186"/>
      <c r="C1359" s="2186"/>
      <c r="D1359" s="2186"/>
      <c r="E1359" s="2186"/>
      <c r="F1359" s="2186"/>
      <c r="G1359" s="2187"/>
      <c r="H1359" s="652"/>
      <c r="I1359" s="652"/>
      <c r="J1359" s="652"/>
      <c r="K1359" s="652"/>
      <c r="L1359" s="652"/>
      <c r="M1359" s="652"/>
    </row>
    <row r="1360" spans="1:13">
      <c r="A1360" s="2217" t="s">
        <v>284</v>
      </c>
      <c r="B1360" s="2218"/>
      <c r="C1360" s="882" t="s">
        <v>984</v>
      </c>
      <c r="D1360" s="882" t="s">
        <v>354</v>
      </c>
      <c r="E1360" s="2208" t="s">
        <v>282</v>
      </c>
      <c r="F1360" s="2209"/>
      <c r="G1360" s="2210"/>
      <c r="H1360" s="652"/>
      <c r="I1360" s="652"/>
      <c r="J1360" s="652"/>
      <c r="K1360" s="652"/>
      <c r="L1360" s="652"/>
      <c r="M1360" s="652"/>
    </row>
    <row r="1361" spans="1:13" ht="25.5" customHeight="1">
      <c r="A1361" s="2152" t="s">
        <v>985</v>
      </c>
      <c r="B1361" s="2153"/>
      <c r="C1361" s="779">
        <f>7.7+(4.9*5)+20.8+(5*5)+(5.9*3)+((0.31+1.2+(1.41*6)+0.7))*2</f>
        <v>117.03999999999999</v>
      </c>
      <c r="D1361" s="902">
        <f>C1361</f>
        <v>117.03999999999999</v>
      </c>
      <c r="E1361" s="2219"/>
      <c r="F1361" s="2220"/>
      <c r="G1361" s="2221"/>
      <c r="H1361" s="652"/>
      <c r="I1361" s="652"/>
      <c r="J1361" s="652"/>
      <c r="K1361" s="652"/>
      <c r="L1361" s="652"/>
      <c r="M1361" s="652"/>
    </row>
    <row r="1362" spans="1:13" ht="15.75" thickBot="1">
      <c r="A1362" s="2157" t="s">
        <v>316</v>
      </c>
      <c r="B1362" s="2158"/>
      <c r="C1362" s="2159"/>
      <c r="D1362" s="883">
        <f>SUM(D1361)</f>
        <v>117.03999999999999</v>
      </c>
      <c r="E1362" s="2222"/>
      <c r="F1362" s="2223"/>
      <c r="G1362" s="2224"/>
      <c r="H1362" s="652"/>
      <c r="I1362" s="652"/>
      <c r="J1362" s="652"/>
      <c r="K1362" s="652"/>
      <c r="L1362" s="652"/>
      <c r="M1362" s="652"/>
    </row>
    <row r="1363" spans="1:13" ht="15.75" thickBot="1">
      <c r="A1363" s="653"/>
      <c r="B1363" s="654"/>
      <c r="C1363" s="654"/>
      <c r="D1363" s="654"/>
      <c r="E1363" s="654"/>
      <c r="F1363" s="654"/>
      <c r="G1363" s="655"/>
      <c r="H1363" s="652"/>
      <c r="I1363" s="652"/>
      <c r="J1363" s="652"/>
      <c r="K1363" s="652"/>
      <c r="L1363" s="652"/>
      <c r="M1363" s="652"/>
    </row>
    <row r="1364" spans="1:13" ht="15.75" thickBot="1">
      <c r="A1364" s="666" t="s">
        <v>986</v>
      </c>
      <c r="B1364" s="2163" t="s">
        <v>987</v>
      </c>
      <c r="C1364" s="2164"/>
      <c r="D1364" s="2164"/>
      <c r="E1364" s="2164"/>
      <c r="F1364" s="2164"/>
      <c r="G1364" s="2165"/>
      <c r="H1364" s="652"/>
      <c r="I1364" s="652"/>
      <c r="J1364" s="652"/>
      <c r="K1364" s="652"/>
      <c r="L1364" s="652"/>
      <c r="M1364" s="652"/>
    </row>
    <row r="1365" spans="1:13">
      <c r="A1365" s="2205" t="s">
        <v>279</v>
      </c>
      <c r="B1365" s="2206"/>
      <c r="C1365" s="2206"/>
      <c r="D1365" s="2206"/>
      <c r="E1365" s="2206"/>
      <c r="F1365" s="2206"/>
      <c r="G1365" s="2207"/>
      <c r="H1365" s="652"/>
      <c r="I1365" s="652"/>
      <c r="J1365" s="652"/>
      <c r="K1365" s="652"/>
      <c r="L1365" s="652"/>
      <c r="M1365" s="652"/>
    </row>
    <row r="1366" spans="1:13">
      <c r="A1366" s="2169" t="s">
        <v>988</v>
      </c>
      <c r="B1366" s="2170"/>
      <c r="C1366" s="2170"/>
      <c r="D1366" s="2170"/>
      <c r="E1366" s="2170"/>
      <c r="F1366" s="2170"/>
      <c r="G1366" s="2171"/>
      <c r="H1366" s="652"/>
      <c r="I1366" s="652"/>
      <c r="J1366" s="652"/>
      <c r="K1366" s="652"/>
      <c r="L1366" s="652"/>
      <c r="M1366" s="652"/>
    </row>
    <row r="1367" spans="1:13">
      <c r="A1367" s="887" t="s">
        <v>284</v>
      </c>
      <c r="B1367" s="882" t="s">
        <v>989</v>
      </c>
      <c r="C1367" s="882" t="s">
        <v>369</v>
      </c>
      <c r="D1367" s="882" t="s">
        <v>990</v>
      </c>
      <c r="E1367" s="2208" t="s">
        <v>282</v>
      </c>
      <c r="F1367" s="2209"/>
      <c r="G1367" s="2210"/>
      <c r="H1367" s="652"/>
      <c r="I1367" s="652"/>
      <c r="J1367" s="652"/>
      <c r="K1367" s="652"/>
      <c r="L1367" s="652"/>
      <c r="M1367" s="652"/>
    </row>
    <row r="1368" spans="1:13" ht="24">
      <c r="A1368" s="765" t="s">
        <v>991</v>
      </c>
      <c r="B1368" s="903">
        <v>248</v>
      </c>
      <c r="C1368" s="685">
        <f>0.25*0.25</f>
        <v>6.25E-2</v>
      </c>
      <c r="D1368" s="791">
        <f>ROUNDUP(C1368*B1368,2)</f>
        <v>15.5</v>
      </c>
      <c r="E1368" s="2211" t="s">
        <v>992</v>
      </c>
      <c r="F1368" s="2212"/>
      <c r="G1368" s="2213"/>
      <c r="H1368" s="652"/>
      <c r="I1368" s="652"/>
      <c r="J1368" s="652"/>
      <c r="K1368" s="652"/>
      <c r="L1368" s="652"/>
      <c r="M1368" s="652"/>
    </row>
    <row r="1369" spans="1:13">
      <c r="A1369" s="765" t="s">
        <v>993</v>
      </c>
      <c r="B1369" s="903">
        <v>63</v>
      </c>
      <c r="C1369" s="685">
        <f>0.25*0.25</f>
        <v>6.25E-2</v>
      </c>
      <c r="D1369" s="791">
        <f>ROUNDUP(C1369*B1369,2)</f>
        <v>3.94</v>
      </c>
      <c r="E1369" s="2214"/>
      <c r="F1369" s="2215"/>
      <c r="G1369" s="2216"/>
      <c r="H1369" s="652"/>
      <c r="I1369" s="652"/>
      <c r="J1369" s="652"/>
      <c r="K1369" s="652"/>
      <c r="L1369" s="652"/>
      <c r="M1369" s="652"/>
    </row>
    <row r="1370" spans="1:13" ht="15.75" thickBot="1">
      <c r="A1370" s="904" t="s">
        <v>316</v>
      </c>
      <c r="B1370" s="905">
        <f>ROUNDUP(B1369+B1368,2)</f>
        <v>311</v>
      </c>
      <c r="C1370" s="906"/>
      <c r="D1370" s="883">
        <f>ROUNDUP(D1369+D1368,2)</f>
        <v>19.440000000000001</v>
      </c>
      <c r="E1370" s="2160"/>
      <c r="F1370" s="2161"/>
      <c r="G1370" s="2162"/>
      <c r="H1370" s="652"/>
      <c r="I1370" s="652">
        <f>311*0.25</f>
        <v>77.75</v>
      </c>
      <c r="J1370" s="652" t="s">
        <v>1441</v>
      </c>
      <c r="K1370" s="652"/>
      <c r="L1370" s="652"/>
      <c r="M1370" s="652"/>
    </row>
    <row r="1371" spans="1:13" ht="15.75" thickBot="1">
      <c r="A1371" s="653"/>
      <c r="B1371" s="654"/>
      <c r="C1371" s="654"/>
      <c r="D1371" s="654"/>
      <c r="E1371" s="654"/>
      <c r="F1371" s="654"/>
      <c r="G1371" s="655"/>
      <c r="H1371" s="652"/>
      <c r="I1371" s="652"/>
      <c r="J1371" s="652"/>
      <c r="K1371" s="652"/>
      <c r="L1371" s="652"/>
      <c r="M1371" s="652"/>
    </row>
    <row r="1372" spans="1:13" ht="15.75" thickBot="1">
      <c r="A1372" s="666" t="s">
        <v>994</v>
      </c>
      <c r="B1372" s="2163" t="s">
        <v>2088</v>
      </c>
      <c r="C1372" s="2164"/>
      <c r="D1372" s="2164"/>
      <c r="E1372" s="2164"/>
      <c r="F1372" s="2164"/>
      <c r="G1372" s="2165"/>
      <c r="H1372" s="652"/>
      <c r="I1372" s="652"/>
      <c r="J1372" s="652"/>
      <c r="K1372" s="652"/>
      <c r="L1372" s="652"/>
      <c r="M1372" s="652"/>
    </row>
    <row r="1373" spans="1:13">
      <c r="A1373" s="2182" t="s">
        <v>279</v>
      </c>
      <c r="B1373" s="2183"/>
      <c r="C1373" s="2183"/>
      <c r="D1373" s="2183"/>
      <c r="E1373" s="2183"/>
      <c r="F1373" s="2183"/>
      <c r="G1373" s="2184"/>
      <c r="H1373" s="652"/>
      <c r="I1373" s="652"/>
      <c r="J1373" s="652"/>
      <c r="K1373" s="652"/>
      <c r="L1373" s="652"/>
      <c r="M1373" s="652"/>
    </row>
    <row r="1374" spans="1:13">
      <c r="A1374" s="2185" t="s">
        <v>933</v>
      </c>
      <c r="B1374" s="2186"/>
      <c r="C1374" s="2186"/>
      <c r="D1374" s="2186"/>
      <c r="E1374" s="2186"/>
      <c r="F1374" s="2186"/>
      <c r="G1374" s="2187"/>
      <c r="H1374" s="652"/>
      <c r="I1374" s="652"/>
      <c r="J1374" s="652"/>
      <c r="K1374" s="652"/>
      <c r="L1374" s="652"/>
      <c r="M1374" s="652"/>
    </row>
    <row r="1375" spans="1:13">
      <c r="A1375" s="855" t="s">
        <v>592</v>
      </c>
      <c r="B1375" s="856" t="s">
        <v>960</v>
      </c>
      <c r="C1375" s="856" t="s">
        <v>338</v>
      </c>
      <c r="D1375" s="856" t="s">
        <v>961</v>
      </c>
      <c r="E1375" s="894" t="s">
        <v>334</v>
      </c>
      <c r="F1375" s="2197" t="s">
        <v>282</v>
      </c>
      <c r="G1375" s="2198"/>
      <c r="H1375" s="652"/>
      <c r="I1375" s="652"/>
      <c r="J1375" s="652"/>
      <c r="K1375" s="652"/>
      <c r="L1375" s="652"/>
      <c r="M1375" s="652"/>
    </row>
    <row r="1376" spans="1:13">
      <c r="A1376" s="765" t="s">
        <v>2089</v>
      </c>
      <c r="B1376" s="879">
        <f>73.76+38.45</f>
        <v>112.21000000000001</v>
      </c>
      <c r="C1376" s="1037">
        <v>2.5</v>
      </c>
      <c r="D1376" s="895"/>
      <c r="E1376" s="896">
        <f>B1376*C1376</f>
        <v>280.52500000000003</v>
      </c>
      <c r="F1376" s="2203"/>
      <c r="G1376" s="2204"/>
      <c r="H1376" s="652"/>
      <c r="I1376" s="652"/>
      <c r="J1376" s="652"/>
      <c r="K1376" s="652"/>
      <c r="L1376" s="652"/>
      <c r="M1376" s="652"/>
    </row>
    <row r="1377" spans="1:13" ht="15.75" thickBot="1">
      <c r="A1377" s="2157"/>
      <c r="B1377" s="2158"/>
      <c r="C1377" s="2159"/>
      <c r="D1377" s="839" t="s">
        <v>316</v>
      </c>
      <c r="E1377" s="897">
        <f>E1376</f>
        <v>280.52500000000003</v>
      </c>
      <c r="F1377" s="900"/>
      <c r="G1377" s="901"/>
      <c r="H1377" s="652"/>
      <c r="I1377" s="652"/>
      <c r="J1377" s="652"/>
      <c r="K1377" s="652"/>
      <c r="L1377" s="652"/>
      <c r="M1377" s="652"/>
    </row>
    <row r="1378" spans="1:13" ht="15.75" thickBot="1">
      <c r="A1378" s="653"/>
      <c r="B1378" s="654"/>
      <c r="C1378" s="654"/>
      <c r="D1378" s="654"/>
      <c r="E1378" s="654"/>
      <c r="F1378" s="654"/>
      <c r="G1378" s="655"/>
      <c r="H1378" s="652"/>
      <c r="I1378" s="652"/>
      <c r="J1378" s="652"/>
      <c r="K1378" s="652"/>
      <c r="L1378" s="652"/>
      <c r="M1378" s="652"/>
    </row>
    <row r="1379" spans="1:13" ht="15.75" thickBot="1">
      <c r="A1379" s="666" t="s">
        <v>995</v>
      </c>
      <c r="B1379" s="2163" t="s">
        <v>996</v>
      </c>
      <c r="C1379" s="2164"/>
      <c r="D1379" s="2164"/>
      <c r="E1379" s="2164"/>
      <c r="F1379" s="2164"/>
      <c r="G1379" s="2165"/>
      <c r="H1379" s="652"/>
      <c r="I1379" s="652"/>
      <c r="J1379" s="652"/>
      <c r="K1379" s="652"/>
      <c r="L1379" s="652"/>
      <c r="M1379" s="652"/>
    </row>
    <row r="1380" spans="1:13">
      <c r="A1380" s="2182" t="s">
        <v>279</v>
      </c>
      <c r="B1380" s="2183"/>
      <c r="C1380" s="2183"/>
      <c r="D1380" s="2183"/>
      <c r="E1380" s="2183"/>
      <c r="F1380" s="2183"/>
      <c r="G1380" s="2184"/>
      <c r="H1380" s="652"/>
      <c r="I1380" s="652"/>
      <c r="J1380" s="652"/>
      <c r="K1380" s="652"/>
      <c r="L1380" s="652"/>
      <c r="M1380" s="652"/>
    </row>
    <row r="1381" spans="1:13">
      <c r="A1381" s="2185" t="s">
        <v>933</v>
      </c>
      <c r="B1381" s="2186"/>
      <c r="C1381" s="2186"/>
      <c r="D1381" s="2186"/>
      <c r="E1381" s="2186"/>
      <c r="F1381" s="2186"/>
      <c r="G1381" s="2187"/>
      <c r="H1381" s="652"/>
      <c r="I1381" s="652"/>
      <c r="J1381" s="652"/>
      <c r="K1381" s="652"/>
      <c r="L1381" s="652"/>
      <c r="M1381" s="652"/>
    </row>
    <row r="1382" spans="1:13">
      <c r="A1382" s="855" t="s">
        <v>592</v>
      </c>
      <c r="B1382" s="856" t="s">
        <v>960</v>
      </c>
      <c r="C1382" s="856" t="s">
        <v>338</v>
      </c>
      <c r="D1382" s="856" t="s">
        <v>961</v>
      </c>
      <c r="E1382" s="894" t="s">
        <v>334</v>
      </c>
      <c r="F1382" s="2197" t="s">
        <v>282</v>
      </c>
      <c r="G1382" s="2198"/>
      <c r="H1382" s="652"/>
      <c r="I1382" s="652"/>
      <c r="J1382" s="652"/>
      <c r="K1382" s="652"/>
      <c r="L1382" s="652"/>
      <c r="M1382" s="652"/>
    </row>
    <row r="1383" spans="1:13">
      <c r="A1383" s="765" t="s">
        <v>997</v>
      </c>
      <c r="B1383" s="879">
        <f>((73.76+38.25)*2)</f>
        <v>224.02</v>
      </c>
      <c r="C1383" s="700">
        <v>2.5</v>
      </c>
      <c r="D1383" s="895"/>
      <c r="E1383" s="896">
        <f>B1383*C1383</f>
        <v>560.05000000000007</v>
      </c>
      <c r="F1383" s="2203"/>
      <c r="G1383" s="2204"/>
      <c r="H1383" s="652"/>
      <c r="I1383" s="652"/>
      <c r="J1383" s="652"/>
      <c r="K1383" s="652"/>
      <c r="L1383" s="652"/>
      <c r="M1383" s="652"/>
    </row>
    <row r="1384" spans="1:13">
      <c r="A1384" s="765" t="s">
        <v>998</v>
      </c>
      <c r="B1384" s="879">
        <f>(73.76+38.25)</f>
        <v>112.01</v>
      </c>
      <c r="C1384" s="700">
        <v>0.15</v>
      </c>
      <c r="D1384" s="895"/>
      <c r="E1384" s="896">
        <f>B1384*C1384</f>
        <v>16.801500000000001</v>
      </c>
      <c r="F1384" s="664"/>
      <c r="G1384" s="665"/>
      <c r="H1384" s="652"/>
      <c r="I1384" s="652"/>
      <c r="J1384" s="652"/>
      <c r="K1384" s="652"/>
      <c r="L1384" s="652"/>
      <c r="M1384" s="652"/>
    </row>
    <row r="1385" spans="1:13" ht="15.75" thickBot="1">
      <c r="A1385" s="2157"/>
      <c r="B1385" s="2158"/>
      <c r="C1385" s="2159"/>
      <c r="D1385" s="839" t="s">
        <v>316</v>
      </c>
      <c r="E1385" s="897">
        <f>SUM(E1383:E1384)</f>
        <v>576.8515000000001</v>
      </c>
      <c r="F1385" s="898"/>
      <c r="G1385" s="899"/>
      <c r="H1385" s="652"/>
      <c r="I1385" s="652"/>
      <c r="J1385" s="652"/>
      <c r="K1385" s="652"/>
      <c r="L1385" s="652"/>
      <c r="M1385" s="652"/>
    </row>
    <row r="1386" spans="1:13" ht="15.75" thickBot="1">
      <c r="A1386" s="653"/>
      <c r="B1386" s="654"/>
      <c r="C1386" s="654"/>
      <c r="D1386" s="654"/>
      <c r="E1386" s="654"/>
      <c r="F1386" s="654"/>
      <c r="G1386" s="655"/>
      <c r="H1386" s="652"/>
      <c r="I1386" s="652"/>
      <c r="J1386" s="652"/>
      <c r="K1386" s="652"/>
      <c r="L1386" s="652"/>
      <c r="M1386" s="652"/>
    </row>
    <row r="1387" spans="1:13" ht="15.75" thickBot="1">
      <c r="A1387" s="666" t="s">
        <v>999</v>
      </c>
      <c r="B1387" s="2163" t="s">
        <v>2025</v>
      </c>
      <c r="C1387" s="2164"/>
      <c r="D1387" s="2164"/>
      <c r="E1387" s="2164"/>
      <c r="F1387" s="2164"/>
      <c r="G1387" s="2165"/>
      <c r="H1387" s="652"/>
      <c r="I1387" s="924"/>
      <c r="J1387" s="652"/>
      <c r="K1387" s="652"/>
      <c r="L1387" s="652"/>
      <c r="M1387" s="652"/>
    </row>
    <row r="1388" spans="1:13">
      <c r="A1388" s="2182" t="s">
        <v>279</v>
      </c>
      <c r="B1388" s="2183"/>
      <c r="C1388" s="2183"/>
      <c r="D1388" s="2183"/>
      <c r="E1388" s="2183"/>
      <c r="F1388" s="2183"/>
      <c r="G1388" s="2184"/>
      <c r="H1388" s="652"/>
      <c r="I1388" s="652"/>
      <c r="J1388" s="652"/>
      <c r="K1388" s="652"/>
      <c r="L1388" s="652"/>
      <c r="M1388" s="652"/>
    </row>
    <row r="1389" spans="1:13">
      <c r="A1389" s="2185" t="s">
        <v>933</v>
      </c>
      <c r="B1389" s="2186"/>
      <c r="C1389" s="2186"/>
      <c r="D1389" s="2186"/>
      <c r="E1389" s="2186"/>
      <c r="F1389" s="2186"/>
      <c r="G1389" s="2187"/>
      <c r="H1389" s="652"/>
      <c r="I1389" s="652"/>
      <c r="J1389" s="652"/>
      <c r="K1389" s="652"/>
      <c r="L1389" s="652"/>
      <c r="M1389" s="652"/>
    </row>
    <row r="1390" spans="1:13">
      <c r="A1390" s="855" t="s">
        <v>592</v>
      </c>
      <c r="B1390" s="856" t="s">
        <v>960</v>
      </c>
      <c r="C1390" s="856" t="s">
        <v>338</v>
      </c>
      <c r="D1390" s="856" t="s">
        <v>961</v>
      </c>
      <c r="E1390" s="894" t="s">
        <v>334</v>
      </c>
      <c r="F1390" s="2197" t="s">
        <v>282</v>
      </c>
      <c r="G1390" s="2198"/>
      <c r="H1390" s="652"/>
      <c r="I1390" s="652"/>
      <c r="J1390" s="652"/>
      <c r="K1390" s="652"/>
      <c r="L1390" s="652"/>
      <c r="M1390" s="652"/>
    </row>
    <row r="1391" spans="1:13">
      <c r="A1391" s="765" t="s">
        <v>997</v>
      </c>
      <c r="B1391" s="879">
        <f>((73.76+38.25)*2)</f>
        <v>224.02</v>
      </c>
      <c r="C1391" s="700">
        <v>2.5</v>
      </c>
      <c r="D1391" s="895"/>
      <c r="E1391" s="896">
        <f>B1391*C1391</f>
        <v>560.05000000000007</v>
      </c>
      <c r="F1391" s="2203"/>
      <c r="G1391" s="2204"/>
      <c r="H1391" s="652"/>
      <c r="I1391" s="652"/>
      <c r="J1391" s="652"/>
      <c r="K1391" s="652"/>
      <c r="L1391" s="652"/>
      <c r="M1391" s="652"/>
    </row>
    <row r="1392" spans="1:13">
      <c r="A1392" s="765" t="s">
        <v>998</v>
      </c>
      <c r="B1392" s="879">
        <f>(73.76+38.25)</f>
        <v>112.01</v>
      </c>
      <c r="C1392" s="700">
        <v>0.15</v>
      </c>
      <c r="D1392" s="895"/>
      <c r="E1392" s="896">
        <f>B1392*C1392</f>
        <v>16.801500000000001</v>
      </c>
      <c r="F1392" s="664"/>
      <c r="G1392" s="665"/>
      <c r="H1392" s="652"/>
      <c r="I1392" s="652"/>
      <c r="J1392" s="652"/>
      <c r="K1392" s="652"/>
      <c r="L1392" s="652"/>
      <c r="M1392" s="652"/>
    </row>
    <row r="1393" spans="1:13" ht="15.75" thickBot="1">
      <c r="A1393" s="2157"/>
      <c r="B1393" s="2158"/>
      <c r="C1393" s="2159"/>
      <c r="D1393" s="839" t="s">
        <v>316</v>
      </c>
      <c r="E1393" s="897">
        <f>SUM(E1391:E1392)</f>
        <v>576.8515000000001</v>
      </c>
      <c r="F1393" s="898"/>
      <c r="G1393" s="899"/>
      <c r="H1393" s="652"/>
      <c r="I1393" s="652"/>
      <c r="J1393" s="652"/>
      <c r="K1393" s="652"/>
      <c r="L1393" s="652"/>
      <c r="M1393" s="652"/>
    </row>
    <row r="1394" spans="1:13" ht="15.75" thickBot="1">
      <c r="A1394" s="653"/>
      <c r="B1394" s="654"/>
      <c r="C1394" s="654"/>
      <c r="D1394" s="654"/>
      <c r="E1394" s="654"/>
      <c r="F1394" s="654"/>
      <c r="G1394" s="655"/>
      <c r="H1394" s="652"/>
      <c r="I1394" s="652"/>
      <c r="J1394" s="652"/>
      <c r="K1394" s="652"/>
      <c r="L1394" s="652"/>
      <c r="M1394" s="652"/>
    </row>
    <row r="1395" spans="1:13" ht="15.75" thickBot="1">
      <c r="A1395" s="666" t="s">
        <v>1000</v>
      </c>
      <c r="B1395" s="2163" t="s">
        <v>1002</v>
      </c>
      <c r="C1395" s="2164"/>
      <c r="D1395" s="2164"/>
      <c r="E1395" s="2164"/>
      <c r="F1395" s="2164"/>
      <c r="G1395" s="2165"/>
      <c r="H1395" s="652"/>
      <c r="I1395" s="652"/>
      <c r="J1395" s="652"/>
      <c r="K1395" s="652"/>
      <c r="L1395" s="652"/>
      <c r="M1395" s="652"/>
    </row>
    <row r="1396" spans="1:13">
      <c r="A1396" s="2182" t="s">
        <v>279</v>
      </c>
      <c r="B1396" s="2183"/>
      <c r="C1396" s="2183"/>
      <c r="D1396" s="2183"/>
      <c r="E1396" s="2183"/>
      <c r="F1396" s="2183"/>
      <c r="G1396" s="2184"/>
      <c r="H1396" s="652"/>
      <c r="I1396" s="652"/>
      <c r="J1396" s="652"/>
      <c r="K1396" s="652"/>
      <c r="L1396" s="652"/>
      <c r="M1396" s="652"/>
    </row>
    <row r="1397" spans="1:13">
      <c r="A1397" s="2185" t="s">
        <v>933</v>
      </c>
      <c r="B1397" s="2186"/>
      <c r="C1397" s="2186"/>
      <c r="D1397" s="2186"/>
      <c r="E1397" s="2186"/>
      <c r="F1397" s="2186"/>
      <c r="G1397" s="2187"/>
      <c r="H1397" s="652"/>
      <c r="I1397" s="652"/>
      <c r="J1397" s="652"/>
      <c r="K1397" s="652"/>
      <c r="L1397" s="652"/>
      <c r="M1397" s="652"/>
    </row>
    <row r="1398" spans="1:13">
      <c r="A1398" s="855" t="s">
        <v>592</v>
      </c>
      <c r="B1398" s="856" t="s">
        <v>960</v>
      </c>
      <c r="C1398" s="856" t="s">
        <v>338</v>
      </c>
      <c r="D1398" s="856" t="s">
        <v>961</v>
      </c>
      <c r="E1398" s="894" t="s">
        <v>334</v>
      </c>
      <c r="F1398" s="2197" t="s">
        <v>282</v>
      </c>
      <c r="G1398" s="2198"/>
      <c r="H1398" s="652"/>
      <c r="I1398" s="652"/>
      <c r="J1398" s="652"/>
      <c r="K1398" s="652"/>
      <c r="L1398" s="652"/>
      <c r="M1398" s="652"/>
    </row>
    <row r="1399" spans="1:13">
      <c r="A1399" s="765" t="s">
        <v>997</v>
      </c>
      <c r="B1399" s="879">
        <f>((73.76+38.25)*2)</f>
        <v>224.02</v>
      </c>
      <c r="C1399" s="700">
        <v>2.5</v>
      </c>
      <c r="D1399" s="895"/>
      <c r="E1399" s="896">
        <f>B1399*C1399</f>
        <v>560.05000000000007</v>
      </c>
      <c r="F1399" s="2203"/>
      <c r="G1399" s="2204"/>
      <c r="H1399" s="652"/>
      <c r="I1399" s="652"/>
      <c r="J1399" s="652"/>
      <c r="K1399" s="652"/>
      <c r="L1399" s="652"/>
      <c r="M1399" s="652"/>
    </row>
    <row r="1400" spans="1:13">
      <c r="A1400" s="765" t="s">
        <v>998</v>
      </c>
      <c r="B1400" s="879">
        <f>(73.76+38.25)</f>
        <v>112.01</v>
      </c>
      <c r="C1400" s="700">
        <v>0.15</v>
      </c>
      <c r="D1400" s="895"/>
      <c r="E1400" s="896">
        <f>B1400*C1400</f>
        <v>16.801500000000001</v>
      </c>
      <c r="F1400" s="664"/>
      <c r="G1400" s="665"/>
      <c r="H1400" s="652"/>
      <c r="I1400" s="652"/>
      <c r="J1400" s="652"/>
      <c r="K1400" s="652"/>
      <c r="L1400" s="652"/>
      <c r="M1400" s="652"/>
    </row>
    <row r="1401" spans="1:13" ht="15.75" thickBot="1">
      <c r="A1401" s="2157"/>
      <c r="B1401" s="2158"/>
      <c r="C1401" s="2159"/>
      <c r="D1401" s="839" t="s">
        <v>316</v>
      </c>
      <c r="E1401" s="897">
        <f>SUM(E1399:E1400)</f>
        <v>576.8515000000001</v>
      </c>
      <c r="F1401" s="898"/>
      <c r="G1401" s="899"/>
      <c r="H1401" s="652"/>
      <c r="I1401" s="652"/>
      <c r="J1401" s="652"/>
      <c r="K1401" s="652"/>
      <c r="L1401" s="652"/>
      <c r="M1401" s="652"/>
    </row>
    <row r="1402" spans="1:13" ht="15.75" thickBot="1">
      <c r="A1402" s="653"/>
      <c r="B1402" s="654"/>
      <c r="C1402" s="654"/>
      <c r="D1402" s="654"/>
      <c r="E1402" s="654"/>
      <c r="F1402" s="654"/>
      <c r="G1402" s="655"/>
      <c r="H1402" s="652"/>
      <c r="I1402" s="652"/>
      <c r="J1402" s="652"/>
      <c r="K1402" s="652"/>
      <c r="L1402" s="652"/>
      <c r="M1402" s="652"/>
    </row>
    <row r="1403" spans="1:13" ht="15.75" thickBot="1">
      <c r="A1403" s="666" t="s">
        <v>1001</v>
      </c>
      <c r="B1403" s="2163" t="s">
        <v>1003</v>
      </c>
      <c r="C1403" s="2164"/>
      <c r="D1403" s="2164"/>
      <c r="E1403" s="2164"/>
      <c r="F1403" s="2164"/>
      <c r="G1403" s="2165"/>
      <c r="H1403" s="652"/>
      <c r="I1403" s="652"/>
      <c r="J1403" s="652"/>
      <c r="K1403" s="652"/>
      <c r="L1403" s="652"/>
      <c r="M1403" s="652"/>
    </row>
    <row r="1404" spans="1:13">
      <c r="A1404" s="2182" t="s">
        <v>279</v>
      </c>
      <c r="B1404" s="2183"/>
      <c r="C1404" s="2183"/>
      <c r="D1404" s="2183"/>
      <c r="E1404" s="2183"/>
      <c r="F1404" s="2183"/>
      <c r="G1404" s="2184"/>
      <c r="H1404" s="652"/>
      <c r="I1404" s="652"/>
      <c r="J1404" s="652"/>
      <c r="K1404" s="652"/>
      <c r="L1404" s="652"/>
      <c r="M1404" s="652"/>
    </row>
    <row r="1405" spans="1:13">
      <c r="A1405" s="2185" t="s">
        <v>933</v>
      </c>
      <c r="B1405" s="2186"/>
      <c r="C1405" s="2186"/>
      <c r="D1405" s="2186"/>
      <c r="E1405" s="2186"/>
      <c r="F1405" s="2186"/>
      <c r="G1405" s="2187"/>
      <c r="H1405" s="652"/>
      <c r="I1405" s="652"/>
      <c r="J1405" s="652"/>
      <c r="K1405" s="652"/>
      <c r="L1405" s="652"/>
      <c r="M1405" s="652"/>
    </row>
    <row r="1406" spans="1:13">
      <c r="A1406" s="855" t="s">
        <v>592</v>
      </c>
      <c r="B1406" s="856" t="s">
        <v>960</v>
      </c>
      <c r="C1406" s="856" t="s">
        <v>338</v>
      </c>
      <c r="D1406" s="856" t="s">
        <v>961</v>
      </c>
      <c r="E1406" s="894" t="s">
        <v>334</v>
      </c>
      <c r="F1406" s="2197" t="s">
        <v>282</v>
      </c>
      <c r="G1406" s="2198"/>
      <c r="H1406" s="652"/>
      <c r="I1406" s="652"/>
      <c r="J1406" s="652"/>
      <c r="K1406" s="652"/>
      <c r="L1406" s="652"/>
      <c r="M1406" s="652"/>
    </row>
    <row r="1407" spans="1:13">
      <c r="A1407" s="765" t="s">
        <v>997</v>
      </c>
      <c r="B1407" s="879">
        <f>((73.76+38.25)*2)</f>
        <v>224.02</v>
      </c>
      <c r="C1407" s="700">
        <v>2.5</v>
      </c>
      <c r="D1407" s="895"/>
      <c r="E1407" s="896">
        <f>B1407*C1407</f>
        <v>560.05000000000007</v>
      </c>
      <c r="F1407" s="2203"/>
      <c r="G1407" s="2204"/>
      <c r="H1407" s="652"/>
      <c r="I1407" s="652"/>
      <c r="J1407" s="652"/>
      <c r="K1407" s="652"/>
      <c r="L1407" s="652"/>
      <c r="M1407" s="652"/>
    </row>
    <row r="1408" spans="1:13">
      <c r="A1408" s="765" t="s">
        <v>998</v>
      </c>
      <c r="B1408" s="879">
        <f>(73.76+38.25)</f>
        <v>112.01</v>
      </c>
      <c r="C1408" s="700">
        <v>0.15</v>
      </c>
      <c r="D1408" s="895"/>
      <c r="E1408" s="896">
        <f>B1408*C1408</f>
        <v>16.801500000000001</v>
      </c>
      <c r="F1408" s="664"/>
      <c r="G1408" s="665"/>
      <c r="H1408" s="652"/>
      <c r="I1408" s="652"/>
      <c r="J1408" s="652"/>
      <c r="K1408" s="652"/>
      <c r="L1408" s="652"/>
      <c r="M1408" s="652"/>
    </row>
    <row r="1409" spans="1:13" ht="15.75" thickBot="1">
      <c r="A1409" s="2157"/>
      <c r="B1409" s="2158"/>
      <c r="C1409" s="2159"/>
      <c r="D1409" s="839" t="s">
        <v>316</v>
      </c>
      <c r="E1409" s="897">
        <f>SUM(E1407:E1408)</f>
        <v>576.8515000000001</v>
      </c>
      <c r="F1409" s="898"/>
      <c r="G1409" s="899"/>
      <c r="H1409" s="652"/>
      <c r="I1409" s="652"/>
      <c r="J1409" s="652"/>
      <c r="K1409" s="652"/>
      <c r="L1409" s="652"/>
      <c r="M1409" s="652"/>
    </row>
    <row r="1410" spans="1:13" ht="15.75" thickBot="1">
      <c r="A1410" s="653"/>
      <c r="B1410" s="654"/>
      <c r="C1410" s="654"/>
      <c r="D1410" s="654"/>
      <c r="E1410" s="654"/>
      <c r="F1410" s="654"/>
      <c r="G1410" s="655"/>
      <c r="H1410" s="652"/>
      <c r="I1410" s="652"/>
      <c r="J1410" s="652"/>
      <c r="K1410" s="652"/>
      <c r="L1410" s="652"/>
      <c r="M1410" s="652"/>
    </row>
    <row r="1411" spans="1:13" ht="15.75" thickBot="1">
      <c r="A1411" s="666" t="s">
        <v>1004</v>
      </c>
      <c r="B1411" s="2163" t="s">
        <v>1005</v>
      </c>
      <c r="C1411" s="2164"/>
      <c r="D1411" s="2164"/>
      <c r="E1411" s="2164"/>
      <c r="F1411" s="2164"/>
      <c r="G1411" s="2165"/>
      <c r="H1411" s="652"/>
      <c r="I1411" s="652"/>
      <c r="J1411" s="652"/>
      <c r="K1411" s="652"/>
      <c r="L1411" s="652"/>
      <c r="M1411" s="652"/>
    </row>
    <row r="1412" spans="1:13">
      <c r="A1412" s="2182" t="s">
        <v>279</v>
      </c>
      <c r="B1412" s="2183"/>
      <c r="C1412" s="2183"/>
      <c r="D1412" s="2183"/>
      <c r="E1412" s="2183"/>
      <c r="F1412" s="2183"/>
      <c r="G1412" s="2184"/>
      <c r="H1412" s="652"/>
      <c r="I1412" s="652"/>
      <c r="J1412" s="652"/>
      <c r="K1412" s="652"/>
      <c r="L1412" s="652"/>
      <c r="M1412" s="652"/>
    </row>
    <row r="1413" spans="1:13">
      <c r="A1413" s="2169" t="s">
        <v>1006</v>
      </c>
      <c r="B1413" s="2170"/>
      <c r="C1413" s="2170"/>
      <c r="D1413" s="2170"/>
      <c r="E1413" s="2170"/>
      <c r="F1413" s="2170"/>
      <c r="G1413" s="2171"/>
      <c r="H1413" s="652"/>
      <c r="I1413" s="652"/>
      <c r="J1413" s="652"/>
      <c r="K1413" s="652"/>
      <c r="L1413" s="652"/>
      <c r="M1413" s="652"/>
    </row>
    <row r="1414" spans="1:13">
      <c r="A1414" s="855" t="s">
        <v>592</v>
      </c>
      <c r="B1414" s="856" t="s">
        <v>960</v>
      </c>
      <c r="C1414" s="856" t="s">
        <v>338</v>
      </c>
      <c r="D1414" s="856" t="s">
        <v>961</v>
      </c>
      <c r="E1414" s="894" t="s">
        <v>334</v>
      </c>
      <c r="F1414" s="2197" t="s">
        <v>282</v>
      </c>
      <c r="G1414" s="2198"/>
      <c r="H1414" s="652"/>
      <c r="I1414" s="652"/>
      <c r="J1414" s="652"/>
      <c r="K1414" s="652"/>
      <c r="L1414" s="652"/>
      <c r="M1414" s="652"/>
    </row>
    <row r="1415" spans="1:13">
      <c r="A1415" s="765" t="s">
        <v>1007</v>
      </c>
      <c r="B1415" s="879">
        <f>4.23+5.33</f>
        <v>9.56</v>
      </c>
      <c r="C1415" s="700">
        <v>3.02</v>
      </c>
      <c r="D1415" s="895"/>
      <c r="E1415" s="896">
        <f>B1415*C1415</f>
        <v>28.871200000000002</v>
      </c>
      <c r="F1415" s="2199" t="s">
        <v>1008</v>
      </c>
      <c r="G1415" s="2200"/>
      <c r="H1415" s="652"/>
      <c r="I1415" s="652"/>
      <c r="J1415" s="652"/>
      <c r="K1415" s="652"/>
      <c r="L1415" s="652"/>
      <c r="M1415" s="652"/>
    </row>
    <row r="1416" spans="1:13" ht="15.75" thickBot="1">
      <c r="A1416" s="2157"/>
      <c r="B1416" s="2158"/>
      <c r="C1416" s="2159"/>
      <c r="D1416" s="839" t="s">
        <v>316</v>
      </c>
      <c r="E1416" s="897">
        <f>SUM(E1415:E1415)</f>
        <v>28.871200000000002</v>
      </c>
      <c r="F1416" s="2201"/>
      <c r="G1416" s="2202"/>
      <c r="H1416" s="652"/>
      <c r="I1416" s="652"/>
      <c r="J1416" s="652"/>
      <c r="K1416" s="652"/>
      <c r="L1416" s="652"/>
      <c r="M1416" s="652"/>
    </row>
    <row r="1417" spans="1:13" ht="15.75" thickBot="1">
      <c r="A1417" s="653"/>
      <c r="B1417" s="654"/>
      <c r="C1417" s="654"/>
      <c r="D1417" s="654"/>
      <c r="E1417" s="654"/>
      <c r="F1417" s="654"/>
      <c r="G1417" s="655"/>
      <c r="H1417" s="652"/>
      <c r="I1417" s="652"/>
      <c r="J1417" s="652"/>
      <c r="K1417" s="652"/>
      <c r="L1417" s="652"/>
      <c r="M1417" s="652"/>
    </row>
    <row r="1418" spans="1:13" ht="15.75" thickBot="1">
      <c r="A1418" s="666" t="s">
        <v>1009</v>
      </c>
      <c r="B1418" s="2163" t="s">
        <v>1010</v>
      </c>
      <c r="C1418" s="2164"/>
      <c r="D1418" s="2164"/>
      <c r="E1418" s="2164"/>
      <c r="F1418" s="2164"/>
      <c r="G1418" s="2165"/>
      <c r="H1418" s="652"/>
      <c r="I1418" s="652"/>
      <c r="J1418" s="652"/>
      <c r="K1418" s="652"/>
      <c r="L1418" s="652"/>
      <c r="M1418" s="652"/>
    </row>
    <row r="1419" spans="1:13">
      <c r="A1419" s="2182" t="s">
        <v>279</v>
      </c>
      <c r="B1419" s="2183"/>
      <c r="C1419" s="2183"/>
      <c r="D1419" s="2183"/>
      <c r="E1419" s="2183"/>
      <c r="F1419" s="2183"/>
      <c r="G1419" s="2184"/>
      <c r="H1419" s="652"/>
      <c r="I1419" s="652"/>
      <c r="J1419" s="652"/>
      <c r="K1419" s="652"/>
      <c r="L1419" s="652"/>
      <c r="M1419" s="652"/>
    </row>
    <row r="1420" spans="1:13">
      <c r="A1420" s="2185" t="s">
        <v>933</v>
      </c>
      <c r="B1420" s="2186"/>
      <c r="C1420" s="2186"/>
      <c r="D1420" s="2186"/>
      <c r="E1420" s="2186"/>
      <c r="F1420" s="2186"/>
      <c r="G1420" s="2187"/>
      <c r="H1420" s="652"/>
      <c r="I1420" s="652"/>
      <c r="J1420" s="652"/>
      <c r="K1420" s="652"/>
      <c r="L1420" s="652"/>
      <c r="M1420" s="652"/>
    </row>
    <row r="1421" spans="1:13">
      <c r="A1421" s="855" t="s">
        <v>1011</v>
      </c>
      <c r="B1421" s="856" t="s">
        <v>989</v>
      </c>
      <c r="C1421" s="2188" t="s">
        <v>282</v>
      </c>
      <c r="D1421" s="2189"/>
      <c r="E1421" s="2189"/>
      <c r="F1421" s="2189"/>
      <c r="G1421" s="2190"/>
      <c r="H1421" s="652"/>
      <c r="I1421" s="652"/>
      <c r="J1421" s="652"/>
      <c r="K1421" s="652"/>
      <c r="L1421" s="652"/>
      <c r="M1421" s="652"/>
    </row>
    <row r="1422" spans="1:13">
      <c r="A1422" s="907">
        <v>40</v>
      </c>
      <c r="B1422" s="908">
        <v>4</v>
      </c>
      <c r="C1422" s="2191"/>
      <c r="D1422" s="2192"/>
      <c r="E1422" s="2192"/>
      <c r="F1422" s="2192"/>
      <c r="G1422" s="2193"/>
      <c r="H1422" s="652"/>
      <c r="I1422" s="652"/>
      <c r="J1422" s="652"/>
      <c r="K1422" s="652"/>
      <c r="L1422" s="652"/>
      <c r="M1422" s="652"/>
    </row>
    <row r="1423" spans="1:13">
      <c r="A1423" s="765">
        <v>20</v>
      </c>
      <c r="B1423" s="909">
        <v>46</v>
      </c>
      <c r="C1423" s="2194"/>
      <c r="D1423" s="2195"/>
      <c r="E1423" s="2195"/>
      <c r="F1423" s="2195"/>
      <c r="G1423" s="2196"/>
      <c r="H1423" s="652"/>
      <c r="I1423" s="652"/>
      <c r="J1423" s="652"/>
      <c r="K1423" s="652"/>
      <c r="L1423" s="652"/>
      <c r="M1423" s="652"/>
    </row>
    <row r="1424" spans="1:13" ht="15.75" thickBot="1">
      <c r="A1424" s="910"/>
      <c r="B1424" s="844"/>
      <c r="C1424" s="911"/>
      <c r="D1424" s="911"/>
      <c r="E1424" s="911"/>
      <c r="F1424" s="911"/>
      <c r="G1424" s="912"/>
      <c r="H1424" s="652"/>
      <c r="I1424" s="652"/>
      <c r="J1424" s="652"/>
      <c r="K1424" s="652"/>
      <c r="L1424" s="652"/>
      <c r="M1424" s="652"/>
    </row>
    <row r="1425" spans="1:13" ht="15.75" thickBot="1">
      <c r="A1425" s="653"/>
      <c r="B1425" s="654"/>
      <c r="C1425" s="654"/>
      <c r="D1425" s="654"/>
      <c r="E1425" s="654"/>
      <c r="F1425" s="654"/>
      <c r="G1425" s="655"/>
      <c r="H1425" s="652"/>
      <c r="I1425" s="652"/>
      <c r="J1425" s="652"/>
      <c r="K1425" s="652"/>
      <c r="L1425" s="652"/>
      <c r="M1425" s="652"/>
    </row>
    <row r="1426" spans="1:13" ht="15.75" thickBot="1">
      <c r="A1426" s="666">
        <v>22</v>
      </c>
      <c r="B1426" s="2163" t="s">
        <v>372</v>
      </c>
      <c r="C1426" s="2164"/>
      <c r="D1426" s="2164"/>
      <c r="E1426" s="2164"/>
      <c r="F1426" s="2164"/>
      <c r="G1426" s="2165"/>
      <c r="H1426" s="652"/>
      <c r="I1426" s="652"/>
      <c r="J1426" s="652"/>
      <c r="K1426" s="652"/>
      <c r="L1426" s="652"/>
      <c r="M1426" s="652"/>
    </row>
    <row r="1427" spans="1:13" ht="15.75" thickBot="1">
      <c r="A1427" s="666" t="s">
        <v>1012</v>
      </c>
      <c r="B1427" s="913" t="s">
        <v>1013</v>
      </c>
      <c r="C1427" s="914"/>
      <c r="D1427" s="914"/>
      <c r="E1427" s="914"/>
      <c r="F1427" s="914"/>
      <c r="G1427" s="915"/>
      <c r="H1427" s="652"/>
      <c r="I1427" s="652"/>
      <c r="J1427" s="652"/>
      <c r="K1427" s="652"/>
      <c r="L1427" s="652"/>
      <c r="M1427" s="652"/>
    </row>
    <row r="1428" spans="1:13">
      <c r="A1428" s="2166" t="s">
        <v>279</v>
      </c>
      <c r="B1428" s="2167"/>
      <c r="C1428" s="2167"/>
      <c r="D1428" s="2167"/>
      <c r="E1428" s="2167"/>
      <c r="F1428" s="2167"/>
      <c r="G1428" s="2168"/>
      <c r="H1428" s="652"/>
      <c r="I1428" s="652"/>
      <c r="J1428" s="652"/>
      <c r="K1428" s="652"/>
      <c r="L1428" s="652"/>
      <c r="M1428" s="652"/>
    </row>
    <row r="1429" spans="1:13">
      <c r="A1429" s="2169" t="s">
        <v>373</v>
      </c>
      <c r="B1429" s="2170"/>
      <c r="C1429" s="2170"/>
      <c r="D1429" s="2170"/>
      <c r="E1429" s="2170"/>
      <c r="F1429" s="2170"/>
      <c r="G1429" s="2171"/>
      <c r="H1429" s="652"/>
      <c r="I1429" s="652"/>
      <c r="J1429" s="652"/>
      <c r="K1429" s="652"/>
      <c r="L1429" s="652"/>
      <c r="M1429" s="652"/>
    </row>
    <row r="1430" spans="1:13">
      <c r="A1430" s="2172" t="s">
        <v>367</v>
      </c>
      <c r="B1430" s="2173"/>
      <c r="C1430" s="682" t="s">
        <v>281</v>
      </c>
      <c r="D1430" s="682" t="s">
        <v>281</v>
      </c>
      <c r="E1430" s="2174" t="s">
        <v>282</v>
      </c>
      <c r="F1430" s="2175"/>
      <c r="G1430" s="2176"/>
      <c r="H1430" s="652"/>
      <c r="I1430" s="652"/>
      <c r="J1430" s="652"/>
      <c r="K1430" s="652"/>
      <c r="L1430" s="652"/>
      <c r="M1430" s="652"/>
    </row>
    <row r="1431" spans="1:13" ht="26.25" customHeight="1">
      <c r="A1431" s="2177" t="s">
        <v>2091</v>
      </c>
      <c r="B1431" s="2178"/>
      <c r="C1431" s="1039" t="s">
        <v>794</v>
      </c>
      <c r="D1431" s="718">
        <v>246.05</v>
      </c>
      <c r="E1431" s="2179"/>
      <c r="F1431" s="2180"/>
      <c r="G1431" s="2181"/>
      <c r="H1431" s="652"/>
      <c r="I1431" s="652"/>
      <c r="J1431" s="652"/>
      <c r="K1431" s="652"/>
      <c r="L1431" s="652"/>
      <c r="M1431" s="652"/>
    </row>
    <row r="1432" spans="1:13" ht="26.25" customHeight="1">
      <c r="A1432" s="2177" t="s">
        <v>2092</v>
      </c>
      <c r="B1432" s="2178"/>
      <c r="C1432" s="1039" t="s">
        <v>796</v>
      </c>
      <c r="D1432" s="718">
        <v>98.67</v>
      </c>
      <c r="E1432" s="2179"/>
      <c r="F1432" s="2180"/>
      <c r="G1432" s="2181"/>
      <c r="H1432" s="652"/>
      <c r="I1432" s="652"/>
      <c r="J1432" s="652"/>
      <c r="K1432" s="652"/>
      <c r="L1432" s="652"/>
      <c r="M1432" s="652"/>
    </row>
    <row r="1433" spans="1:13" ht="15.75" thickBot="1">
      <c r="A1433" s="2157" t="s">
        <v>363</v>
      </c>
      <c r="B1433" s="2158"/>
      <c r="C1433" s="2159"/>
      <c r="D1433" s="676">
        <f>SUM(D1431:D1432)</f>
        <v>344.72</v>
      </c>
      <c r="E1433" s="2160"/>
      <c r="F1433" s="2161"/>
      <c r="G1433" s="2162"/>
      <c r="H1433" s="652"/>
      <c r="I1433" s="652"/>
      <c r="J1433" s="652"/>
      <c r="K1433" s="652"/>
      <c r="L1433" s="652"/>
      <c r="M1433" s="652"/>
    </row>
    <row r="1434" spans="1:13" ht="15.75" thickBot="1">
      <c r="A1434" s="916"/>
      <c r="B1434" s="916"/>
      <c r="C1434" s="916"/>
      <c r="D1434" s="916"/>
      <c r="E1434" s="916"/>
      <c r="F1434" s="916"/>
      <c r="G1434" s="916"/>
      <c r="H1434" s="652"/>
      <c r="I1434" s="652"/>
      <c r="J1434" s="652"/>
      <c r="K1434" s="652"/>
      <c r="L1434" s="652"/>
      <c r="M1434" s="652"/>
    </row>
    <row r="1435" spans="1:13" ht="15.75" thickBot="1">
      <c r="A1435" s="666" t="s">
        <v>1014</v>
      </c>
      <c r="B1435" s="2163" t="s">
        <v>1015</v>
      </c>
      <c r="C1435" s="2164"/>
      <c r="D1435" s="2164"/>
      <c r="E1435" s="2164"/>
      <c r="F1435" s="2164"/>
      <c r="G1435" s="2165"/>
      <c r="H1435" s="652"/>
      <c r="I1435" s="652"/>
      <c r="J1435" s="652"/>
      <c r="K1435" s="652"/>
      <c r="L1435" s="652"/>
      <c r="M1435" s="652"/>
    </row>
    <row r="1436" spans="1:13">
      <c r="A1436" s="2166" t="s">
        <v>279</v>
      </c>
      <c r="B1436" s="2167"/>
      <c r="C1436" s="2167"/>
      <c r="D1436" s="2167"/>
      <c r="E1436" s="2167"/>
      <c r="F1436" s="2167"/>
      <c r="G1436" s="2168"/>
      <c r="H1436" s="652"/>
      <c r="I1436" s="652"/>
      <c r="J1436" s="652"/>
      <c r="K1436" s="652"/>
      <c r="L1436" s="652"/>
      <c r="M1436" s="652"/>
    </row>
    <row r="1437" spans="1:13">
      <c r="A1437" s="2169" t="s">
        <v>373</v>
      </c>
      <c r="B1437" s="2170"/>
      <c r="C1437" s="2170"/>
      <c r="D1437" s="2170"/>
      <c r="E1437" s="2170"/>
      <c r="F1437" s="2170"/>
      <c r="G1437" s="2171"/>
      <c r="H1437" s="652"/>
      <c r="I1437" s="652"/>
      <c r="J1437" s="652"/>
      <c r="K1437" s="652"/>
      <c r="L1437" s="652"/>
      <c r="M1437" s="652"/>
    </row>
    <row r="1438" spans="1:13">
      <c r="A1438" s="2172" t="s">
        <v>367</v>
      </c>
      <c r="B1438" s="2173"/>
      <c r="C1438" s="682" t="s">
        <v>281</v>
      </c>
      <c r="D1438" s="682" t="s">
        <v>281</v>
      </c>
      <c r="E1438" s="2174" t="s">
        <v>282</v>
      </c>
      <c r="F1438" s="2175"/>
      <c r="G1438" s="2176"/>
      <c r="H1438" s="652"/>
      <c r="I1438" s="652"/>
      <c r="J1438" s="652"/>
      <c r="K1438" s="652"/>
      <c r="L1438" s="652"/>
      <c r="M1438" s="652"/>
    </row>
    <row r="1439" spans="1:13" ht="24">
      <c r="A1439" s="2152" t="s">
        <v>1016</v>
      </c>
      <c r="B1439" s="2153"/>
      <c r="C1439" s="742" t="s">
        <v>2086</v>
      </c>
      <c r="D1439" s="718">
        <f>31.95+13.7+66.73+4.46</f>
        <v>116.83999999999999</v>
      </c>
      <c r="E1439" s="2154"/>
      <c r="F1439" s="2155"/>
      <c r="G1439" s="2156"/>
      <c r="H1439" s="652"/>
      <c r="I1439" s="652"/>
      <c r="J1439" s="652"/>
      <c r="K1439" s="652"/>
      <c r="L1439" s="652"/>
      <c r="M1439" s="652"/>
    </row>
    <row r="1440" spans="1:13">
      <c r="A1440" s="2152" t="s">
        <v>1017</v>
      </c>
      <c r="B1440" s="2153"/>
      <c r="C1440" s="742" t="s">
        <v>806</v>
      </c>
      <c r="D1440" s="718">
        <f>68.14+108.42</f>
        <v>176.56</v>
      </c>
      <c r="E1440" s="2154"/>
      <c r="F1440" s="2155"/>
      <c r="G1440" s="2156"/>
      <c r="H1440" s="652"/>
      <c r="I1440" s="1035"/>
      <c r="J1440" s="652"/>
      <c r="K1440" s="652"/>
      <c r="L1440" s="652"/>
      <c r="M1440" s="652"/>
    </row>
    <row r="1441" spans="1:13" ht="15.75" thickBot="1">
      <c r="A1441" s="2157" t="s">
        <v>363</v>
      </c>
      <c r="B1441" s="2158"/>
      <c r="C1441" s="2159"/>
      <c r="D1441" s="676">
        <f>SUM(D1439:D1440)</f>
        <v>293.39999999999998</v>
      </c>
      <c r="E1441" s="2160"/>
      <c r="F1441" s="2161"/>
      <c r="G1441" s="2162"/>
      <c r="H1441" s="652"/>
      <c r="I1441" s="652"/>
      <c r="J1441" s="652"/>
      <c r="K1441" s="652"/>
      <c r="L1441" s="652"/>
      <c r="M1441" s="652"/>
    </row>
    <row r="1442" spans="1:13" ht="6.75" customHeight="1" thickBot="1"/>
    <row r="1443" spans="1:13" ht="40.5" customHeight="1" thickBot="1">
      <c r="A1443" s="2148" t="s">
        <v>139</v>
      </c>
      <c r="B1443" s="2149"/>
      <c r="C1443" s="102"/>
      <c r="D1443" s="2150" t="s">
        <v>2034</v>
      </c>
      <c r="E1443" s="2150"/>
      <c r="F1443" s="2150"/>
      <c r="G1443" s="2151"/>
    </row>
    <row r="1444" spans="1:13">
      <c r="E1444" t="s">
        <v>2033</v>
      </c>
    </row>
  </sheetData>
  <mergeCells count="1020">
    <mergeCell ref="A1236:B1236"/>
    <mergeCell ref="E1236:G1236"/>
    <mergeCell ref="A1:G1"/>
    <mergeCell ref="A2:G2"/>
    <mergeCell ref="A3:G3"/>
    <mergeCell ref="B5:F5"/>
    <mergeCell ref="B6:E6"/>
    <mergeCell ref="A9:G9"/>
    <mergeCell ref="B32:C32"/>
    <mergeCell ref="E32:G35"/>
    <mergeCell ref="B33:C33"/>
    <mergeCell ref="B34:C34"/>
    <mergeCell ref="B35:C35"/>
    <mergeCell ref="A19:B19"/>
    <mergeCell ref="D19:G19"/>
    <mergeCell ref="B21:G21"/>
    <mergeCell ref="A22:G22"/>
    <mergeCell ref="A23:G23"/>
    <mergeCell ref="E24:G24"/>
    <mergeCell ref="B52:G52"/>
    <mergeCell ref="A53:G53"/>
    <mergeCell ref="C124:F124"/>
    <mergeCell ref="C125:F125"/>
    <mergeCell ref="C126:F126"/>
    <mergeCell ref="C127:F127"/>
    <mergeCell ref="C128:F128"/>
    <mergeCell ref="C129:F129"/>
    <mergeCell ref="A97:G97"/>
    <mergeCell ref="A108:G108"/>
    <mergeCell ref="A112:G112"/>
    <mergeCell ref="A83:G83"/>
    <mergeCell ref="E94:F94"/>
    <mergeCell ref="I53:M54"/>
    <mergeCell ref="A54:G54"/>
    <mergeCell ref="I50:J50"/>
    <mergeCell ref="B10:G10"/>
    <mergeCell ref="B12:G12"/>
    <mergeCell ref="B14:G14"/>
    <mergeCell ref="A15:G15"/>
    <mergeCell ref="A16:G16"/>
    <mergeCell ref="A17:B18"/>
    <mergeCell ref="D17:G17"/>
    <mergeCell ref="D18:G18"/>
    <mergeCell ref="A39:G39"/>
    <mergeCell ref="A40:G40"/>
    <mergeCell ref="B42:G42"/>
    <mergeCell ref="A43:G43"/>
    <mergeCell ref="A44:G44"/>
    <mergeCell ref="B46:G46"/>
    <mergeCell ref="A95:G95"/>
    <mergeCell ref="B38:G38"/>
    <mergeCell ref="E25:G25"/>
    <mergeCell ref="A26:C26"/>
    <mergeCell ref="B28:G28"/>
    <mergeCell ref="A29:G29"/>
    <mergeCell ref="A30:G30"/>
    <mergeCell ref="B31:C31"/>
    <mergeCell ref="E31:G31"/>
    <mergeCell ref="B73:G73"/>
    <mergeCell ref="B75:G75"/>
    <mergeCell ref="B77:G77"/>
    <mergeCell ref="B79:G79"/>
    <mergeCell ref="B81:G81"/>
    <mergeCell ref="B82:G82"/>
    <mergeCell ref="A58:G58"/>
    <mergeCell ref="E68:F68"/>
    <mergeCell ref="B69:C69"/>
    <mergeCell ref="E69:G69"/>
    <mergeCell ref="B70:C70"/>
    <mergeCell ref="E70:G70"/>
    <mergeCell ref="A142:B142"/>
    <mergeCell ref="E142:G142"/>
    <mergeCell ref="B144:G144"/>
    <mergeCell ref="A145:G145"/>
    <mergeCell ref="A146:G146"/>
    <mergeCell ref="E147:G147"/>
    <mergeCell ref="A138:A141"/>
    <mergeCell ref="B138:B141"/>
    <mergeCell ref="C138:C141"/>
    <mergeCell ref="D138:D141"/>
    <mergeCell ref="E138:G138"/>
    <mergeCell ref="E139:G141"/>
    <mergeCell ref="A136:G136"/>
    <mergeCell ref="E137:G137"/>
    <mergeCell ref="B56:G56"/>
    <mergeCell ref="A57:G57"/>
    <mergeCell ref="A47:G47"/>
    <mergeCell ref="A48:G48"/>
    <mergeCell ref="B49:C49"/>
    <mergeCell ref="E49:G49"/>
    <mergeCell ref="B50:C50"/>
    <mergeCell ref="E50:G50"/>
    <mergeCell ref="C130:F130"/>
    <mergeCell ref="C131:F131"/>
    <mergeCell ref="A132:B132"/>
    <mergeCell ref="C132:F132"/>
    <mergeCell ref="B134:G134"/>
    <mergeCell ref="A135:G135"/>
    <mergeCell ref="A118:G118"/>
    <mergeCell ref="A123:B123"/>
    <mergeCell ref="C123:G123"/>
    <mergeCell ref="A124:B131"/>
    <mergeCell ref="A169:G169"/>
    <mergeCell ref="E170:G170"/>
    <mergeCell ref="E172:G174"/>
    <mergeCell ref="A175:B175"/>
    <mergeCell ref="E175:G175"/>
    <mergeCell ref="B177:G177"/>
    <mergeCell ref="E157:G157"/>
    <mergeCell ref="E158:G163"/>
    <mergeCell ref="A165:B165"/>
    <mergeCell ref="E165:G165"/>
    <mergeCell ref="B167:G167"/>
    <mergeCell ref="A168:G168"/>
    <mergeCell ref="E149:G151"/>
    <mergeCell ref="A152:B152"/>
    <mergeCell ref="E152:G152"/>
    <mergeCell ref="B154:G154"/>
    <mergeCell ref="A155:G155"/>
    <mergeCell ref="A156:G156"/>
    <mergeCell ref="A187:B187"/>
    <mergeCell ref="C187:D187"/>
    <mergeCell ref="E187:G187"/>
    <mergeCell ref="A188:B188"/>
    <mergeCell ref="C188:D188"/>
    <mergeCell ref="E188:G188"/>
    <mergeCell ref="A182:B182"/>
    <mergeCell ref="C182:D182"/>
    <mergeCell ref="E182:G182"/>
    <mergeCell ref="B184:G184"/>
    <mergeCell ref="A185:G185"/>
    <mergeCell ref="A186:G186"/>
    <mergeCell ref="B178:G178"/>
    <mergeCell ref="A179:G179"/>
    <mergeCell ref="A180:G180"/>
    <mergeCell ref="A181:B181"/>
    <mergeCell ref="C181:D181"/>
    <mergeCell ref="E181:G181"/>
    <mergeCell ref="B222:G222"/>
    <mergeCell ref="A223:G223"/>
    <mergeCell ref="F218:G218"/>
    <mergeCell ref="F219:G219"/>
    <mergeCell ref="A220:D220"/>
    <mergeCell ref="E220:F220"/>
    <mergeCell ref="A194:B194"/>
    <mergeCell ref="B198:G198"/>
    <mergeCell ref="B215:G215"/>
    <mergeCell ref="A216:G216"/>
    <mergeCell ref="A217:G217"/>
    <mergeCell ref="A189:G189"/>
    <mergeCell ref="A192:G192"/>
    <mergeCell ref="E194:G194"/>
    <mergeCell ref="B191:G191"/>
    <mergeCell ref="A193:G193"/>
    <mergeCell ref="A195:B195"/>
    <mergeCell ref="E195:G196"/>
    <mergeCell ref="F207:G207"/>
    <mergeCell ref="F209:G209"/>
    <mergeCell ref="A238:G238"/>
    <mergeCell ref="F239:G239"/>
    <mergeCell ref="F240:G240"/>
    <mergeCell ref="A241:F241"/>
    <mergeCell ref="B243:G243"/>
    <mergeCell ref="A244:G244"/>
    <mergeCell ref="A231:G231"/>
    <mergeCell ref="F232:G232"/>
    <mergeCell ref="F233:G233"/>
    <mergeCell ref="A234:F234"/>
    <mergeCell ref="B236:G236"/>
    <mergeCell ref="A237:G237"/>
    <mergeCell ref="A224:G224"/>
    <mergeCell ref="F225:G225"/>
    <mergeCell ref="F226:G226"/>
    <mergeCell ref="A227:F227"/>
    <mergeCell ref="B229:G229"/>
    <mergeCell ref="A230:G230"/>
    <mergeCell ref="B257:G257"/>
    <mergeCell ref="A258:G258"/>
    <mergeCell ref="A259:G259"/>
    <mergeCell ref="F260:G260"/>
    <mergeCell ref="F261:G261"/>
    <mergeCell ref="A262:F262"/>
    <mergeCell ref="A251:G251"/>
    <mergeCell ref="A252:G252"/>
    <mergeCell ref="F253:G253"/>
    <mergeCell ref="F254:G254"/>
    <mergeCell ref="A255:F255"/>
    <mergeCell ref="A256:G256"/>
    <mergeCell ref="A245:G245"/>
    <mergeCell ref="F246:G246"/>
    <mergeCell ref="F247:G247"/>
    <mergeCell ref="A248:F248"/>
    <mergeCell ref="A249:G249"/>
    <mergeCell ref="B250:G250"/>
    <mergeCell ref="A276:F276"/>
    <mergeCell ref="B278:G278"/>
    <mergeCell ref="A279:G279"/>
    <mergeCell ref="A280:G280"/>
    <mergeCell ref="F281:G281"/>
    <mergeCell ref="F282:G282"/>
    <mergeCell ref="A269:F269"/>
    <mergeCell ref="B271:G271"/>
    <mergeCell ref="A272:G272"/>
    <mergeCell ref="A273:G273"/>
    <mergeCell ref="F274:G274"/>
    <mergeCell ref="F275:G275"/>
    <mergeCell ref="A263:G263"/>
    <mergeCell ref="B264:G264"/>
    <mergeCell ref="A265:G265"/>
    <mergeCell ref="A266:G266"/>
    <mergeCell ref="F267:G267"/>
    <mergeCell ref="F268:G268"/>
    <mergeCell ref="A297:F297"/>
    <mergeCell ref="B299:G299"/>
    <mergeCell ref="A300:G300"/>
    <mergeCell ref="A301:G301"/>
    <mergeCell ref="F302:G302"/>
    <mergeCell ref="F303:G303"/>
    <mergeCell ref="A290:F290"/>
    <mergeCell ref="B292:G292"/>
    <mergeCell ref="A293:G293"/>
    <mergeCell ref="A294:G294"/>
    <mergeCell ref="F295:G295"/>
    <mergeCell ref="F296:G296"/>
    <mergeCell ref="A283:F283"/>
    <mergeCell ref="B285:G285"/>
    <mergeCell ref="A286:G286"/>
    <mergeCell ref="A287:G287"/>
    <mergeCell ref="F288:G288"/>
    <mergeCell ref="F289:G289"/>
    <mergeCell ref="A321:D321"/>
    <mergeCell ref="B323:G323"/>
    <mergeCell ref="A324:G324"/>
    <mergeCell ref="A325:G325"/>
    <mergeCell ref="E326:G326"/>
    <mergeCell ref="E327:G327"/>
    <mergeCell ref="A311:F311"/>
    <mergeCell ref="B313:G313"/>
    <mergeCell ref="A314:G314"/>
    <mergeCell ref="A315:G315"/>
    <mergeCell ref="F316:G316"/>
    <mergeCell ref="F317:G320"/>
    <mergeCell ref="A304:F304"/>
    <mergeCell ref="B306:G306"/>
    <mergeCell ref="A307:G307"/>
    <mergeCell ref="A308:G308"/>
    <mergeCell ref="F309:G309"/>
    <mergeCell ref="F310:G310"/>
    <mergeCell ref="A355:G355"/>
    <mergeCell ref="A364:G364"/>
    <mergeCell ref="A365:G365"/>
    <mergeCell ref="A378:G378"/>
    <mergeCell ref="A379:G379"/>
    <mergeCell ref="I384:J384"/>
    <mergeCell ref="B338:G338"/>
    <mergeCell ref="B339:G339"/>
    <mergeCell ref="A340:G340"/>
    <mergeCell ref="A341:G341"/>
    <mergeCell ref="A342:G342"/>
    <mergeCell ref="E353:F353"/>
    <mergeCell ref="B329:G329"/>
    <mergeCell ref="A330:G330"/>
    <mergeCell ref="A331:G331"/>
    <mergeCell ref="F332:G332"/>
    <mergeCell ref="F333:G335"/>
    <mergeCell ref="A336:D336"/>
    <mergeCell ref="A403:G403"/>
    <mergeCell ref="A412:G412"/>
    <mergeCell ref="A413:G413"/>
    <mergeCell ref="A426:G426"/>
    <mergeCell ref="A427:G427"/>
    <mergeCell ref="A437:G437"/>
    <mergeCell ref="C396:F396"/>
    <mergeCell ref="A397:F397"/>
    <mergeCell ref="A398:G398"/>
    <mergeCell ref="B399:G399"/>
    <mergeCell ref="A400:G400"/>
    <mergeCell ref="A401:G401"/>
    <mergeCell ref="I385:J385"/>
    <mergeCell ref="A389:G389"/>
    <mergeCell ref="A390:G390"/>
    <mergeCell ref="A391:B396"/>
    <mergeCell ref="C391:F391"/>
    <mergeCell ref="C392:F392"/>
    <mergeCell ref="C393:F393"/>
    <mergeCell ref="C394:F394"/>
    <mergeCell ref="C395:F395"/>
    <mergeCell ref="A462:G462"/>
    <mergeCell ref="A467:G467"/>
    <mergeCell ref="A468:G468"/>
    <mergeCell ref="A469:B472"/>
    <mergeCell ref="C469:F469"/>
    <mergeCell ref="C470:F470"/>
    <mergeCell ref="C471:F471"/>
    <mergeCell ref="C472:F472"/>
    <mergeCell ref="A445:F445"/>
    <mergeCell ref="B447:G447"/>
    <mergeCell ref="A448:G448"/>
    <mergeCell ref="A449:G449"/>
    <mergeCell ref="A451:G451"/>
    <mergeCell ref="A461:G461"/>
    <mergeCell ref="A438:G438"/>
    <mergeCell ref="A439:B444"/>
    <mergeCell ref="C439:F439"/>
    <mergeCell ref="C440:F440"/>
    <mergeCell ref="C441:F441"/>
    <mergeCell ref="C442:F442"/>
    <mergeCell ref="C443:F443"/>
    <mergeCell ref="C444:F444"/>
    <mergeCell ref="A501:F501"/>
    <mergeCell ref="B503:G503"/>
    <mergeCell ref="A504:G504"/>
    <mergeCell ref="A505:G505"/>
    <mergeCell ref="A507:G507"/>
    <mergeCell ref="A516:G516"/>
    <mergeCell ref="A490:G490"/>
    <mergeCell ref="A495:G495"/>
    <mergeCell ref="A496:G496"/>
    <mergeCell ref="A497:B500"/>
    <mergeCell ref="C497:F497"/>
    <mergeCell ref="C498:F498"/>
    <mergeCell ref="C499:F499"/>
    <mergeCell ref="C500:F500"/>
    <mergeCell ref="A473:F473"/>
    <mergeCell ref="B475:G475"/>
    <mergeCell ref="A476:G476"/>
    <mergeCell ref="A477:G477"/>
    <mergeCell ref="A479:G479"/>
    <mergeCell ref="A489:G489"/>
    <mergeCell ref="A553:G553"/>
    <mergeCell ref="A556:G556"/>
    <mergeCell ref="A557:G557"/>
    <mergeCell ref="A560:G560"/>
    <mergeCell ref="A561:G561"/>
    <mergeCell ref="A565:G565"/>
    <mergeCell ref="C545:F545"/>
    <mergeCell ref="C546:F546"/>
    <mergeCell ref="A547:F547"/>
    <mergeCell ref="B549:G549"/>
    <mergeCell ref="A550:G550"/>
    <mergeCell ref="A551:G551"/>
    <mergeCell ref="A517:G517"/>
    <mergeCell ref="A528:G528"/>
    <mergeCell ref="A529:G529"/>
    <mergeCell ref="A539:G539"/>
    <mergeCell ref="A540:G540"/>
    <mergeCell ref="A541:B546"/>
    <mergeCell ref="C541:F541"/>
    <mergeCell ref="C542:F542"/>
    <mergeCell ref="C543:F543"/>
    <mergeCell ref="C544:F544"/>
    <mergeCell ref="A587:G587"/>
    <mergeCell ref="A596:G596"/>
    <mergeCell ref="A597:G597"/>
    <mergeCell ref="A605:G605"/>
    <mergeCell ref="A606:G606"/>
    <mergeCell ref="A607:B612"/>
    <mergeCell ref="C607:F607"/>
    <mergeCell ref="C608:F608"/>
    <mergeCell ref="C609:F609"/>
    <mergeCell ref="C610:F610"/>
    <mergeCell ref="A573:F573"/>
    <mergeCell ref="B575:G575"/>
    <mergeCell ref="A576:G576"/>
    <mergeCell ref="A577:G577"/>
    <mergeCell ref="A579:G579"/>
    <mergeCell ref="A586:G586"/>
    <mergeCell ref="A566:G566"/>
    <mergeCell ref="A567:B572"/>
    <mergeCell ref="C567:F567"/>
    <mergeCell ref="C568:F568"/>
    <mergeCell ref="C569:F569"/>
    <mergeCell ref="C570:F570"/>
    <mergeCell ref="C571:F571"/>
    <mergeCell ref="C572:F572"/>
    <mergeCell ref="A632:G632"/>
    <mergeCell ref="A633:B638"/>
    <mergeCell ref="C633:F633"/>
    <mergeCell ref="C634:F634"/>
    <mergeCell ref="C635:F635"/>
    <mergeCell ref="C636:F636"/>
    <mergeCell ref="C637:F637"/>
    <mergeCell ref="C638:F638"/>
    <mergeCell ref="A619:G619"/>
    <mergeCell ref="A622:G622"/>
    <mergeCell ref="A623:G623"/>
    <mergeCell ref="A626:G626"/>
    <mergeCell ref="A627:G627"/>
    <mergeCell ref="A631:G631"/>
    <mergeCell ref="C611:F611"/>
    <mergeCell ref="C612:F612"/>
    <mergeCell ref="A613:F613"/>
    <mergeCell ref="B615:G615"/>
    <mergeCell ref="A616:G616"/>
    <mergeCell ref="A617:G617"/>
    <mergeCell ref="A654:B654"/>
    <mergeCell ref="A655:B655"/>
    <mergeCell ref="A656:B656"/>
    <mergeCell ref="B659:G659"/>
    <mergeCell ref="A660:G660"/>
    <mergeCell ref="A661:G661"/>
    <mergeCell ref="A645:B645"/>
    <mergeCell ref="E645:G657"/>
    <mergeCell ref="A646:B646"/>
    <mergeCell ref="A647:B647"/>
    <mergeCell ref="A648:B648"/>
    <mergeCell ref="A649:B649"/>
    <mergeCell ref="A650:B650"/>
    <mergeCell ref="A651:B651"/>
    <mergeCell ref="A652:B652"/>
    <mergeCell ref="A653:B653"/>
    <mergeCell ref="A639:F639"/>
    <mergeCell ref="B641:G641"/>
    <mergeCell ref="A642:G642"/>
    <mergeCell ref="A643:G643"/>
    <mergeCell ref="A644:B644"/>
    <mergeCell ref="E644:G644"/>
    <mergeCell ref="B678:G678"/>
    <mergeCell ref="A679:G679"/>
    <mergeCell ref="A680:G680"/>
    <mergeCell ref="A681:B681"/>
    <mergeCell ref="E681:G681"/>
    <mergeCell ref="A682:B682"/>
    <mergeCell ref="E682:G682"/>
    <mergeCell ref="A670:B670"/>
    <mergeCell ref="A671:B671"/>
    <mergeCell ref="A672:B672"/>
    <mergeCell ref="A673:B673"/>
    <mergeCell ref="A674:B674"/>
    <mergeCell ref="B677:G677"/>
    <mergeCell ref="A662:B662"/>
    <mergeCell ref="E662:G662"/>
    <mergeCell ref="A663:B663"/>
    <mergeCell ref="E663:G675"/>
    <mergeCell ref="A664:B664"/>
    <mergeCell ref="A665:B665"/>
    <mergeCell ref="A666:B666"/>
    <mergeCell ref="A667:B667"/>
    <mergeCell ref="A668:B668"/>
    <mergeCell ref="A669:B669"/>
    <mergeCell ref="A691:G691"/>
    <mergeCell ref="A692:B692"/>
    <mergeCell ref="E692:G692"/>
    <mergeCell ref="A693:B693"/>
    <mergeCell ref="E693:G693"/>
    <mergeCell ref="A694:B694"/>
    <mergeCell ref="E694:G694"/>
    <mergeCell ref="A686:B686"/>
    <mergeCell ref="E686:G686"/>
    <mergeCell ref="A687:C687"/>
    <mergeCell ref="E687:G687"/>
    <mergeCell ref="B689:G689"/>
    <mergeCell ref="A690:G690"/>
    <mergeCell ref="A683:B683"/>
    <mergeCell ref="E683:G683"/>
    <mergeCell ref="A684:B684"/>
    <mergeCell ref="E684:G684"/>
    <mergeCell ref="A685:B685"/>
    <mergeCell ref="E685:G685"/>
    <mergeCell ref="A703:B703"/>
    <mergeCell ref="E703:G703"/>
    <mergeCell ref="A704:C704"/>
    <mergeCell ref="E704:G704"/>
    <mergeCell ref="B706:G706"/>
    <mergeCell ref="A707:G707"/>
    <mergeCell ref="A698:G698"/>
    <mergeCell ref="B699:G699"/>
    <mergeCell ref="A700:G700"/>
    <mergeCell ref="A701:G701"/>
    <mergeCell ref="A702:B702"/>
    <mergeCell ref="E702:G702"/>
    <mergeCell ref="A695:B695"/>
    <mergeCell ref="E695:G695"/>
    <mergeCell ref="A696:B696"/>
    <mergeCell ref="E696:G696"/>
    <mergeCell ref="A697:C697"/>
    <mergeCell ref="E697:G697"/>
    <mergeCell ref="A717:G717"/>
    <mergeCell ref="A718:B718"/>
    <mergeCell ref="E718:G718"/>
    <mergeCell ref="A719:B719"/>
    <mergeCell ref="E719:G719"/>
    <mergeCell ref="A720:B720"/>
    <mergeCell ref="E720:G720"/>
    <mergeCell ref="A712:B712"/>
    <mergeCell ref="E712:G712"/>
    <mergeCell ref="A713:C713"/>
    <mergeCell ref="E713:G713"/>
    <mergeCell ref="B715:G715"/>
    <mergeCell ref="A716:G716"/>
    <mergeCell ref="A708:G708"/>
    <mergeCell ref="A709:B709"/>
    <mergeCell ref="E709:G709"/>
    <mergeCell ref="A710:B710"/>
    <mergeCell ref="E710:G710"/>
    <mergeCell ref="A711:B711"/>
    <mergeCell ref="E711:G711"/>
    <mergeCell ref="A731:C731"/>
    <mergeCell ref="B733:G733"/>
    <mergeCell ref="B734:G734"/>
    <mergeCell ref="A735:G735"/>
    <mergeCell ref="A736:G736"/>
    <mergeCell ref="A740:F740"/>
    <mergeCell ref="A726:G726"/>
    <mergeCell ref="A727:B727"/>
    <mergeCell ref="F727:G727"/>
    <mergeCell ref="A728:B730"/>
    <mergeCell ref="C728:C730"/>
    <mergeCell ref="D728:D730"/>
    <mergeCell ref="E728:E730"/>
    <mergeCell ref="F728:G730"/>
    <mergeCell ref="A721:B721"/>
    <mergeCell ref="E721:G721"/>
    <mergeCell ref="A722:C722"/>
    <mergeCell ref="E722:G722"/>
    <mergeCell ref="B724:G724"/>
    <mergeCell ref="A725:G725"/>
    <mergeCell ref="F754:G754"/>
    <mergeCell ref="A755:E755"/>
    <mergeCell ref="F755:G755"/>
    <mergeCell ref="B757:G757"/>
    <mergeCell ref="A758:G758"/>
    <mergeCell ref="A759:G759"/>
    <mergeCell ref="A748:E748"/>
    <mergeCell ref="F748:G748"/>
    <mergeCell ref="B750:G750"/>
    <mergeCell ref="A751:G751"/>
    <mergeCell ref="A752:G752"/>
    <mergeCell ref="F753:G753"/>
    <mergeCell ref="B742:G742"/>
    <mergeCell ref="B743:G743"/>
    <mergeCell ref="A744:G744"/>
    <mergeCell ref="A745:G745"/>
    <mergeCell ref="F746:G746"/>
    <mergeCell ref="F747:G747"/>
    <mergeCell ref="A796:G796"/>
    <mergeCell ref="A806:G806"/>
    <mergeCell ref="A807:G807"/>
    <mergeCell ref="A808:B813"/>
    <mergeCell ref="C808:F808"/>
    <mergeCell ref="C809:F809"/>
    <mergeCell ref="C810:F810"/>
    <mergeCell ref="C811:F811"/>
    <mergeCell ref="C812:F812"/>
    <mergeCell ref="C813:F813"/>
    <mergeCell ref="A769:G769"/>
    <mergeCell ref="A770:G770"/>
    <mergeCell ref="A772:G772"/>
    <mergeCell ref="A781:G781"/>
    <mergeCell ref="A782:G782"/>
    <mergeCell ref="A795:G795"/>
    <mergeCell ref="F760:G760"/>
    <mergeCell ref="F761:G765"/>
    <mergeCell ref="A762:C762"/>
    <mergeCell ref="A765:C765"/>
    <mergeCell ref="B767:G767"/>
    <mergeCell ref="B768:G768"/>
    <mergeCell ref="C860:F860"/>
    <mergeCell ref="C861:F861"/>
    <mergeCell ref="A862:F862"/>
    <mergeCell ref="B864:G864"/>
    <mergeCell ref="A865:G865"/>
    <mergeCell ref="A866:G866"/>
    <mergeCell ref="A830:G830"/>
    <mergeCell ref="A843:G843"/>
    <mergeCell ref="A844:G844"/>
    <mergeCell ref="A854:G854"/>
    <mergeCell ref="A855:G855"/>
    <mergeCell ref="A856:B861"/>
    <mergeCell ref="C856:F856"/>
    <mergeCell ref="C857:F857"/>
    <mergeCell ref="C858:F858"/>
    <mergeCell ref="C859:F859"/>
    <mergeCell ref="A814:F814"/>
    <mergeCell ref="B816:G816"/>
    <mergeCell ref="A817:G817"/>
    <mergeCell ref="A818:G818"/>
    <mergeCell ref="A820:G820"/>
    <mergeCell ref="A829:G829"/>
    <mergeCell ref="A910:F910"/>
    <mergeCell ref="B912:G912"/>
    <mergeCell ref="A913:G913"/>
    <mergeCell ref="A914:G914"/>
    <mergeCell ref="A915:B915"/>
    <mergeCell ref="E915:G915"/>
    <mergeCell ref="A903:G903"/>
    <mergeCell ref="A904:B909"/>
    <mergeCell ref="C904:F904"/>
    <mergeCell ref="C905:F905"/>
    <mergeCell ref="C906:F906"/>
    <mergeCell ref="C907:F907"/>
    <mergeCell ref="C908:F908"/>
    <mergeCell ref="C909:F909"/>
    <mergeCell ref="A868:G868"/>
    <mergeCell ref="A877:G877"/>
    <mergeCell ref="A878:G878"/>
    <mergeCell ref="A891:G891"/>
    <mergeCell ref="A892:G892"/>
    <mergeCell ref="A902:G902"/>
    <mergeCell ref="B933:G933"/>
    <mergeCell ref="A934:G934"/>
    <mergeCell ref="A935:G935"/>
    <mergeCell ref="A936:B936"/>
    <mergeCell ref="E936:G936"/>
    <mergeCell ref="A937:B937"/>
    <mergeCell ref="E937:G950"/>
    <mergeCell ref="A938:B938"/>
    <mergeCell ref="A939:B939"/>
    <mergeCell ref="A940:B940"/>
    <mergeCell ref="A925:B925"/>
    <mergeCell ref="A926:B926"/>
    <mergeCell ref="A927:B927"/>
    <mergeCell ref="A928:B928"/>
    <mergeCell ref="A929:B929"/>
    <mergeCell ref="A930:B930"/>
    <mergeCell ref="A916:B916"/>
    <mergeCell ref="E916:G931"/>
    <mergeCell ref="A917:B917"/>
    <mergeCell ref="A918:B918"/>
    <mergeCell ref="A919:B919"/>
    <mergeCell ref="A920:B920"/>
    <mergeCell ref="A921:B921"/>
    <mergeCell ref="A922:B922"/>
    <mergeCell ref="A923:B923"/>
    <mergeCell ref="A924:B924"/>
    <mergeCell ref="A955:B955"/>
    <mergeCell ref="E955:G955"/>
    <mergeCell ref="A956:B956"/>
    <mergeCell ref="E956:G969"/>
    <mergeCell ref="A957:B957"/>
    <mergeCell ref="A958:B958"/>
    <mergeCell ref="A959:B959"/>
    <mergeCell ref="A960:B960"/>
    <mergeCell ref="A961:B961"/>
    <mergeCell ref="A962:B962"/>
    <mergeCell ref="A947:B947"/>
    <mergeCell ref="A948:B948"/>
    <mergeCell ref="A949:B949"/>
    <mergeCell ref="B952:G952"/>
    <mergeCell ref="A953:G953"/>
    <mergeCell ref="A954:G954"/>
    <mergeCell ref="A941:B941"/>
    <mergeCell ref="A942:B942"/>
    <mergeCell ref="A943:B943"/>
    <mergeCell ref="A944:B944"/>
    <mergeCell ref="A945:B945"/>
    <mergeCell ref="A946:B946"/>
    <mergeCell ref="A992:G992"/>
    <mergeCell ref="A993:G993"/>
    <mergeCell ref="A1001:G1001"/>
    <mergeCell ref="A1002:G1002"/>
    <mergeCell ref="A1003:B1008"/>
    <mergeCell ref="C1003:F1003"/>
    <mergeCell ref="C1004:F1004"/>
    <mergeCell ref="C1005:F1005"/>
    <mergeCell ref="C1006:F1006"/>
    <mergeCell ref="C1007:F1007"/>
    <mergeCell ref="B971:G971"/>
    <mergeCell ref="A972:G972"/>
    <mergeCell ref="A973:G973"/>
    <mergeCell ref="A975:G975"/>
    <mergeCell ref="A982:G982"/>
    <mergeCell ref="A983:G983"/>
    <mergeCell ref="A963:B963"/>
    <mergeCell ref="A964:B964"/>
    <mergeCell ref="A965:B965"/>
    <mergeCell ref="A966:B966"/>
    <mergeCell ref="A967:B967"/>
    <mergeCell ref="A968:B968"/>
    <mergeCell ref="A1043:B1048"/>
    <mergeCell ref="C1043:F1043"/>
    <mergeCell ref="C1044:F1044"/>
    <mergeCell ref="C1045:F1045"/>
    <mergeCell ref="C1046:F1046"/>
    <mergeCell ref="C1047:F1047"/>
    <mergeCell ref="C1048:F1048"/>
    <mergeCell ref="A1022:G1022"/>
    <mergeCell ref="A1023:G1023"/>
    <mergeCell ref="A1032:G1032"/>
    <mergeCell ref="A1033:G1033"/>
    <mergeCell ref="A1041:G1041"/>
    <mergeCell ref="A1042:G1042"/>
    <mergeCell ref="C1008:F1008"/>
    <mergeCell ref="A1009:F1009"/>
    <mergeCell ref="B1011:G1011"/>
    <mergeCell ref="A1012:G1012"/>
    <mergeCell ref="A1013:G1013"/>
    <mergeCell ref="A1015:G1015"/>
    <mergeCell ref="A1062:B1062"/>
    <mergeCell ref="E1062:G1062"/>
    <mergeCell ref="A1063:B1063"/>
    <mergeCell ref="E1063:G1064"/>
    <mergeCell ref="B1066:G1066"/>
    <mergeCell ref="A1067:G1067"/>
    <mergeCell ref="A1055:B1055"/>
    <mergeCell ref="E1055:G1057"/>
    <mergeCell ref="A1056:B1056"/>
    <mergeCell ref="B1059:G1059"/>
    <mergeCell ref="A1060:G1060"/>
    <mergeCell ref="A1061:G1061"/>
    <mergeCell ref="A1049:F1049"/>
    <mergeCell ref="B1051:G1051"/>
    <mergeCell ref="A1052:G1052"/>
    <mergeCell ref="A1053:G1053"/>
    <mergeCell ref="A1054:B1054"/>
    <mergeCell ref="E1054:G1054"/>
    <mergeCell ref="C1082:G1083"/>
    <mergeCell ref="C1084:G1084"/>
    <mergeCell ref="B1086:G1086"/>
    <mergeCell ref="A1087:G1087"/>
    <mergeCell ref="A1088:G1088"/>
    <mergeCell ref="C1089:G1089"/>
    <mergeCell ref="B1076:G1076"/>
    <mergeCell ref="B1077:G1077"/>
    <mergeCell ref="B1078:G1078"/>
    <mergeCell ref="A1079:G1079"/>
    <mergeCell ref="A1080:G1080"/>
    <mergeCell ref="C1081:G1081"/>
    <mergeCell ref="A1068:G1068"/>
    <mergeCell ref="A1069:B1069"/>
    <mergeCell ref="E1069:G1069"/>
    <mergeCell ref="A1070:B1070"/>
    <mergeCell ref="E1070:G1074"/>
    <mergeCell ref="A1071:B1071"/>
    <mergeCell ref="A1072:B1072"/>
    <mergeCell ref="A1073:B1073"/>
    <mergeCell ref="C1110:G1110"/>
    <mergeCell ref="B1112:G1112"/>
    <mergeCell ref="A1113:G1113"/>
    <mergeCell ref="A1114:G1114"/>
    <mergeCell ref="C1115:G1115"/>
    <mergeCell ref="C1118:G1118"/>
    <mergeCell ref="C1102:G1102"/>
    <mergeCell ref="B1104:G1104"/>
    <mergeCell ref="A1105:G1105"/>
    <mergeCell ref="A1106:G1106"/>
    <mergeCell ref="C1107:G1107"/>
    <mergeCell ref="C1108:G1109"/>
    <mergeCell ref="C1092:G1092"/>
    <mergeCell ref="B1094:G1094"/>
    <mergeCell ref="A1095:G1095"/>
    <mergeCell ref="A1096:G1096"/>
    <mergeCell ref="C1097:G1097"/>
    <mergeCell ref="C1098:G1101"/>
    <mergeCell ref="B1136:G1136"/>
    <mergeCell ref="A1137:G1137"/>
    <mergeCell ref="A1138:G1138"/>
    <mergeCell ref="C1139:E1139"/>
    <mergeCell ref="C1140:G1141"/>
    <mergeCell ref="C1142:G1142"/>
    <mergeCell ref="A1129:G1129"/>
    <mergeCell ref="A1130:G1130"/>
    <mergeCell ref="C1131:G1131"/>
    <mergeCell ref="C1132:G1132"/>
    <mergeCell ref="C1133:G1133"/>
    <mergeCell ref="B1135:G1135"/>
    <mergeCell ref="B1120:G1120"/>
    <mergeCell ref="A1121:G1121"/>
    <mergeCell ref="A1122:G1122"/>
    <mergeCell ref="C1123:G1123"/>
    <mergeCell ref="C1126:G1126"/>
    <mergeCell ref="B1128:G1128"/>
    <mergeCell ref="B1160:G1160"/>
    <mergeCell ref="A1161:G1161"/>
    <mergeCell ref="A1162:G1162"/>
    <mergeCell ref="C1163:F1163"/>
    <mergeCell ref="C1171:G1171"/>
    <mergeCell ref="B1173:G1173"/>
    <mergeCell ref="B1152:G1152"/>
    <mergeCell ref="A1153:G1153"/>
    <mergeCell ref="A1154:G1154"/>
    <mergeCell ref="C1155:G1155"/>
    <mergeCell ref="C1156:G1157"/>
    <mergeCell ref="C1158:G1158"/>
    <mergeCell ref="B1144:G1144"/>
    <mergeCell ref="A1145:G1145"/>
    <mergeCell ref="A1146:G1146"/>
    <mergeCell ref="C1147:F1147"/>
    <mergeCell ref="C1148:G1149"/>
    <mergeCell ref="C1150:G1150"/>
    <mergeCell ref="C1203:F1203"/>
    <mergeCell ref="C1204:G1207"/>
    <mergeCell ref="C1208:G1208"/>
    <mergeCell ref="B1210:G1210"/>
    <mergeCell ref="B1211:G1211"/>
    <mergeCell ref="A1212:G1212"/>
    <mergeCell ref="A1189:G1189"/>
    <mergeCell ref="C1190:F1190"/>
    <mergeCell ref="C1198:G1198"/>
    <mergeCell ref="B1200:G1200"/>
    <mergeCell ref="A1201:G1201"/>
    <mergeCell ref="A1202:G1202"/>
    <mergeCell ref="A1174:G1174"/>
    <mergeCell ref="A1175:G1175"/>
    <mergeCell ref="C1176:F1176"/>
    <mergeCell ref="C1185:G1185"/>
    <mergeCell ref="B1187:G1187"/>
    <mergeCell ref="A1188:G1188"/>
    <mergeCell ref="A1232:G1232"/>
    <mergeCell ref="A1233:G1233"/>
    <mergeCell ref="A1234:B1234"/>
    <mergeCell ref="E1234:G1234"/>
    <mergeCell ref="A1235:B1235"/>
    <mergeCell ref="E1235:G1235"/>
    <mergeCell ref="B1222:G1222"/>
    <mergeCell ref="B1224:G1224"/>
    <mergeCell ref="B1226:G1226"/>
    <mergeCell ref="B1228:G1228"/>
    <mergeCell ref="B1230:G1230"/>
    <mergeCell ref="B1231:G1231"/>
    <mergeCell ref="A1213:G1213"/>
    <mergeCell ref="E1214:G1214"/>
    <mergeCell ref="C1215:G1215"/>
    <mergeCell ref="C1216:G1216"/>
    <mergeCell ref="B1218:G1218"/>
    <mergeCell ref="B1220:G1220"/>
    <mergeCell ref="A1248:G1248"/>
    <mergeCell ref="A1249:B1249"/>
    <mergeCell ref="E1249:G1249"/>
    <mergeCell ref="A1250:B1250"/>
    <mergeCell ref="E1250:G1250"/>
    <mergeCell ref="A1251:C1251"/>
    <mergeCell ref="E1251:G1251"/>
    <mergeCell ref="A1243:B1243"/>
    <mergeCell ref="E1243:G1243"/>
    <mergeCell ref="A1244:C1244"/>
    <mergeCell ref="E1244:G1244"/>
    <mergeCell ref="B1246:G1246"/>
    <mergeCell ref="A1247:G1247"/>
    <mergeCell ref="A1237:C1237"/>
    <mergeCell ref="E1237:G1237"/>
    <mergeCell ref="B1239:G1239"/>
    <mergeCell ref="A1240:G1240"/>
    <mergeCell ref="A1241:G1241"/>
    <mergeCell ref="A1242:B1242"/>
    <mergeCell ref="E1242:G1242"/>
    <mergeCell ref="A1266:G1266"/>
    <mergeCell ref="B1267:G1267"/>
    <mergeCell ref="A1268:G1268"/>
    <mergeCell ref="A1269:G1269"/>
    <mergeCell ref="E1270:G1270"/>
    <mergeCell ref="E1271:G1271"/>
    <mergeCell ref="B1260:G1260"/>
    <mergeCell ref="A1261:G1261"/>
    <mergeCell ref="A1262:G1262"/>
    <mergeCell ref="E1263:G1263"/>
    <mergeCell ref="E1264:G1264"/>
    <mergeCell ref="A1265:C1265"/>
    <mergeCell ref="E1265:G1265"/>
    <mergeCell ref="B1253:G1253"/>
    <mergeCell ref="A1254:G1254"/>
    <mergeCell ref="A1255:G1255"/>
    <mergeCell ref="E1256:G1256"/>
    <mergeCell ref="E1257:G1257"/>
    <mergeCell ref="A1258:C1258"/>
    <mergeCell ref="E1258:G1258"/>
    <mergeCell ref="B1284:C1284"/>
    <mergeCell ref="D1284:G1284"/>
    <mergeCell ref="B1285:C1285"/>
    <mergeCell ref="D1285:G1285"/>
    <mergeCell ref="B1286:C1286"/>
    <mergeCell ref="A1288:G1288"/>
    <mergeCell ref="B1278:C1278"/>
    <mergeCell ref="D1278:G1278"/>
    <mergeCell ref="B1279:C1279"/>
    <mergeCell ref="B1281:G1281"/>
    <mergeCell ref="A1282:G1282"/>
    <mergeCell ref="A1283:G1283"/>
    <mergeCell ref="A1272:C1272"/>
    <mergeCell ref="E1272:G1272"/>
    <mergeCell ref="B1274:G1274"/>
    <mergeCell ref="A1275:G1275"/>
    <mergeCell ref="A1276:G1276"/>
    <mergeCell ref="B1277:C1277"/>
    <mergeCell ref="D1277:G1277"/>
    <mergeCell ref="A1302:C1302"/>
    <mergeCell ref="B1304:G1304"/>
    <mergeCell ref="A1305:G1305"/>
    <mergeCell ref="A1306:G1306"/>
    <mergeCell ref="F1307:G1307"/>
    <mergeCell ref="F1308:G1308"/>
    <mergeCell ref="B1296:G1296"/>
    <mergeCell ref="A1297:G1297"/>
    <mergeCell ref="A1298:G1298"/>
    <mergeCell ref="F1299:G1299"/>
    <mergeCell ref="F1300:G1300"/>
    <mergeCell ref="F1301:G1301"/>
    <mergeCell ref="B1289:G1289"/>
    <mergeCell ref="A1290:G1290"/>
    <mergeCell ref="A1291:G1291"/>
    <mergeCell ref="F1292:G1292"/>
    <mergeCell ref="F1293:G1293"/>
    <mergeCell ref="A1294:C1294"/>
    <mergeCell ref="F1323:G1323"/>
    <mergeCell ref="F1324:G1324"/>
    <mergeCell ref="F1325:G1325"/>
    <mergeCell ref="A1326:C1326"/>
    <mergeCell ref="B1328:G1328"/>
    <mergeCell ref="A1329:G1329"/>
    <mergeCell ref="F1316:G1316"/>
    <mergeCell ref="F1317:G1317"/>
    <mergeCell ref="A1318:C1318"/>
    <mergeCell ref="B1320:G1320"/>
    <mergeCell ref="A1321:G1321"/>
    <mergeCell ref="A1322:G1322"/>
    <mergeCell ref="F1309:G1309"/>
    <mergeCell ref="A1310:C1310"/>
    <mergeCell ref="B1312:G1312"/>
    <mergeCell ref="A1313:G1313"/>
    <mergeCell ref="A1314:G1314"/>
    <mergeCell ref="F1315:G1315"/>
    <mergeCell ref="A1344:G1344"/>
    <mergeCell ref="A1345:G1345"/>
    <mergeCell ref="A1346:B1346"/>
    <mergeCell ref="E1346:G1346"/>
    <mergeCell ref="A1347:B1347"/>
    <mergeCell ref="E1347:G1347"/>
    <mergeCell ref="A1337:G1337"/>
    <mergeCell ref="A1338:G1338"/>
    <mergeCell ref="F1339:G1339"/>
    <mergeCell ref="F1340:G1340"/>
    <mergeCell ref="A1341:C1341"/>
    <mergeCell ref="B1343:G1343"/>
    <mergeCell ref="A1330:G1330"/>
    <mergeCell ref="F1331:G1331"/>
    <mergeCell ref="F1332:G1332"/>
    <mergeCell ref="F1333:G1333"/>
    <mergeCell ref="A1334:C1334"/>
    <mergeCell ref="B1336:G1336"/>
    <mergeCell ref="A1359:G1359"/>
    <mergeCell ref="A1360:B1360"/>
    <mergeCell ref="E1360:G1360"/>
    <mergeCell ref="A1361:B1361"/>
    <mergeCell ref="E1361:G1361"/>
    <mergeCell ref="A1362:C1362"/>
    <mergeCell ref="E1362:G1362"/>
    <mergeCell ref="A1354:B1354"/>
    <mergeCell ref="E1354:G1354"/>
    <mergeCell ref="A1355:C1355"/>
    <mergeCell ref="E1355:G1355"/>
    <mergeCell ref="B1357:G1357"/>
    <mergeCell ref="A1358:G1358"/>
    <mergeCell ref="A1348:C1348"/>
    <mergeCell ref="E1348:G1348"/>
    <mergeCell ref="B1350:G1350"/>
    <mergeCell ref="A1351:G1351"/>
    <mergeCell ref="A1352:G1352"/>
    <mergeCell ref="A1353:B1353"/>
    <mergeCell ref="E1353:G1353"/>
    <mergeCell ref="B1379:G1379"/>
    <mergeCell ref="A1380:G1380"/>
    <mergeCell ref="A1381:G1381"/>
    <mergeCell ref="F1382:G1382"/>
    <mergeCell ref="F1383:G1383"/>
    <mergeCell ref="A1385:C1385"/>
    <mergeCell ref="B1372:G1372"/>
    <mergeCell ref="A1373:G1373"/>
    <mergeCell ref="A1374:G1374"/>
    <mergeCell ref="F1375:G1375"/>
    <mergeCell ref="F1376:G1376"/>
    <mergeCell ref="A1377:C1377"/>
    <mergeCell ref="B1364:G1364"/>
    <mergeCell ref="A1365:G1365"/>
    <mergeCell ref="A1366:G1366"/>
    <mergeCell ref="E1367:G1367"/>
    <mergeCell ref="E1368:G1369"/>
    <mergeCell ref="E1370:G1370"/>
    <mergeCell ref="B1403:G1403"/>
    <mergeCell ref="A1404:G1404"/>
    <mergeCell ref="A1405:G1405"/>
    <mergeCell ref="F1406:G1406"/>
    <mergeCell ref="F1407:G1407"/>
    <mergeCell ref="A1409:C1409"/>
    <mergeCell ref="B1395:G1395"/>
    <mergeCell ref="A1396:G1396"/>
    <mergeCell ref="A1397:G1397"/>
    <mergeCell ref="F1398:G1398"/>
    <mergeCell ref="F1399:G1399"/>
    <mergeCell ref="A1401:C1401"/>
    <mergeCell ref="B1387:G1387"/>
    <mergeCell ref="A1388:G1388"/>
    <mergeCell ref="A1389:G1389"/>
    <mergeCell ref="F1390:G1390"/>
    <mergeCell ref="F1391:G1391"/>
    <mergeCell ref="A1393:C1393"/>
    <mergeCell ref="A1428:G1428"/>
    <mergeCell ref="A1429:G1429"/>
    <mergeCell ref="A1430:B1430"/>
    <mergeCell ref="E1430:G1430"/>
    <mergeCell ref="A1431:B1431"/>
    <mergeCell ref="E1431:G1431"/>
    <mergeCell ref="B1418:G1418"/>
    <mergeCell ref="A1419:G1419"/>
    <mergeCell ref="A1420:G1420"/>
    <mergeCell ref="C1421:G1421"/>
    <mergeCell ref="C1422:G1423"/>
    <mergeCell ref="B1426:G1426"/>
    <mergeCell ref="B1411:G1411"/>
    <mergeCell ref="A1412:G1412"/>
    <mergeCell ref="A1413:G1413"/>
    <mergeCell ref="F1414:G1414"/>
    <mergeCell ref="F1415:G1416"/>
    <mergeCell ref="A1416:C1416"/>
    <mergeCell ref="A1443:B1443"/>
    <mergeCell ref="D1443:G1443"/>
    <mergeCell ref="A1439:B1439"/>
    <mergeCell ref="E1439:G1439"/>
    <mergeCell ref="A1440:B1440"/>
    <mergeCell ref="E1440:G1440"/>
    <mergeCell ref="A1441:C1441"/>
    <mergeCell ref="E1441:G1441"/>
    <mergeCell ref="A1433:C1433"/>
    <mergeCell ref="E1433:G1433"/>
    <mergeCell ref="B1435:G1435"/>
    <mergeCell ref="A1436:G1436"/>
    <mergeCell ref="A1437:G1437"/>
    <mergeCell ref="A1438:B1438"/>
    <mergeCell ref="E1438:G1438"/>
    <mergeCell ref="A1432:B1432"/>
    <mergeCell ref="E1432:G1432"/>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3"/>
  <sheetViews>
    <sheetView topLeftCell="A13" workbookViewId="0">
      <selection activeCell="A74" sqref="A74:C74"/>
    </sheetView>
  </sheetViews>
  <sheetFormatPr defaultRowHeight="15"/>
  <cols>
    <col min="1" max="1" width="85.7109375" customWidth="1"/>
    <col min="2" max="2" width="12.140625" customWidth="1"/>
    <col min="3" max="3" width="11.5703125" customWidth="1"/>
  </cols>
  <sheetData>
    <row r="1" spans="1:3" ht="27" thickBot="1">
      <c r="A1" s="2443" t="s">
        <v>1386</v>
      </c>
      <c r="B1" s="2444"/>
      <c r="C1" s="2445"/>
    </row>
    <row r="2" spans="1:3" ht="18" thickBot="1">
      <c r="A2" s="2446" t="s">
        <v>1129</v>
      </c>
      <c r="B2" s="2447"/>
      <c r="C2" s="2448"/>
    </row>
    <row r="3" spans="1:3" ht="18" thickBot="1">
      <c r="A3" s="2441" t="s">
        <v>1130</v>
      </c>
      <c r="B3" s="2442"/>
      <c r="C3" s="393" t="s">
        <v>193</v>
      </c>
    </row>
    <row r="4" spans="1:3">
      <c r="A4" s="394" t="s">
        <v>1131</v>
      </c>
      <c r="B4" s="395">
        <f>11.34+19</f>
        <v>30.34</v>
      </c>
      <c r="C4" s="396" t="s">
        <v>1132</v>
      </c>
    </row>
    <row r="5" spans="1:3" ht="33" customHeight="1">
      <c r="A5" s="397" t="s">
        <v>1133</v>
      </c>
      <c r="B5" s="398">
        <f>(B21/0.15)*0.55</f>
        <v>35.493333333333332</v>
      </c>
      <c r="C5" s="399" t="s">
        <v>1132</v>
      </c>
    </row>
    <row r="6" spans="1:3" ht="30">
      <c r="A6" s="394" t="s">
        <v>1134</v>
      </c>
      <c r="B6" s="395">
        <f>B5-B21</f>
        <v>25.813333333333333</v>
      </c>
      <c r="C6" s="399" t="s">
        <v>1132</v>
      </c>
    </row>
    <row r="7" spans="1:3">
      <c r="A7" s="394" t="s">
        <v>1135</v>
      </c>
      <c r="B7" s="395">
        <f>B13+B21</f>
        <v>40.019999999999996</v>
      </c>
      <c r="C7" s="399" t="s">
        <v>1132</v>
      </c>
    </row>
    <row r="8" spans="1:3">
      <c r="A8" s="397" t="s">
        <v>1136</v>
      </c>
      <c r="B8" s="398">
        <f>2.57*28</f>
        <v>71.959999999999994</v>
      </c>
      <c r="C8" s="399" t="s">
        <v>1137</v>
      </c>
    </row>
    <row r="9" spans="1:3" ht="30">
      <c r="A9" s="397" t="s">
        <v>1138</v>
      </c>
      <c r="B9" s="398">
        <f>B5/0.5</f>
        <v>70.986666666666665</v>
      </c>
      <c r="C9" s="399" t="s">
        <v>1137</v>
      </c>
    </row>
    <row r="10" spans="1:3" ht="15.75" thickBot="1">
      <c r="A10" s="400" t="s">
        <v>1139</v>
      </c>
      <c r="B10" s="401">
        <f>161*(0.4+0.15+0.4)</f>
        <v>152.95000000000002</v>
      </c>
      <c r="C10" s="402" t="s">
        <v>1137</v>
      </c>
    </row>
    <row r="11" spans="1:3" ht="18" thickBot="1">
      <c r="A11" s="2441" t="s">
        <v>1140</v>
      </c>
      <c r="B11" s="2442"/>
      <c r="C11" s="403" t="s">
        <v>193</v>
      </c>
    </row>
    <row r="12" spans="1:3">
      <c r="A12" s="447" t="s">
        <v>1141</v>
      </c>
      <c r="B12" s="395">
        <f>8.88+4.44</f>
        <v>13.32</v>
      </c>
      <c r="C12" s="396" t="s">
        <v>1137</v>
      </c>
    </row>
    <row r="13" spans="1:3">
      <c r="A13" s="404" t="s">
        <v>1142</v>
      </c>
      <c r="B13" s="398">
        <f>11.34+19</f>
        <v>30.34</v>
      </c>
      <c r="C13" s="399" t="s">
        <v>1132</v>
      </c>
    </row>
    <row r="14" spans="1:3">
      <c r="A14" s="404" t="s">
        <v>1143</v>
      </c>
      <c r="B14" s="398">
        <f>B13</f>
        <v>30.34</v>
      </c>
      <c r="C14" s="399" t="s">
        <v>1132</v>
      </c>
    </row>
    <row r="15" spans="1:3">
      <c r="A15" s="404" t="s">
        <v>1144</v>
      </c>
      <c r="B15" s="398">
        <f>33.6+48.2</f>
        <v>81.800000000000011</v>
      </c>
      <c r="C15" s="399" t="s">
        <v>1145</v>
      </c>
    </row>
    <row r="16" spans="1:3">
      <c r="A16" s="404" t="s">
        <v>1146</v>
      </c>
      <c r="B16" s="398">
        <f>127.1+158.2</f>
        <v>285.29999999999995</v>
      </c>
      <c r="C16" s="399" t="s">
        <v>1145</v>
      </c>
    </row>
    <row r="17" spans="1:3">
      <c r="A17" s="404" t="s">
        <v>1147</v>
      </c>
      <c r="B17" s="398">
        <f>4.2</f>
        <v>4.2</v>
      </c>
      <c r="C17" s="405" t="s">
        <v>1145</v>
      </c>
    </row>
    <row r="18" spans="1:3" ht="15.75" thickBot="1">
      <c r="A18" s="406" t="s">
        <v>1148</v>
      </c>
      <c r="B18" s="401">
        <f>45.8+64.9</f>
        <v>110.7</v>
      </c>
      <c r="C18" s="402" t="s">
        <v>1145</v>
      </c>
    </row>
    <row r="19" spans="1:3" ht="18" thickBot="1">
      <c r="A19" s="2441" t="s">
        <v>206</v>
      </c>
      <c r="B19" s="2442"/>
      <c r="C19" s="403" t="s">
        <v>193</v>
      </c>
    </row>
    <row r="20" spans="1:3">
      <c r="A20" s="407" t="s">
        <v>1149</v>
      </c>
      <c r="B20" s="395">
        <f>112.11+41.11</f>
        <v>153.22</v>
      </c>
      <c r="C20" s="396" t="s">
        <v>1137</v>
      </c>
    </row>
    <row r="21" spans="1:3">
      <c r="A21" s="408" t="s">
        <v>1142</v>
      </c>
      <c r="B21" s="398">
        <f>7.08+2.6</f>
        <v>9.68</v>
      </c>
      <c r="C21" s="399" t="s">
        <v>1132</v>
      </c>
    </row>
    <row r="22" spans="1:3">
      <c r="A22" s="408" t="s">
        <v>1143</v>
      </c>
      <c r="B22" s="398">
        <f>B21</f>
        <v>9.68</v>
      </c>
      <c r="C22" s="399" t="s">
        <v>1132</v>
      </c>
    </row>
    <row r="23" spans="1:3">
      <c r="A23" s="408" t="s">
        <v>1144</v>
      </c>
      <c r="B23" s="398">
        <f>74.3+27.5</f>
        <v>101.8</v>
      </c>
      <c r="C23" s="399" t="s">
        <v>1145</v>
      </c>
    </row>
    <row r="24" spans="1:3">
      <c r="A24" s="408" t="s">
        <v>1150</v>
      </c>
      <c r="B24" s="398">
        <f>19.4+13.7</f>
        <v>33.099999999999994</v>
      </c>
      <c r="C24" s="399" t="s">
        <v>1145</v>
      </c>
    </row>
    <row r="25" spans="1:3">
      <c r="A25" s="408" t="s">
        <v>1146</v>
      </c>
      <c r="B25" s="398">
        <f>271.1+97.6</f>
        <v>368.70000000000005</v>
      </c>
      <c r="C25" s="399" t="s">
        <v>1145</v>
      </c>
    </row>
    <row r="26" spans="1:3" ht="15.75" thickBot="1">
      <c r="A26" s="409" t="s">
        <v>1147</v>
      </c>
      <c r="B26" s="401">
        <f>20</f>
        <v>20</v>
      </c>
      <c r="C26" s="402" t="s">
        <v>1145</v>
      </c>
    </row>
    <row r="27" spans="1:3" ht="18" thickBot="1">
      <c r="A27" s="2441" t="s">
        <v>1387</v>
      </c>
      <c r="B27" s="2442"/>
      <c r="C27" s="410" t="s">
        <v>193</v>
      </c>
    </row>
    <row r="28" spans="1:3">
      <c r="A28" s="408" t="s">
        <v>1388</v>
      </c>
      <c r="B28" s="412">
        <v>209</v>
      </c>
      <c r="C28" s="399" t="s">
        <v>1137</v>
      </c>
    </row>
    <row r="29" spans="1:3">
      <c r="A29" s="408" t="s">
        <v>1142</v>
      </c>
      <c r="B29" s="412">
        <v>10.45</v>
      </c>
      <c r="C29" s="399" t="s">
        <v>1132</v>
      </c>
    </row>
    <row r="30" spans="1:3">
      <c r="A30" s="408" t="s">
        <v>1143</v>
      </c>
      <c r="B30" s="412">
        <f>B29</f>
        <v>10.45</v>
      </c>
      <c r="C30" s="399" t="s">
        <v>1132</v>
      </c>
    </row>
    <row r="31" spans="1:3">
      <c r="A31" s="408" t="s">
        <v>1151</v>
      </c>
      <c r="B31" s="412">
        <v>97.83</v>
      </c>
      <c r="C31" s="399" t="s">
        <v>1145</v>
      </c>
    </row>
    <row r="32" spans="1:3">
      <c r="A32" s="408" t="s">
        <v>1152</v>
      </c>
      <c r="B32" s="412">
        <v>160</v>
      </c>
      <c r="C32" s="399" t="s">
        <v>1145</v>
      </c>
    </row>
    <row r="33" spans="1:3">
      <c r="A33" s="408" t="s">
        <v>1150</v>
      </c>
      <c r="B33" s="412">
        <v>73.03</v>
      </c>
      <c r="C33" s="399" t="s">
        <v>1145</v>
      </c>
    </row>
    <row r="34" spans="1:3" ht="15.75" thickBot="1">
      <c r="A34" s="408" t="s">
        <v>1146</v>
      </c>
      <c r="B34" s="412">
        <v>11.8</v>
      </c>
      <c r="C34" s="399" t="s">
        <v>1145</v>
      </c>
    </row>
    <row r="35" spans="1:3" ht="18" thickBot="1">
      <c r="A35" s="2441" t="s">
        <v>1326</v>
      </c>
      <c r="B35" s="2442"/>
      <c r="C35" s="410" t="s">
        <v>193</v>
      </c>
    </row>
    <row r="36" spans="1:3">
      <c r="A36" s="407" t="s">
        <v>1149</v>
      </c>
      <c r="B36" s="411">
        <v>61.4</v>
      </c>
      <c r="C36" s="396" t="s">
        <v>1137</v>
      </c>
    </row>
    <row r="37" spans="1:3">
      <c r="A37" s="408" t="s">
        <v>1142</v>
      </c>
      <c r="B37" s="412">
        <v>11.07</v>
      </c>
      <c r="C37" s="399" t="s">
        <v>1132</v>
      </c>
    </row>
    <row r="38" spans="1:3">
      <c r="A38" s="408" t="s">
        <v>1143</v>
      </c>
      <c r="B38" s="412">
        <f>B37</f>
        <v>11.07</v>
      </c>
      <c r="C38" s="399" t="s">
        <v>1132</v>
      </c>
    </row>
    <row r="39" spans="1:3">
      <c r="A39" s="408" t="s">
        <v>1151</v>
      </c>
      <c r="B39" s="412">
        <v>113.63</v>
      </c>
      <c r="C39" s="399" t="s">
        <v>1145</v>
      </c>
    </row>
    <row r="40" spans="1:3">
      <c r="A40" s="408" t="s">
        <v>1152</v>
      </c>
      <c r="B40" s="412">
        <v>322</v>
      </c>
      <c r="C40" s="399" t="s">
        <v>1145</v>
      </c>
    </row>
    <row r="41" spans="1:3">
      <c r="A41" s="408" t="s">
        <v>1150</v>
      </c>
      <c r="B41" s="412">
        <v>28.07</v>
      </c>
      <c r="C41" s="399" t="s">
        <v>1145</v>
      </c>
    </row>
    <row r="42" spans="1:3">
      <c r="A42" s="408" t="s">
        <v>1146</v>
      </c>
      <c r="B42" s="412">
        <v>103.92</v>
      </c>
      <c r="C42" s="399" t="s">
        <v>1145</v>
      </c>
    </row>
    <row r="43" spans="1:3" ht="15.75" thickBot="1">
      <c r="A43" s="409" t="s">
        <v>1147</v>
      </c>
      <c r="B43" s="413">
        <f>114.3</f>
        <v>114.3</v>
      </c>
      <c r="C43" s="402" t="s">
        <v>1145</v>
      </c>
    </row>
    <row r="44" spans="1:3" ht="18" thickBot="1">
      <c r="A44" s="2441" t="s">
        <v>217</v>
      </c>
      <c r="B44" s="2442"/>
      <c r="C44" s="410" t="s">
        <v>193</v>
      </c>
    </row>
    <row r="45" spans="1:3">
      <c r="A45" s="407" t="s">
        <v>1149</v>
      </c>
      <c r="B45" s="411">
        <f>60.56+64.84+68.17</f>
        <v>193.57</v>
      </c>
      <c r="C45" s="396" t="s">
        <v>1137</v>
      </c>
    </row>
    <row r="46" spans="1:3">
      <c r="A46" s="408" t="s">
        <v>1142</v>
      </c>
      <c r="B46" s="412">
        <f>3.48+3.97+3.94</f>
        <v>11.39</v>
      </c>
      <c r="C46" s="399" t="s">
        <v>1132</v>
      </c>
    </row>
    <row r="47" spans="1:3">
      <c r="A47" s="408" t="s">
        <v>1143</v>
      </c>
      <c r="B47" s="412">
        <f>B46</f>
        <v>11.39</v>
      </c>
      <c r="C47" s="399" t="s">
        <v>1132</v>
      </c>
    </row>
    <row r="48" spans="1:3">
      <c r="A48" s="408" t="s">
        <v>1144</v>
      </c>
      <c r="B48" s="398">
        <f>77.3+82.9+94.7</f>
        <v>254.89999999999998</v>
      </c>
      <c r="C48" s="399" t="s">
        <v>1145</v>
      </c>
    </row>
    <row r="49" spans="1:3">
      <c r="A49" s="408" t="s">
        <v>1146</v>
      </c>
      <c r="B49" s="398">
        <f>161.7+176.4+236</f>
        <v>574.1</v>
      </c>
      <c r="C49" s="405" t="s">
        <v>1145</v>
      </c>
    </row>
    <row r="50" spans="1:3">
      <c r="A50" s="408" t="s">
        <v>1147</v>
      </c>
      <c r="B50" s="398">
        <f>11.1</f>
        <v>11.1</v>
      </c>
      <c r="C50" s="405" t="s">
        <v>1145</v>
      </c>
    </row>
    <row r="51" spans="1:3" ht="15.75" thickBot="1">
      <c r="A51" s="409" t="s">
        <v>1148</v>
      </c>
      <c r="B51" s="401">
        <f>136.6+246.2+45.5</f>
        <v>428.29999999999995</v>
      </c>
      <c r="C51" s="402" t="s">
        <v>1145</v>
      </c>
    </row>
    <row r="52" spans="1:3" ht="18" thickBot="1">
      <c r="A52" s="2441" t="s">
        <v>1153</v>
      </c>
      <c r="B52" s="2442"/>
      <c r="C52" s="403" t="s">
        <v>193</v>
      </c>
    </row>
    <row r="53" spans="1:3">
      <c r="A53" s="407" t="s">
        <v>1149</v>
      </c>
      <c r="B53" s="414">
        <f>104.7+59.93</f>
        <v>164.63</v>
      </c>
      <c r="C53" s="396" t="s">
        <v>1137</v>
      </c>
    </row>
    <row r="54" spans="1:3">
      <c r="A54" s="408" t="s">
        <v>1142</v>
      </c>
      <c r="B54" s="414">
        <f>6.93+3.84</f>
        <v>10.77</v>
      </c>
      <c r="C54" s="399" t="s">
        <v>1132</v>
      </c>
    </row>
    <row r="55" spans="1:3">
      <c r="A55" s="408" t="s">
        <v>1143</v>
      </c>
      <c r="B55" s="414">
        <f>B54</f>
        <v>10.77</v>
      </c>
      <c r="C55" s="399" t="s">
        <v>1132</v>
      </c>
    </row>
    <row r="56" spans="1:3">
      <c r="A56" s="408" t="s">
        <v>1144</v>
      </c>
      <c r="B56" s="414">
        <f>81.4+56.5</f>
        <v>137.9</v>
      </c>
      <c r="C56" s="399" t="s">
        <v>1145</v>
      </c>
    </row>
    <row r="57" spans="1:3">
      <c r="A57" s="408" t="s">
        <v>1152</v>
      </c>
      <c r="B57" s="414">
        <f>84.8+46.7</f>
        <v>131.5</v>
      </c>
      <c r="C57" s="399" t="s">
        <v>1145</v>
      </c>
    </row>
    <row r="58" spans="1:3">
      <c r="A58" s="408" t="s">
        <v>1150</v>
      </c>
      <c r="B58" s="414">
        <f>36.5+18.3</f>
        <v>54.8</v>
      </c>
      <c r="C58" s="399" t="s">
        <v>1145</v>
      </c>
    </row>
    <row r="59" spans="1:3">
      <c r="A59" s="408" t="s">
        <v>1146</v>
      </c>
      <c r="B59" s="414">
        <f>215+114.4</f>
        <v>329.4</v>
      </c>
      <c r="C59" s="399" t="s">
        <v>1145</v>
      </c>
    </row>
    <row r="60" spans="1:3">
      <c r="A60" s="408" t="s">
        <v>1147</v>
      </c>
      <c r="B60" s="448">
        <v>21.5</v>
      </c>
      <c r="C60" s="399" t="s">
        <v>1145</v>
      </c>
    </row>
    <row r="61" spans="1:3">
      <c r="A61" s="408" t="s">
        <v>1148</v>
      </c>
      <c r="B61" s="414">
        <f>30.4+60</f>
        <v>90.4</v>
      </c>
      <c r="C61" s="399" t="s">
        <v>1145</v>
      </c>
    </row>
    <row r="62" spans="1:3" ht="15.75" thickBot="1">
      <c r="A62" s="409" t="s">
        <v>1154</v>
      </c>
      <c r="B62" s="415">
        <v>40.200000000000003</v>
      </c>
      <c r="C62" s="402" t="s">
        <v>1145</v>
      </c>
    </row>
    <row r="63" spans="1:3" ht="18" thickBot="1">
      <c r="A63" s="2441" t="s">
        <v>1155</v>
      </c>
      <c r="B63" s="2442"/>
      <c r="C63" s="403" t="s">
        <v>193</v>
      </c>
    </row>
    <row r="64" spans="1:3">
      <c r="A64" s="407" t="s">
        <v>1149</v>
      </c>
      <c r="B64" s="414">
        <v>32.53</v>
      </c>
      <c r="C64" s="396" t="s">
        <v>1137</v>
      </c>
    </row>
    <row r="65" spans="1:3">
      <c r="A65" s="408" t="s">
        <v>1142</v>
      </c>
      <c r="B65" s="414">
        <v>1.88</v>
      </c>
      <c r="C65" s="399" t="s">
        <v>1132</v>
      </c>
    </row>
    <row r="66" spans="1:3">
      <c r="A66" s="408" t="s">
        <v>1143</v>
      </c>
      <c r="B66" s="414">
        <f>B65</f>
        <v>1.88</v>
      </c>
      <c r="C66" s="399" t="s">
        <v>1132</v>
      </c>
    </row>
    <row r="67" spans="1:3">
      <c r="A67" s="408" t="s">
        <v>1144</v>
      </c>
      <c r="B67" s="414">
        <v>34.1</v>
      </c>
      <c r="C67" s="399" t="s">
        <v>1145</v>
      </c>
    </row>
    <row r="68" spans="1:3" ht="15.75" thickBot="1">
      <c r="A68" s="409" t="s">
        <v>1150</v>
      </c>
      <c r="B68" s="415">
        <v>73.7</v>
      </c>
      <c r="C68" s="402" t="s">
        <v>1145</v>
      </c>
    </row>
    <row r="69" spans="1:3" ht="18" thickBot="1">
      <c r="A69" s="2441" t="s">
        <v>1156</v>
      </c>
      <c r="B69" s="2442"/>
      <c r="C69" s="403" t="s">
        <v>193</v>
      </c>
    </row>
    <row r="70" spans="1:3">
      <c r="A70" s="416" t="s">
        <v>1157</v>
      </c>
      <c r="B70" s="411">
        <v>173.89</v>
      </c>
      <c r="C70" s="396" t="s">
        <v>1145</v>
      </c>
    </row>
    <row r="71" spans="1:3">
      <c r="A71" s="408" t="s">
        <v>1158</v>
      </c>
      <c r="B71" s="412">
        <v>19.53</v>
      </c>
      <c r="C71" s="399" t="s">
        <v>1137</v>
      </c>
    </row>
    <row r="72" spans="1:3">
      <c r="A72" s="404" t="s">
        <v>1159</v>
      </c>
      <c r="B72" s="412">
        <v>5.05</v>
      </c>
      <c r="C72" s="399" t="s">
        <v>1145</v>
      </c>
    </row>
    <row r="73" spans="1:3" ht="15.75" thickBot="1">
      <c r="A73" s="945" t="s">
        <v>1160</v>
      </c>
      <c r="B73" s="946">
        <v>11.66</v>
      </c>
      <c r="C73" s="947" t="s">
        <v>1145</v>
      </c>
    </row>
    <row r="74" spans="1:3" ht="39" thickBot="1">
      <c r="A74" s="949" t="s">
        <v>2030</v>
      </c>
      <c r="B74" s="2439" t="s">
        <v>2031</v>
      </c>
      <c r="C74" s="2440"/>
    </row>
    <row r="75" spans="1:3">
      <c r="A75" s="425"/>
      <c r="B75" s="195"/>
      <c r="C75" s="948"/>
    </row>
    <row r="76" spans="1:3">
      <c r="A76" s="425"/>
      <c r="B76" s="195"/>
      <c r="C76" s="948"/>
    </row>
    <row r="77" spans="1:3" ht="18" thickBot="1">
      <c r="A77" s="2449" t="s">
        <v>330</v>
      </c>
      <c r="B77" s="2450"/>
      <c r="C77" s="2451"/>
    </row>
    <row r="78" spans="1:3" ht="18" thickBot="1">
      <c r="A78" s="2441" t="s">
        <v>303</v>
      </c>
      <c r="B78" s="2442"/>
      <c r="C78" s="417" t="s">
        <v>193</v>
      </c>
    </row>
    <row r="79" spans="1:3">
      <c r="A79" s="416" t="s">
        <v>1157</v>
      </c>
      <c r="B79" s="411">
        <f>2587.3+43.54</f>
        <v>2630.84</v>
      </c>
      <c r="C79" s="396" t="s">
        <v>1145</v>
      </c>
    </row>
    <row r="80" spans="1:3">
      <c r="A80" s="408" t="s">
        <v>1158</v>
      </c>
      <c r="B80" s="418">
        <v>159.83699999999999</v>
      </c>
      <c r="C80" s="399" t="s">
        <v>1137</v>
      </c>
    </row>
    <row r="81" spans="1:3">
      <c r="A81" s="404" t="s">
        <v>1159</v>
      </c>
      <c r="B81" s="412">
        <f>15.45+14.57</f>
        <v>30.02</v>
      </c>
      <c r="C81" s="399" t="s">
        <v>1145</v>
      </c>
    </row>
    <row r="82" spans="1:3" ht="15.75" thickBot="1">
      <c r="A82" s="406" t="s">
        <v>1160</v>
      </c>
      <c r="B82" s="413">
        <v>64.319999999999993</v>
      </c>
      <c r="C82" s="402" t="s">
        <v>1145</v>
      </c>
    </row>
    <row r="83" spans="1:3" ht="39" thickBot="1">
      <c r="A83" s="949" t="s">
        <v>2032</v>
      </c>
      <c r="B83" s="2439" t="s">
        <v>2031</v>
      </c>
      <c r="C83" s="2440"/>
    </row>
  </sheetData>
  <mergeCells count="15">
    <mergeCell ref="B83:C83"/>
    <mergeCell ref="A27:B27"/>
    <mergeCell ref="A1:C1"/>
    <mergeCell ref="A2:C2"/>
    <mergeCell ref="A3:B3"/>
    <mergeCell ref="A11:B11"/>
    <mergeCell ref="A19:B19"/>
    <mergeCell ref="A78:B78"/>
    <mergeCell ref="A35:B35"/>
    <mergeCell ref="A44:B44"/>
    <mergeCell ref="A52:B52"/>
    <mergeCell ref="A63:B63"/>
    <mergeCell ref="A69:B69"/>
    <mergeCell ref="A77:C77"/>
    <mergeCell ref="B74:C74"/>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4"/>
  <sheetViews>
    <sheetView workbookViewId="0">
      <selection activeCell="B4" sqref="B4"/>
    </sheetView>
  </sheetViews>
  <sheetFormatPr defaultRowHeight="15"/>
  <cols>
    <col min="1" max="1" width="81.28515625" customWidth="1"/>
    <col min="2" max="2" width="9.85546875" customWidth="1"/>
    <col min="3" max="3" width="9.42578125" customWidth="1"/>
  </cols>
  <sheetData>
    <row r="1" spans="1:3" ht="27" thickBot="1">
      <c r="A1" s="2443" t="s">
        <v>2074</v>
      </c>
      <c r="B1" s="2444"/>
      <c r="C1" s="2445"/>
    </row>
    <row r="2" spans="1:3" ht="18" thickBot="1">
      <c r="A2" s="2441" t="s">
        <v>1130</v>
      </c>
      <c r="B2" s="2442"/>
      <c r="C2" s="393" t="s">
        <v>193</v>
      </c>
    </row>
    <row r="3" spans="1:3">
      <c r="A3" s="394" t="s">
        <v>2075</v>
      </c>
      <c r="B3" s="395">
        <v>280.52999999999997</v>
      </c>
      <c r="C3" s="396" t="s">
        <v>1137</v>
      </c>
    </row>
    <row r="4" spans="1:3">
      <c r="A4" s="394" t="s">
        <v>1659</v>
      </c>
      <c r="B4" s="395">
        <f>60.6*2.08</f>
        <v>126.048</v>
      </c>
      <c r="C4" s="534" t="s">
        <v>1137</v>
      </c>
    </row>
    <row r="5" spans="1:3" ht="45">
      <c r="A5" s="397" t="s">
        <v>1133</v>
      </c>
      <c r="B5" s="398">
        <f>(B24/0.15)*0.55</f>
        <v>33.366666666666667</v>
      </c>
      <c r="C5" s="399" t="s">
        <v>1132</v>
      </c>
    </row>
    <row r="6" spans="1:3" ht="30">
      <c r="A6" s="394" t="s">
        <v>1134</v>
      </c>
      <c r="B6" s="395">
        <f>B5-B24</f>
        <v>24.266666666666666</v>
      </c>
      <c r="C6" s="399" t="s">
        <v>1132</v>
      </c>
    </row>
    <row r="7" spans="1:3">
      <c r="A7" s="394" t="s">
        <v>1135</v>
      </c>
      <c r="B7" s="395">
        <f>B12+B18+B24</f>
        <v>20.998760800517999</v>
      </c>
      <c r="C7" s="399" t="s">
        <v>1132</v>
      </c>
    </row>
    <row r="8" spans="1:3" ht="30">
      <c r="A8" s="397" t="s">
        <v>1138</v>
      </c>
      <c r="B8" s="398">
        <f>B5/0.5</f>
        <v>66.733333333333334</v>
      </c>
      <c r="C8" s="399" t="s">
        <v>1137</v>
      </c>
    </row>
    <row r="9" spans="1:3" ht="15.75" thickBot="1">
      <c r="A9" s="400" t="s">
        <v>1139</v>
      </c>
      <c r="B9" s="401">
        <f>(112.21+70.09)*(0.3+0.15+0.3)</f>
        <v>136.72500000000002</v>
      </c>
      <c r="C9" s="402" t="s">
        <v>1137</v>
      </c>
    </row>
    <row r="10" spans="1:3" ht="18" thickBot="1">
      <c r="A10" s="2441" t="s">
        <v>1660</v>
      </c>
      <c r="B10" s="2442"/>
      <c r="C10" s="403" t="s">
        <v>193</v>
      </c>
    </row>
    <row r="11" spans="1:3">
      <c r="A11" s="447" t="s">
        <v>1149</v>
      </c>
      <c r="B11" s="395">
        <f>66.15+36.75</f>
        <v>102.9</v>
      </c>
      <c r="C11" s="396" t="s">
        <v>1137</v>
      </c>
    </row>
    <row r="12" spans="1:3">
      <c r="A12" s="404" t="s">
        <v>1142</v>
      </c>
      <c r="B12" s="398">
        <f>4.25+7.65-3.08</f>
        <v>8.82</v>
      </c>
      <c r="C12" s="399" t="s">
        <v>1132</v>
      </c>
    </row>
    <row r="13" spans="1:3">
      <c r="A13" s="404" t="s">
        <v>1143</v>
      </c>
      <c r="B13" s="398">
        <f>B12</f>
        <v>8.82</v>
      </c>
      <c r="C13" s="399" t="s">
        <v>1132</v>
      </c>
    </row>
    <row r="14" spans="1:3">
      <c r="A14" s="404" t="s">
        <v>1144</v>
      </c>
      <c r="B14" s="398">
        <v>158.71</v>
      </c>
      <c r="C14" s="399" t="s">
        <v>1145</v>
      </c>
    </row>
    <row r="15" spans="1:3" ht="15.75" thickBot="1">
      <c r="A15" s="404" t="s">
        <v>1146</v>
      </c>
      <c r="B15" s="398">
        <v>105.2</v>
      </c>
      <c r="C15" s="399" t="s">
        <v>1145</v>
      </c>
    </row>
    <row r="16" spans="1:3" ht="18" thickBot="1">
      <c r="A16" s="2441" t="s">
        <v>1661</v>
      </c>
      <c r="B16" s="2442"/>
      <c r="C16" s="403" t="s">
        <v>193</v>
      </c>
    </row>
    <row r="17" spans="1:3">
      <c r="A17" s="447" t="s">
        <v>1662</v>
      </c>
      <c r="B17" s="395">
        <f>1.4*70</f>
        <v>98</v>
      </c>
      <c r="C17" s="396" t="s">
        <v>158</v>
      </c>
    </row>
    <row r="18" spans="1:3">
      <c r="A18" s="404" t="s">
        <v>1142</v>
      </c>
      <c r="B18" s="398">
        <f>70*PI()*0.2^2*1.4/4</f>
        <v>3.0787608005179976</v>
      </c>
      <c r="C18" s="399" t="s">
        <v>1132</v>
      </c>
    </row>
    <row r="19" spans="1:3">
      <c r="A19" s="404" t="s">
        <v>1143</v>
      </c>
      <c r="B19" s="398">
        <f>B18</f>
        <v>3.0787608005179976</v>
      </c>
      <c r="C19" s="399" t="s">
        <v>1132</v>
      </c>
    </row>
    <row r="20" spans="1:3">
      <c r="A20" s="404" t="s">
        <v>1144</v>
      </c>
      <c r="B20" s="398">
        <v>68.400000000000006</v>
      </c>
      <c r="C20" s="399" t="s">
        <v>1145</v>
      </c>
    </row>
    <row r="21" spans="1:3" ht="15.75" thickBot="1">
      <c r="A21" s="404" t="s">
        <v>1146</v>
      </c>
      <c r="B21" s="398">
        <v>361.41</v>
      </c>
      <c r="C21" s="399" t="s">
        <v>1145</v>
      </c>
    </row>
    <row r="22" spans="1:3" ht="18" thickBot="1">
      <c r="A22" s="2441" t="s">
        <v>206</v>
      </c>
      <c r="B22" s="2442"/>
      <c r="C22" s="403" t="s">
        <v>193</v>
      </c>
    </row>
    <row r="23" spans="1:3">
      <c r="A23" s="407" t="s">
        <v>1149</v>
      </c>
      <c r="B23" s="395">
        <v>133</v>
      </c>
      <c r="C23" s="396" t="s">
        <v>1137</v>
      </c>
    </row>
    <row r="24" spans="1:3">
      <c r="A24" s="408" t="s">
        <v>1142</v>
      </c>
      <c r="B24" s="398">
        <v>9.1</v>
      </c>
      <c r="C24" s="399" t="s">
        <v>1132</v>
      </c>
    </row>
    <row r="25" spans="1:3">
      <c r="A25" s="408" t="s">
        <v>1143</v>
      </c>
      <c r="B25" s="398">
        <f>B24</f>
        <v>9.1</v>
      </c>
      <c r="C25" s="399" t="s">
        <v>1132</v>
      </c>
    </row>
    <row r="26" spans="1:3">
      <c r="A26" s="408" t="s">
        <v>1144</v>
      </c>
      <c r="B26" s="398">
        <v>239</v>
      </c>
      <c r="C26" s="399" t="s">
        <v>1145</v>
      </c>
    </row>
    <row r="27" spans="1:3" ht="15.75" thickBot="1">
      <c r="A27" s="408" t="s">
        <v>1146</v>
      </c>
      <c r="B27" s="398">
        <v>483</v>
      </c>
      <c r="C27" s="399" t="s">
        <v>1145</v>
      </c>
    </row>
    <row r="28" spans="1:3" ht="18" thickBot="1">
      <c r="A28" s="2441" t="s">
        <v>217</v>
      </c>
      <c r="B28" s="2442"/>
      <c r="C28" s="410" t="s">
        <v>193</v>
      </c>
    </row>
    <row r="29" spans="1:3">
      <c r="A29" s="407" t="s">
        <v>1149</v>
      </c>
      <c r="B29" s="411">
        <v>101.25</v>
      </c>
      <c r="C29" s="396" t="s">
        <v>1137</v>
      </c>
    </row>
    <row r="30" spans="1:3">
      <c r="A30" s="408" t="s">
        <v>1142</v>
      </c>
      <c r="B30" s="412">
        <v>4.95</v>
      </c>
      <c r="C30" s="399" t="s">
        <v>1132</v>
      </c>
    </row>
    <row r="31" spans="1:3">
      <c r="A31" s="408" t="s">
        <v>1143</v>
      </c>
      <c r="B31" s="412">
        <f>B30</f>
        <v>4.95</v>
      </c>
      <c r="C31" s="399" t="s">
        <v>1132</v>
      </c>
    </row>
    <row r="32" spans="1:3">
      <c r="A32" s="408" t="s">
        <v>1144</v>
      </c>
      <c r="B32" s="398">
        <v>117</v>
      </c>
      <c r="C32" s="399" t="s">
        <v>1145</v>
      </c>
    </row>
    <row r="33" spans="1:3" ht="15.75" thickBot="1">
      <c r="A33" s="1032" t="s">
        <v>1146</v>
      </c>
      <c r="B33" s="1033">
        <v>274.5</v>
      </c>
      <c r="C33" s="405" t="s">
        <v>1145</v>
      </c>
    </row>
    <row r="34" spans="1:3" ht="39" thickBot="1">
      <c r="A34" s="1034" t="s">
        <v>2030</v>
      </c>
      <c r="B34" s="2452" t="s">
        <v>2076</v>
      </c>
      <c r="C34" s="2453"/>
    </row>
  </sheetData>
  <mergeCells count="7">
    <mergeCell ref="B34:C34"/>
    <mergeCell ref="A1:C1"/>
    <mergeCell ref="A2:B2"/>
    <mergeCell ref="A10:B10"/>
    <mergeCell ref="A16:B16"/>
    <mergeCell ref="A22:B22"/>
    <mergeCell ref="A28:B28"/>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3"/>
  <sheetViews>
    <sheetView topLeftCell="A70" workbookViewId="0">
      <selection activeCell="D81" sqref="D81"/>
    </sheetView>
  </sheetViews>
  <sheetFormatPr defaultRowHeight="15"/>
  <cols>
    <col min="2" max="2" width="90" bestFit="1" customWidth="1"/>
    <col min="3" max="3" width="12" customWidth="1"/>
    <col min="5" max="5" width="45.85546875" customWidth="1"/>
  </cols>
  <sheetData>
    <row r="1" spans="1:6" ht="21.75" thickBot="1">
      <c r="A1" s="2454" t="s">
        <v>1018</v>
      </c>
      <c r="B1" s="2455"/>
      <c r="C1" s="2456"/>
    </row>
    <row r="2" spans="1:6" ht="15.75" thickBot="1">
      <c r="A2" s="2457" t="s">
        <v>256</v>
      </c>
      <c r="B2" s="2458"/>
      <c r="C2" s="2459"/>
    </row>
    <row r="3" spans="1:6">
      <c r="A3" s="387">
        <v>1</v>
      </c>
      <c r="B3" s="1051" t="s">
        <v>257</v>
      </c>
      <c r="C3" s="1052" t="s">
        <v>258</v>
      </c>
      <c r="E3" s="486"/>
      <c r="F3" s="488"/>
    </row>
    <row r="4" spans="1:6">
      <c r="A4" s="388">
        <v>2</v>
      </c>
      <c r="B4" s="1053" t="s">
        <v>259</v>
      </c>
      <c r="C4" s="1054" t="s">
        <v>1019</v>
      </c>
      <c r="E4" s="486"/>
      <c r="F4" s="488"/>
    </row>
    <row r="5" spans="1:6">
      <c r="A5" s="388">
        <v>3</v>
      </c>
      <c r="B5" s="1053" t="s">
        <v>261</v>
      </c>
      <c r="C5" s="1054" t="s">
        <v>1020</v>
      </c>
      <c r="E5" s="486"/>
      <c r="F5" s="488"/>
    </row>
    <row r="6" spans="1:6">
      <c r="A6" s="388">
        <v>4</v>
      </c>
      <c r="B6" s="1053" t="s">
        <v>1021</v>
      </c>
      <c r="C6" s="1054" t="s">
        <v>1022</v>
      </c>
      <c r="E6" s="486"/>
      <c r="F6" s="488"/>
    </row>
    <row r="7" spans="1:6">
      <c r="A7" s="388">
        <v>5</v>
      </c>
      <c r="B7" s="1053" t="s">
        <v>1023</v>
      </c>
      <c r="C7" s="1054" t="s">
        <v>263</v>
      </c>
      <c r="E7" s="486"/>
      <c r="F7" s="488"/>
    </row>
    <row r="8" spans="1:6">
      <c r="A8" s="388">
        <v>6</v>
      </c>
      <c r="B8" s="1053" t="s">
        <v>1024</v>
      </c>
      <c r="C8" s="1054" t="s">
        <v>263</v>
      </c>
      <c r="E8" s="486"/>
      <c r="F8" s="488"/>
    </row>
    <row r="9" spans="1:6">
      <c r="A9" s="388">
        <v>7</v>
      </c>
      <c r="B9" s="1053" t="s">
        <v>1025</v>
      </c>
      <c r="C9" s="1054" t="s">
        <v>262</v>
      </c>
      <c r="E9" s="486"/>
      <c r="F9" s="488"/>
    </row>
    <row r="10" spans="1:6">
      <c r="A10" s="388">
        <v>8</v>
      </c>
      <c r="B10" s="1053" t="s">
        <v>1026</v>
      </c>
      <c r="C10" s="1054" t="s">
        <v>263</v>
      </c>
      <c r="E10" s="486"/>
      <c r="F10" s="488"/>
    </row>
    <row r="11" spans="1:6">
      <c r="A11" s="388">
        <v>9</v>
      </c>
      <c r="B11" s="1055" t="s">
        <v>1027</v>
      </c>
      <c r="C11" s="1054" t="s">
        <v>1028</v>
      </c>
      <c r="E11" s="486"/>
      <c r="F11" s="488"/>
    </row>
    <row r="12" spans="1:6">
      <c r="A12" s="388">
        <v>10</v>
      </c>
      <c r="B12" s="1053" t="s">
        <v>1029</v>
      </c>
      <c r="C12" s="1054" t="s">
        <v>1030</v>
      </c>
      <c r="E12" s="486"/>
      <c r="F12" s="488"/>
    </row>
    <row r="13" spans="1:6">
      <c r="A13" s="388">
        <v>11</v>
      </c>
      <c r="B13" s="1053" t="s">
        <v>1031</v>
      </c>
      <c r="C13" s="1054" t="s">
        <v>1032</v>
      </c>
      <c r="E13" s="489"/>
      <c r="F13" s="488"/>
    </row>
    <row r="14" spans="1:6">
      <c r="A14" s="388">
        <v>12</v>
      </c>
      <c r="B14" s="1053" t="s">
        <v>1033</v>
      </c>
      <c r="C14" s="1054" t="s">
        <v>1034</v>
      </c>
      <c r="E14" s="486"/>
      <c r="F14" s="488"/>
    </row>
    <row r="15" spans="1:6">
      <c r="A15" s="388">
        <v>13</v>
      </c>
      <c r="B15" s="1053" t="s">
        <v>1035</v>
      </c>
      <c r="C15" s="1054" t="s">
        <v>1036</v>
      </c>
      <c r="E15" s="486"/>
      <c r="F15" s="488"/>
    </row>
    <row r="16" spans="1:6">
      <c r="A16" s="388">
        <v>14</v>
      </c>
      <c r="B16" s="1053" t="s">
        <v>1037</v>
      </c>
      <c r="C16" s="1054" t="s">
        <v>1038</v>
      </c>
      <c r="E16" s="486"/>
      <c r="F16" s="488"/>
    </row>
    <row r="17" spans="1:6">
      <c r="A17" s="388">
        <v>15</v>
      </c>
      <c r="B17" s="1053" t="s">
        <v>1039</v>
      </c>
      <c r="C17" s="1054" t="s">
        <v>1040</v>
      </c>
      <c r="E17" s="486"/>
      <c r="F17" s="488"/>
    </row>
    <row r="18" spans="1:6" ht="17.25" customHeight="1">
      <c r="A18" s="388">
        <v>16</v>
      </c>
      <c r="B18" s="1053" t="s">
        <v>1041</v>
      </c>
      <c r="C18" s="1054" t="s">
        <v>262</v>
      </c>
      <c r="E18" s="486"/>
      <c r="F18" s="488"/>
    </row>
    <row r="19" spans="1:6">
      <c r="A19" s="388">
        <v>17</v>
      </c>
      <c r="B19" s="1053" t="s">
        <v>1042</v>
      </c>
      <c r="C19" s="1054" t="s">
        <v>258</v>
      </c>
      <c r="E19" s="486"/>
      <c r="F19" s="488"/>
    </row>
    <row r="20" spans="1:6">
      <c r="A20" s="388">
        <v>18</v>
      </c>
      <c r="B20" s="1053" t="s">
        <v>1043</v>
      </c>
      <c r="C20" s="490" t="s">
        <v>265</v>
      </c>
      <c r="E20" s="486" t="s">
        <v>1538</v>
      </c>
      <c r="F20" s="488"/>
    </row>
    <row r="21" spans="1:6">
      <c r="A21" s="388">
        <v>19</v>
      </c>
      <c r="B21" s="1053" t="s">
        <v>1537</v>
      </c>
      <c r="C21" s="490" t="s">
        <v>258</v>
      </c>
      <c r="E21" s="486"/>
      <c r="F21" s="488"/>
    </row>
    <row r="22" spans="1:6">
      <c r="A22" s="388">
        <v>20</v>
      </c>
      <c r="B22" s="1053" t="s">
        <v>1044</v>
      </c>
      <c r="C22" s="490" t="s">
        <v>262</v>
      </c>
      <c r="E22" s="486"/>
      <c r="F22" s="488"/>
    </row>
    <row r="23" spans="1:6">
      <c r="A23" s="388">
        <v>21</v>
      </c>
      <c r="B23" s="1053" t="s">
        <v>1045</v>
      </c>
      <c r="C23" s="1054" t="s">
        <v>263</v>
      </c>
      <c r="E23" s="486"/>
      <c r="F23" s="488"/>
    </row>
    <row r="24" spans="1:6">
      <c r="A24" s="388">
        <v>22</v>
      </c>
      <c r="B24" s="1053" t="s">
        <v>1046</v>
      </c>
      <c r="C24" s="1054" t="s">
        <v>263</v>
      </c>
      <c r="E24" s="486" t="s">
        <v>1542</v>
      </c>
      <c r="F24" s="488"/>
    </row>
    <row r="25" spans="1:6">
      <c r="A25" s="388">
        <v>23</v>
      </c>
      <c r="B25" s="1053" t="s">
        <v>1047</v>
      </c>
      <c r="C25" s="1054" t="s">
        <v>1048</v>
      </c>
      <c r="E25" s="486"/>
      <c r="F25" s="488"/>
    </row>
    <row r="26" spans="1:6">
      <c r="A26" s="388">
        <v>24</v>
      </c>
      <c r="B26" s="1053" t="s">
        <v>1049</v>
      </c>
      <c r="C26" s="1054" t="s">
        <v>262</v>
      </c>
      <c r="E26" s="486"/>
      <c r="F26" s="488"/>
    </row>
    <row r="27" spans="1:6">
      <c r="A27" s="388">
        <v>25</v>
      </c>
      <c r="B27" s="1053" t="s">
        <v>1050</v>
      </c>
      <c r="C27" s="1054" t="s">
        <v>1051</v>
      </c>
      <c r="E27" s="486"/>
      <c r="F27" s="488"/>
    </row>
    <row r="28" spans="1:6">
      <c r="A28" s="388">
        <v>26</v>
      </c>
      <c r="B28" s="1053" t="s">
        <v>1052</v>
      </c>
      <c r="C28" s="1054" t="s">
        <v>262</v>
      </c>
      <c r="E28" s="486"/>
      <c r="F28" s="488"/>
    </row>
    <row r="29" spans="1:6">
      <c r="A29" s="388">
        <v>27</v>
      </c>
      <c r="B29" s="1053" t="s">
        <v>1053</v>
      </c>
      <c r="C29" s="1054" t="s">
        <v>263</v>
      </c>
      <c r="E29" s="486"/>
      <c r="F29" s="488"/>
    </row>
    <row r="30" spans="1:6">
      <c r="A30" s="388">
        <v>28</v>
      </c>
      <c r="B30" s="1053" t="s">
        <v>1054</v>
      </c>
      <c r="C30" s="1054" t="s">
        <v>1028</v>
      </c>
      <c r="E30" s="486"/>
      <c r="F30" s="488"/>
    </row>
    <row r="31" spans="1:6">
      <c r="A31" s="388">
        <v>29</v>
      </c>
      <c r="B31" s="1053" t="s">
        <v>1055</v>
      </c>
      <c r="C31" s="1054" t="s">
        <v>263</v>
      </c>
      <c r="E31" s="486"/>
      <c r="F31" s="488"/>
    </row>
    <row r="32" spans="1:6">
      <c r="A32" s="388">
        <v>30</v>
      </c>
      <c r="B32" s="1053" t="s">
        <v>1056</v>
      </c>
      <c r="C32" s="1054" t="s">
        <v>262</v>
      </c>
      <c r="E32" s="486"/>
      <c r="F32" s="488"/>
    </row>
    <row r="33" spans="1:6">
      <c r="A33" s="388">
        <v>31</v>
      </c>
      <c r="B33" s="1053" t="s">
        <v>1057</v>
      </c>
      <c r="C33" s="1054" t="s">
        <v>1028</v>
      </c>
      <c r="E33" s="486"/>
      <c r="F33" s="488"/>
    </row>
    <row r="34" spans="1:6">
      <c r="A34" s="388">
        <v>32</v>
      </c>
      <c r="B34" s="1053" t="s">
        <v>1058</v>
      </c>
      <c r="C34" s="1054" t="s">
        <v>264</v>
      </c>
      <c r="E34" s="486"/>
      <c r="F34" s="488"/>
    </row>
    <row r="35" spans="1:6">
      <c r="A35" s="388">
        <v>33</v>
      </c>
      <c r="B35" s="1053" t="s">
        <v>1059</v>
      </c>
      <c r="C35" s="1054" t="s">
        <v>263</v>
      </c>
      <c r="E35" s="486"/>
      <c r="F35" s="488"/>
    </row>
    <row r="36" spans="1:6" ht="15.75" customHeight="1">
      <c r="A36" s="388">
        <v>34</v>
      </c>
      <c r="B36" s="1053" t="s">
        <v>1060</v>
      </c>
      <c r="C36" s="1054" t="s">
        <v>260</v>
      </c>
      <c r="E36" s="486"/>
      <c r="F36" s="488"/>
    </row>
    <row r="37" spans="1:6">
      <c r="A37" s="388">
        <v>35</v>
      </c>
      <c r="B37" s="1053" t="s">
        <v>1061</v>
      </c>
      <c r="C37" s="1054" t="s">
        <v>264</v>
      </c>
    </row>
    <row r="38" spans="1:6">
      <c r="A38" s="388">
        <v>36</v>
      </c>
      <c r="B38" s="1053" t="s">
        <v>1062</v>
      </c>
      <c r="C38" s="1054" t="s">
        <v>1028</v>
      </c>
    </row>
    <row r="39" spans="1:6">
      <c r="A39" s="388">
        <v>37</v>
      </c>
      <c r="B39" s="1053" t="s">
        <v>1063</v>
      </c>
      <c r="C39" s="1054" t="s">
        <v>263</v>
      </c>
      <c r="E39" t="s">
        <v>1465</v>
      </c>
    </row>
    <row r="40" spans="1:6">
      <c r="A40" s="388">
        <v>38</v>
      </c>
      <c r="B40" s="1053" t="s">
        <v>266</v>
      </c>
      <c r="C40" s="1054" t="s">
        <v>264</v>
      </c>
      <c r="E40" t="s">
        <v>1466</v>
      </c>
    </row>
    <row r="41" spans="1:6">
      <c r="A41" s="388">
        <v>39</v>
      </c>
      <c r="B41" s="1055" t="s">
        <v>240</v>
      </c>
      <c r="C41" s="1057" t="s">
        <v>263</v>
      </c>
      <c r="E41" t="s">
        <v>1445</v>
      </c>
    </row>
    <row r="42" spans="1:6">
      <c r="A42" s="388">
        <v>40</v>
      </c>
      <c r="B42" s="1053" t="s">
        <v>1558</v>
      </c>
      <c r="C42" s="1054" t="s">
        <v>1064</v>
      </c>
    </row>
    <row r="43" spans="1:6">
      <c r="A43" s="388">
        <v>41</v>
      </c>
      <c r="B43" s="1053" t="s">
        <v>1559</v>
      </c>
      <c r="C43" s="1054" t="s">
        <v>1065</v>
      </c>
    </row>
    <row r="44" spans="1:6">
      <c r="A44" s="388">
        <v>42</v>
      </c>
      <c r="B44" s="1053" t="s">
        <v>1066</v>
      </c>
      <c r="C44" s="1054" t="s">
        <v>1067</v>
      </c>
    </row>
    <row r="45" spans="1:6">
      <c r="A45" s="388">
        <v>43</v>
      </c>
      <c r="B45" s="1053" t="s">
        <v>1068</v>
      </c>
      <c r="C45" s="1054" t="s">
        <v>1069</v>
      </c>
    </row>
    <row r="46" spans="1:6">
      <c r="A46" s="388">
        <v>44</v>
      </c>
      <c r="B46" s="1053" t="s">
        <v>1070</v>
      </c>
      <c r="C46" s="1054" t="s">
        <v>1071</v>
      </c>
    </row>
    <row r="47" spans="1:6">
      <c r="A47" s="388">
        <v>45</v>
      </c>
      <c r="B47" s="1053" t="s">
        <v>1072</v>
      </c>
      <c r="C47" s="1054" t="s">
        <v>1073</v>
      </c>
    </row>
    <row r="48" spans="1:6">
      <c r="A48" s="388">
        <v>46</v>
      </c>
      <c r="B48" s="1053" t="s">
        <v>1074</v>
      </c>
      <c r="C48" s="1054" t="s">
        <v>1030</v>
      </c>
    </row>
    <row r="49" spans="1:7">
      <c r="A49" s="388">
        <v>47</v>
      </c>
      <c r="B49" s="1053" t="s">
        <v>1075</v>
      </c>
      <c r="C49" s="1057" t="s">
        <v>1032</v>
      </c>
    </row>
    <row r="50" spans="1:7">
      <c r="A50" s="388">
        <v>48</v>
      </c>
      <c r="B50" s="1055" t="s">
        <v>1076</v>
      </c>
      <c r="C50" s="1057" t="s">
        <v>263</v>
      </c>
    </row>
    <row r="51" spans="1:7">
      <c r="A51" s="388">
        <v>49</v>
      </c>
      <c r="B51" s="1053" t="s">
        <v>1077</v>
      </c>
      <c r="C51" s="1054" t="s">
        <v>1022</v>
      </c>
      <c r="E51" s="419"/>
    </row>
    <row r="52" spans="1:7">
      <c r="A52" s="388">
        <v>50</v>
      </c>
      <c r="B52" s="1055" t="s">
        <v>1078</v>
      </c>
      <c r="C52" s="1057" t="s">
        <v>1079</v>
      </c>
    </row>
    <row r="53" spans="1:7">
      <c r="A53" s="388">
        <v>51</v>
      </c>
      <c r="B53" s="1053" t="s">
        <v>1080</v>
      </c>
      <c r="C53" s="1054" t="s">
        <v>1081</v>
      </c>
    </row>
    <row r="54" spans="1:7">
      <c r="A54" s="388">
        <v>52</v>
      </c>
      <c r="B54" s="1053" t="s">
        <v>1082</v>
      </c>
      <c r="C54" s="1054" t="s">
        <v>1083</v>
      </c>
    </row>
    <row r="55" spans="1:7" ht="15.75" thickBot="1">
      <c r="A55" s="389">
        <v>53</v>
      </c>
      <c r="B55" s="1056" t="s">
        <v>1084</v>
      </c>
      <c r="C55" s="1058" t="s">
        <v>263</v>
      </c>
    </row>
    <row r="56" spans="1:7" ht="15.75" thickBot="1">
      <c r="A56" s="2460" t="s">
        <v>1085</v>
      </c>
      <c r="B56" s="2461"/>
      <c r="C56" s="2462"/>
      <c r="D56" s="196"/>
    </row>
    <row r="57" spans="1:7">
      <c r="A57" s="390">
        <v>1</v>
      </c>
      <c r="B57" s="1059" t="s">
        <v>1086</v>
      </c>
      <c r="C57" s="1054" t="s">
        <v>268</v>
      </c>
      <c r="D57" s="392"/>
      <c r="E57" s="484"/>
      <c r="F57" s="485"/>
      <c r="G57" s="20"/>
    </row>
    <row r="58" spans="1:7">
      <c r="A58" s="390">
        <v>2</v>
      </c>
      <c r="B58" s="1060" t="s">
        <v>1087</v>
      </c>
      <c r="C58" s="1057" t="s">
        <v>263</v>
      </c>
      <c r="D58" s="196"/>
      <c r="E58" s="484"/>
      <c r="F58" s="485"/>
      <c r="G58" s="20"/>
    </row>
    <row r="59" spans="1:7">
      <c r="A59" s="390">
        <v>3</v>
      </c>
      <c r="B59" s="1060" t="s">
        <v>238</v>
      </c>
      <c r="C59" s="1057" t="s">
        <v>1081</v>
      </c>
      <c r="E59" s="484"/>
      <c r="F59" s="485"/>
      <c r="G59" s="20"/>
    </row>
    <row r="60" spans="1:7">
      <c r="A60" s="390">
        <v>4</v>
      </c>
      <c r="B60" s="1060" t="s">
        <v>1088</v>
      </c>
      <c r="C60" s="1057" t="s">
        <v>1081</v>
      </c>
      <c r="E60" s="484"/>
      <c r="F60" s="485"/>
      <c r="G60" s="20"/>
    </row>
    <row r="61" spans="1:7">
      <c r="A61" s="390">
        <v>5</v>
      </c>
      <c r="B61" s="1060" t="s">
        <v>1089</v>
      </c>
      <c r="C61" s="1057" t="s">
        <v>1090</v>
      </c>
      <c r="E61" s="484"/>
      <c r="F61" s="485"/>
      <c r="G61" s="20"/>
    </row>
    <row r="62" spans="1:7">
      <c r="A62" s="390">
        <v>6</v>
      </c>
      <c r="B62" s="1060" t="s">
        <v>1091</v>
      </c>
      <c r="C62" s="1057" t="s">
        <v>263</v>
      </c>
      <c r="E62" s="484"/>
      <c r="F62" s="485"/>
      <c r="G62" s="20"/>
    </row>
    <row r="63" spans="1:7">
      <c r="A63" s="390">
        <v>7</v>
      </c>
      <c r="B63" s="1061" t="s">
        <v>1092</v>
      </c>
      <c r="C63" s="1054" t="s">
        <v>1081</v>
      </c>
      <c r="E63" s="484"/>
      <c r="F63" s="485"/>
      <c r="G63" s="20"/>
    </row>
    <row r="64" spans="1:7">
      <c r="A64" s="390">
        <v>8</v>
      </c>
      <c r="B64" s="1061" t="s">
        <v>1093</v>
      </c>
      <c r="C64" s="1054" t="s">
        <v>263</v>
      </c>
      <c r="E64" s="484"/>
      <c r="F64" s="485"/>
      <c r="G64" s="20"/>
    </row>
    <row r="65" spans="1:7">
      <c r="A65" s="390">
        <v>9</v>
      </c>
      <c r="B65" s="1061" t="s">
        <v>1094</v>
      </c>
      <c r="C65" s="1054" t="s">
        <v>263</v>
      </c>
      <c r="E65" s="484"/>
      <c r="F65" s="485"/>
      <c r="G65" s="20"/>
    </row>
    <row r="66" spans="1:7">
      <c r="A66" s="390">
        <v>10</v>
      </c>
      <c r="B66" s="1061" t="s">
        <v>239</v>
      </c>
      <c r="C66" s="1054" t="s">
        <v>1028</v>
      </c>
      <c r="E66" s="484"/>
      <c r="F66" s="485"/>
      <c r="G66" s="20"/>
    </row>
    <row r="67" spans="1:7">
      <c r="A67" s="390">
        <v>11</v>
      </c>
      <c r="B67" s="1061" t="s">
        <v>1095</v>
      </c>
      <c r="C67" s="1054" t="s">
        <v>267</v>
      </c>
      <c r="E67" s="484"/>
      <c r="F67" s="485"/>
      <c r="G67" s="20"/>
    </row>
    <row r="68" spans="1:7">
      <c r="A68" s="390">
        <v>12</v>
      </c>
      <c r="B68" s="1061" t="s">
        <v>1096</v>
      </c>
      <c r="C68" s="1054" t="s">
        <v>1097</v>
      </c>
      <c r="E68" s="484"/>
      <c r="F68" s="485"/>
      <c r="G68" s="20"/>
    </row>
    <row r="69" spans="1:7">
      <c r="A69" s="390">
        <v>13</v>
      </c>
      <c r="B69" s="1061" t="s">
        <v>1098</v>
      </c>
      <c r="C69" s="1054" t="s">
        <v>1099</v>
      </c>
      <c r="E69" s="484"/>
      <c r="F69" s="485"/>
      <c r="G69" s="20"/>
    </row>
    <row r="70" spans="1:7">
      <c r="A70" s="390">
        <v>14</v>
      </c>
      <c r="B70" s="1061" t="s">
        <v>1100</v>
      </c>
      <c r="C70" s="1054" t="s">
        <v>263</v>
      </c>
      <c r="E70" s="486"/>
      <c r="F70" s="485"/>
      <c r="G70" s="20"/>
    </row>
    <row r="71" spans="1:7">
      <c r="A71" s="390">
        <v>15</v>
      </c>
      <c r="B71" s="1061" t="s">
        <v>1101</v>
      </c>
      <c r="C71" s="1054" t="s">
        <v>263</v>
      </c>
    </row>
    <row r="72" spans="1:7">
      <c r="A72" s="390">
        <v>16</v>
      </c>
      <c r="B72" s="1061" t="s">
        <v>1102</v>
      </c>
      <c r="C72" s="1054" t="s">
        <v>263</v>
      </c>
    </row>
    <row r="73" spans="1:7">
      <c r="A73" s="390">
        <v>17</v>
      </c>
      <c r="B73" s="1061" t="s">
        <v>1103</v>
      </c>
      <c r="C73" s="1054" t="s">
        <v>262</v>
      </c>
    </row>
    <row r="74" spans="1:7">
      <c r="A74" s="390">
        <v>18</v>
      </c>
      <c r="B74" s="1061" t="s">
        <v>1104</v>
      </c>
      <c r="C74" s="1054" t="s">
        <v>263</v>
      </c>
    </row>
    <row r="75" spans="1:7">
      <c r="A75" s="390">
        <v>19</v>
      </c>
      <c r="B75" s="1061" t="s">
        <v>1105</v>
      </c>
      <c r="C75" s="1054" t="s">
        <v>262</v>
      </c>
    </row>
    <row r="76" spans="1:7">
      <c r="A76" s="390">
        <v>20</v>
      </c>
      <c r="B76" s="1061" t="s">
        <v>1106</v>
      </c>
      <c r="C76" s="1054" t="s">
        <v>267</v>
      </c>
    </row>
    <row r="77" spans="1:7">
      <c r="A77" s="390">
        <v>21</v>
      </c>
      <c r="B77" s="1061" t="s">
        <v>1107</v>
      </c>
      <c r="C77" s="1054" t="s">
        <v>1081</v>
      </c>
    </row>
    <row r="78" spans="1:7">
      <c r="A78" s="390">
        <v>22</v>
      </c>
      <c r="B78" s="1061" t="s">
        <v>1558</v>
      </c>
      <c r="C78" s="1054" t="s">
        <v>1108</v>
      </c>
    </row>
    <row r="79" spans="1:7">
      <c r="A79" s="390">
        <v>23</v>
      </c>
      <c r="B79" s="1061" t="s">
        <v>1109</v>
      </c>
      <c r="C79" s="1054" t="s">
        <v>1110</v>
      </c>
    </row>
    <row r="80" spans="1:7">
      <c r="A80" s="390">
        <v>24</v>
      </c>
      <c r="B80" s="1061" t="s">
        <v>1070</v>
      </c>
      <c r="C80" s="1054" t="s">
        <v>1111</v>
      </c>
    </row>
    <row r="81" spans="1:3">
      <c r="A81" s="390">
        <v>25</v>
      </c>
      <c r="B81" s="1061" t="s">
        <v>1072</v>
      </c>
      <c r="C81" s="1054" t="s">
        <v>1112</v>
      </c>
    </row>
    <row r="82" spans="1:3">
      <c r="A82" s="390">
        <v>26</v>
      </c>
      <c r="B82" s="1061" t="s">
        <v>1113</v>
      </c>
      <c r="C82" s="1054" t="s">
        <v>1114</v>
      </c>
    </row>
    <row r="83" spans="1:3" ht="15.75" thickBot="1">
      <c r="A83" s="390">
        <v>27</v>
      </c>
      <c r="B83" s="1061" t="s">
        <v>1115</v>
      </c>
      <c r="C83" s="1054" t="s">
        <v>263</v>
      </c>
    </row>
    <row r="84" spans="1:3" ht="15.75" thickBot="1">
      <c r="A84" s="2460" t="s">
        <v>1116</v>
      </c>
      <c r="B84" s="2461"/>
      <c r="C84" s="2462"/>
    </row>
    <row r="85" spans="1:3">
      <c r="A85" s="390">
        <v>1</v>
      </c>
      <c r="B85" s="1062" t="s">
        <v>1117</v>
      </c>
      <c r="C85" s="1057" t="s">
        <v>263</v>
      </c>
    </row>
    <row r="86" spans="1:3">
      <c r="A86" s="390">
        <v>2</v>
      </c>
      <c r="B86" s="1063" t="s">
        <v>1118</v>
      </c>
      <c r="C86" s="1054" t="s">
        <v>269</v>
      </c>
    </row>
    <row r="87" spans="1:3">
      <c r="A87" s="390">
        <v>3</v>
      </c>
      <c r="B87" s="1064" t="s">
        <v>1119</v>
      </c>
      <c r="C87" s="1054" t="s">
        <v>1065</v>
      </c>
    </row>
    <row r="88" spans="1:3">
      <c r="A88" s="390">
        <v>4</v>
      </c>
      <c r="B88" s="1064" t="s">
        <v>1120</v>
      </c>
      <c r="C88" s="1054" t="s">
        <v>269</v>
      </c>
    </row>
    <row r="89" spans="1:3">
      <c r="A89" s="390">
        <v>5</v>
      </c>
      <c r="B89" s="1064" t="s">
        <v>1121</v>
      </c>
      <c r="C89" s="1054" t="s">
        <v>1122</v>
      </c>
    </row>
    <row r="90" spans="1:3">
      <c r="A90" s="390">
        <v>6</v>
      </c>
      <c r="B90" s="1064" t="s">
        <v>1123</v>
      </c>
      <c r="C90" s="1054" t="s">
        <v>1124</v>
      </c>
    </row>
    <row r="91" spans="1:3">
      <c r="A91" s="390">
        <v>7</v>
      </c>
      <c r="B91" s="1064" t="s">
        <v>1125</v>
      </c>
      <c r="C91" s="1054" t="s">
        <v>1126</v>
      </c>
    </row>
    <row r="92" spans="1:3" ht="15.75" thickBot="1">
      <c r="A92" s="391">
        <v>8</v>
      </c>
      <c r="B92" s="1065" t="s">
        <v>1127</v>
      </c>
      <c r="C92" s="1058" t="s">
        <v>1128</v>
      </c>
    </row>
    <row r="93" spans="1:3" ht="39" thickBot="1">
      <c r="A93" s="949"/>
      <c r="B93" s="919" t="s">
        <v>2037</v>
      </c>
      <c r="C93" s="950" t="s">
        <v>2036</v>
      </c>
    </row>
  </sheetData>
  <mergeCells count="4">
    <mergeCell ref="A1:C1"/>
    <mergeCell ref="A2:C2"/>
    <mergeCell ref="A56:C56"/>
    <mergeCell ref="A84:C84"/>
  </mergeCells>
  <conditionalFormatting sqref="F57:F70">
    <cfRule type="uniqueValues" dxfId="0" priority="1"/>
  </conditionalFormatting>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2"/>
  <sheetViews>
    <sheetView topLeftCell="A79" workbookViewId="0">
      <selection activeCell="F57" sqref="F57"/>
    </sheetView>
  </sheetViews>
  <sheetFormatPr defaultRowHeight="15"/>
  <cols>
    <col min="1" max="1" width="57.28515625" customWidth="1"/>
    <col min="2" max="2" width="21.28515625" customWidth="1"/>
    <col min="3" max="3" width="6.140625" customWidth="1"/>
    <col min="4" max="4" width="8.5703125" customWidth="1"/>
    <col min="6" max="6" width="60.42578125" customWidth="1"/>
  </cols>
  <sheetData>
    <row r="1" spans="1:4" ht="16.5" customHeight="1" thickBot="1">
      <c r="A1" s="230" t="s">
        <v>1913</v>
      </c>
      <c r="B1" s="542" t="s">
        <v>1325</v>
      </c>
      <c r="C1" s="543"/>
      <c r="D1" s="544"/>
    </row>
    <row r="2" spans="1:4" ht="15" customHeight="1">
      <c r="A2" s="579" t="s">
        <v>1687</v>
      </c>
      <c r="B2" s="60"/>
      <c r="C2" s="325"/>
      <c r="D2" s="548"/>
    </row>
    <row r="3" spans="1:4" ht="16.5" customHeight="1">
      <c r="A3" s="581" t="s">
        <v>1705</v>
      </c>
      <c r="B3" s="580" t="s">
        <v>1712</v>
      </c>
      <c r="C3" s="285"/>
      <c r="D3" s="222"/>
    </row>
    <row r="4" spans="1:4">
      <c r="A4" s="581" t="s">
        <v>1706</v>
      </c>
      <c r="B4" s="580">
        <v>1</v>
      </c>
      <c r="C4" s="285"/>
      <c r="D4" s="546"/>
    </row>
    <row r="5" spans="1:4">
      <c r="A5" s="581" t="s">
        <v>1703</v>
      </c>
      <c r="B5" s="580">
        <v>1</v>
      </c>
      <c r="C5" s="285"/>
      <c r="D5" s="222"/>
    </row>
    <row r="6" spans="1:4">
      <c r="A6" s="581" t="s">
        <v>1702</v>
      </c>
      <c r="B6" s="580">
        <v>1</v>
      </c>
      <c r="C6" s="285"/>
      <c r="D6" s="222"/>
    </row>
    <row r="7" spans="1:4">
      <c r="A7" s="581" t="s">
        <v>1701</v>
      </c>
      <c r="B7" s="580">
        <v>2</v>
      </c>
      <c r="C7" s="285"/>
      <c r="D7" s="546"/>
    </row>
    <row r="8" spans="1:4">
      <c r="A8" s="581" t="s">
        <v>1704</v>
      </c>
      <c r="B8" s="580">
        <v>4</v>
      </c>
      <c r="C8" s="285"/>
      <c r="D8" s="222"/>
    </row>
    <row r="9" spans="1:4" ht="13.5" customHeight="1">
      <c r="A9" s="582" t="s">
        <v>1688</v>
      </c>
      <c r="B9" s="583"/>
      <c r="C9" s="545"/>
      <c r="D9" s="222"/>
    </row>
    <row r="10" spans="1:4">
      <c r="A10" s="581" t="s">
        <v>1735</v>
      </c>
      <c r="B10" s="580">
        <v>1</v>
      </c>
      <c r="C10" s="545"/>
      <c r="D10" s="222"/>
    </row>
    <row r="11" spans="1:4">
      <c r="A11" s="581" t="s">
        <v>1707</v>
      </c>
      <c r="B11" s="580">
        <v>1</v>
      </c>
      <c r="C11" s="545"/>
      <c r="D11" s="547"/>
    </row>
    <row r="12" spans="1:4">
      <c r="A12" s="581" t="s">
        <v>1708</v>
      </c>
      <c r="B12" s="580">
        <v>2</v>
      </c>
      <c r="C12" s="545"/>
      <c r="D12" s="222"/>
    </row>
    <row r="13" spans="1:4">
      <c r="A13" s="581" t="s">
        <v>1714</v>
      </c>
      <c r="B13" s="580">
        <v>2</v>
      </c>
      <c r="C13" s="285"/>
      <c r="D13" s="222"/>
    </row>
    <row r="14" spans="1:4" ht="24.75" customHeight="1">
      <c r="A14" s="581" t="s">
        <v>1713</v>
      </c>
      <c r="B14" s="580">
        <v>3</v>
      </c>
      <c r="C14" s="285"/>
      <c r="D14" s="222"/>
    </row>
    <row r="15" spans="1:4" ht="18.75" customHeight="1">
      <c r="A15" s="581" t="s">
        <v>1709</v>
      </c>
      <c r="B15" s="580">
        <v>2</v>
      </c>
      <c r="C15" s="285"/>
      <c r="D15" s="222"/>
    </row>
    <row r="16" spans="1:4" ht="15" customHeight="1">
      <c r="A16" s="582" t="s">
        <v>1689</v>
      </c>
      <c r="B16" s="583"/>
      <c r="C16" s="285"/>
      <c r="D16" s="222"/>
    </row>
    <row r="17" spans="1:4" ht="22.5" customHeight="1">
      <c r="A17" s="581" t="s">
        <v>1715</v>
      </c>
      <c r="B17" s="580">
        <v>4</v>
      </c>
      <c r="C17" s="285"/>
      <c r="D17" s="222"/>
    </row>
    <row r="18" spans="1:4" ht="21.75" customHeight="1">
      <c r="A18" s="581" t="s">
        <v>1716</v>
      </c>
      <c r="B18" s="580">
        <v>6</v>
      </c>
      <c r="C18" s="285"/>
      <c r="D18" s="222"/>
    </row>
    <row r="19" spans="1:4" ht="21" customHeight="1">
      <c r="A19" s="581" t="s">
        <v>1717</v>
      </c>
      <c r="B19" s="580">
        <v>2</v>
      </c>
      <c r="C19" s="285"/>
      <c r="D19" s="222"/>
    </row>
    <row r="20" spans="1:4" ht="27.75" customHeight="1">
      <c r="A20" s="581" t="s">
        <v>1718</v>
      </c>
      <c r="B20" s="580">
        <v>4</v>
      </c>
      <c r="C20" s="285"/>
      <c r="D20" s="222"/>
    </row>
    <row r="21" spans="1:4" ht="26.25" customHeight="1">
      <c r="A21" s="581" t="s">
        <v>1719</v>
      </c>
      <c r="B21" s="580">
        <v>2</v>
      </c>
      <c r="C21" s="285"/>
      <c r="D21" s="222"/>
    </row>
    <row r="22" spans="1:4" ht="16.5" customHeight="1">
      <c r="A22" s="582" t="s">
        <v>1690</v>
      </c>
      <c r="B22" s="583"/>
      <c r="C22" s="285"/>
      <c r="D22" s="222"/>
    </row>
    <row r="23" spans="1:4">
      <c r="A23" s="581" t="s">
        <v>1720</v>
      </c>
      <c r="B23" s="580" t="s">
        <v>1721</v>
      </c>
      <c r="C23" s="285"/>
      <c r="D23" s="222"/>
    </row>
    <row r="24" spans="1:4">
      <c r="A24" s="581" t="s">
        <v>1722</v>
      </c>
      <c r="B24" s="580">
        <v>1</v>
      </c>
      <c r="C24" s="285"/>
      <c r="D24" s="222"/>
    </row>
    <row r="25" spans="1:4">
      <c r="A25" s="584" t="s">
        <v>1723</v>
      </c>
      <c r="B25" s="585">
        <v>4</v>
      </c>
      <c r="C25" s="285"/>
      <c r="D25" s="222"/>
    </row>
    <row r="26" spans="1:4" ht="16.5" customHeight="1">
      <c r="A26" s="581" t="s">
        <v>1724</v>
      </c>
      <c r="B26" s="580">
        <v>2</v>
      </c>
      <c r="C26" s="285"/>
      <c r="D26" s="222"/>
    </row>
    <row r="27" spans="1:4">
      <c r="A27" s="582" t="s">
        <v>1691</v>
      </c>
      <c r="B27" s="583"/>
      <c r="C27" s="285"/>
      <c r="D27" s="222"/>
    </row>
    <row r="28" spans="1:4">
      <c r="A28" s="584" t="s">
        <v>1711</v>
      </c>
      <c r="B28" s="585" t="s">
        <v>1712</v>
      </c>
      <c r="C28" s="285"/>
      <c r="D28" s="222"/>
    </row>
    <row r="29" spans="1:4">
      <c r="A29" s="582" t="s">
        <v>1692</v>
      </c>
      <c r="B29" s="583"/>
      <c r="C29" s="285"/>
      <c r="D29" s="222"/>
    </row>
    <row r="30" spans="1:4">
      <c r="A30" s="581" t="s">
        <v>1693</v>
      </c>
      <c r="B30" s="583"/>
      <c r="C30" s="285"/>
      <c r="D30" s="222"/>
    </row>
    <row r="31" spans="1:4">
      <c r="A31" s="586" t="s">
        <v>1902</v>
      </c>
      <c r="B31" s="580" t="s">
        <v>1721</v>
      </c>
      <c r="C31" s="285"/>
      <c r="D31" s="222"/>
    </row>
    <row r="32" spans="1:4">
      <c r="A32" s="586" t="s">
        <v>1903</v>
      </c>
      <c r="B32" s="580">
        <v>1</v>
      </c>
      <c r="C32" s="285"/>
      <c r="D32" s="222"/>
    </row>
    <row r="33" spans="1:4">
      <c r="A33" s="587" t="s">
        <v>1905</v>
      </c>
      <c r="B33" s="580">
        <v>3</v>
      </c>
      <c r="C33" s="285"/>
      <c r="D33" s="222"/>
    </row>
    <row r="34" spans="1:4" ht="24.75" customHeight="1">
      <c r="A34" s="581" t="s">
        <v>1694</v>
      </c>
      <c r="B34" s="588"/>
      <c r="C34" s="285"/>
      <c r="D34" s="222"/>
    </row>
    <row r="35" spans="1:4" ht="25.5" customHeight="1">
      <c r="A35" s="581" t="s">
        <v>1904</v>
      </c>
      <c r="B35" s="580">
        <v>3</v>
      </c>
      <c r="C35" s="285"/>
      <c r="D35" s="222"/>
    </row>
    <row r="36" spans="1:4" ht="14.25" customHeight="1">
      <c r="A36" s="581" t="s">
        <v>1906</v>
      </c>
      <c r="B36" s="580">
        <v>10</v>
      </c>
      <c r="C36" s="285"/>
      <c r="D36" s="222"/>
    </row>
    <row r="37" spans="1:4" ht="23.25" customHeight="1">
      <c r="A37" s="581" t="s">
        <v>1725</v>
      </c>
      <c r="B37" s="580">
        <v>3</v>
      </c>
      <c r="C37" s="285"/>
      <c r="D37" s="222"/>
    </row>
    <row r="38" spans="1:4" ht="21.75" customHeight="1">
      <c r="A38" s="581" t="s">
        <v>1695</v>
      </c>
      <c r="B38" s="583"/>
      <c r="C38" s="285"/>
      <c r="D38" s="222"/>
    </row>
    <row r="39" spans="1:4">
      <c r="A39" s="581" t="s">
        <v>1907</v>
      </c>
      <c r="B39" s="580">
        <v>20</v>
      </c>
      <c r="C39" s="285"/>
      <c r="D39" s="222"/>
    </row>
    <row r="40" spans="1:4" ht="28.5" customHeight="1">
      <c r="A40" s="581" t="s">
        <v>1908</v>
      </c>
      <c r="B40" s="580">
        <v>5</v>
      </c>
      <c r="C40" s="285"/>
      <c r="D40" s="222"/>
    </row>
    <row r="41" spans="1:4">
      <c r="A41" s="581" t="s">
        <v>1696</v>
      </c>
      <c r="B41" s="583"/>
      <c r="C41" s="285"/>
      <c r="D41" s="222"/>
    </row>
    <row r="42" spans="1:4">
      <c r="A42" s="581" t="s">
        <v>1909</v>
      </c>
      <c r="B42" s="580">
        <v>5</v>
      </c>
      <c r="C42" s="285"/>
      <c r="D42" s="549"/>
    </row>
    <row r="43" spans="1:4" ht="21" customHeight="1">
      <c r="A43" s="581" t="s">
        <v>1912</v>
      </c>
      <c r="B43" s="580">
        <v>2</v>
      </c>
      <c r="C43" s="285"/>
      <c r="D43" s="222"/>
    </row>
    <row r="44" spans="1:4">
      <c r="A44" s="581" t="s">
        <v>1697</v>
      </c>
      <c r="B44" s="583"/>
      <c r="C44" s="285"/>
      <c r="D44" s="222"/>
    </row>
    <row r="45" spans="1:4">
      <c r="A45" s="581" t="s">
        <v>1910</v>
      </c>
      <c r="B45" s="580" t="s">
        <v>1726</v>
      </c>
      <c r="C45" s="285"/>
      <c r="D45" s="222"/>
    </row>
    <row r="46" spans="1:4" ht="28.5" customHeight="1">
      <c r="A46" s="581" t="s">
        <v>1911</v>
      </c>
      <c r="B46" s="580" t="s">
        <v>1727</v>
      </c>
      <c r="C46" s="285"/>
      <c r="D46" s="222"/>
    </row>
    <row r="47" spans="1:4">
      <c r="A47" s="581" t="s">
        <v>1698</v>
      </c>
      <c r="B47" s="580" t="s">
        <v>1729</v>
      </c>
      <c r="C47" s="285"/>
      <c r="D47" s="222"/>
    </row>
    <row r="48" spans="1:4" ht="24" customHeight="1">
      <c r="A48" s="581" t="s">
        <v>1728</v>
      </c>
      <c r="B48" s="580" t="s">
        <v>1730</v>
      </c>
      <c r="C48" s="285"/>
      <c r="D48" s="222"/>
    </row>
    <row r="49" spans="1:7" ht="15" customHeight="1">
      <c r="A49" s="582" t="s">
        <v>1699</v>
      </c>
      <c r="B49" s="588"/>
      <c r="C49" s="285"/>
      <c r="D49" s="222"/>
    </row>
    <row r="50" spans="1:7">
      <c r="A50" s="581" t="s">
        <v>1731</v>
      </c>
      <c r="B50" s="580" t="s">
        <v>1732</v>
      </c>
      <c r="C50" s="285"/>
      <c r="D50" s="222"/>
    </row>
    <row r="51" spans="1:7">
      <c r="A51" s="581" t="s">
        <v>1733</v>
      </c>
      <c r="B51" s="580" t="s">
        <v>1734</v>
      </c>
      <c r="C51" s="285"/>
      <c r="D51" s="222"/>
    </row>
    <row r="52" spans="1:7">
      <c r="A52" s="582" t="s">
        <v>1700</v>
      </c>
      <c r="B52" s="583"/>
      <c r="C52" s="285"/>
      <c r="D52" s="222"/>
    </row>
    <row r="53" spans="1:7" ht="15.75" thickBot="1">
      <c r="A53" s="589" t="s">
        <v>1710</v>
      </c>
      <c r="B53" s="590" t="s">
        <v>1732</v>
      </c>
      <c r="C53" s="285"/>
      <c r="D53" s="222"/>
    </row>
    <row r="54" spans="1:7">
      <c r="B54" s="541"/>
      <c r="C54" s="285"/>
      <c r="D54" s="222"/>
    </row>
    <row r="55" spans="1:7" ht="24" customHeight="1" thickBot="1">
      <c r="A55" s="564"/>
      <c r="B55" s="550"/>
      <c r="C55" s="285"/>
      <c r="D55" s="222"/>
    </row>
    <row r="56" spans="1:7" ht="18" customHeight="1" thickBot="1">
      <c r="A56" s="2463" t="s">
        <v>1858</v>
      </c>
      <c r="B56" s="2464"/>
      <c r="C56" s="545"/>
      <c r="D56" s="222"/>
      <c r="F56" s="541"/>
      <c r="G56" s="541"/>
    </row>
    <row r="57" spans="1:7" ht="16.5" customHeight="1" thickBot="1">
      <c r="A57" s="2465" t="s">
        <v>1859</v>
      </c>
      <c r="B57" s="2466"/>
      <c r="C57" s="545"/>
      <c r="D57" s="222"/>
      <c r="G57" s="541"/>
    </row>
    <row r="58" spans="1:7" ht="18" customHeight="1" thickBot="1">
      <c r="A58" s="611" t="s">
        <v>1860</v>
      </c>
      <c r="B58" s="612" t="s">
        <v>1861</v>
      </c>
      <c r="C58" s="545"/>
      <c r="D58" s="222"/>
      <c r="G58" s="541"/>
    </row>
    <row r="59" spans="1:7" ht="17.25" customHeight="1" thickBot="1">
      <c r="A59" s="594" t="s">
        <v>1862</v>
      </c>
      <c r="B59" s="613" t="s">
        <v>1863</v>
      </c>
      <c r="C59" s="545"/>
      <c r="D59" s="222"/>
      <c r="G59" s="541"/>
    </row>
    <row r="60" spans="1:7" ht="17.25" customHeight="1" thickBot="1">
      <c r="A60" s="2467" t="s">
        <v>1864</v>
      </c>
      <c r="B60" s="2468"/>
      <c r="C60" s="285"/>
      <c r="D60" s="222"/>
      <c r="F60" s="541"/>
      <c r="G60" s="541"/>
    </row>
    <row r="61" spans="1:7">
      <c r="A61" s="601" t="s">
        <v>1865</v>
      </c>
      <c r="B61" s="602" t="s">
        <v>1866</v>
      </c>
      <c r="C61" s="285"/>
      <c r="D61" s="222"/>
      <c r="F61" s="541"/>
      <c r="G61" s="541"/>
    </row>
    <row r="62" spans="1:7" ht="28.5" customHeight="1" thickBot="1">
      <c r="A62" s="603" t="s">
        <v>1867</v>
      </c>
      <c r="B62" s="604" t="s">
        <v>1868</v>
      </c>
      <c r="C62" s="285"/>
      <c r="D62" s="222"/>
      <c r="G62" s="541"/>
    </row>
    <row r="63" spans="1:7" ht="24.75" customHeight="1" thickBot="1">
      <c r="A63" s="605" t="s">
        <v>1869</v>
      </c>
      <c r="B63" s="604" t="s">
        <v>1866</v>
      </c>
      <c r="C63" s="285"/>
      <c r="D63" s="551"/>
      <c r="G63" s="541"/>
    </row>
    <row r="64" spans="1:7" ht="20.25" customHeight="1" thickBot="1">
      <c r="A64" s="605" t="s">
        <v>1870</v>
      </c>
      <c r="B64" s="604" t="s">
        <v>1866</v>
      </c>
      <c r="C64" s="285"/>
      <c r="D64" s="222"/>
      <c r="G64" s="541"/>
    </row>
    <row r="65" spans="1:7" ht="23.25" customHeight="1" thickBot="1">
      <c r="A65" s="606" t="s">
        <v>1871</v>
      </c>
      <c r="B65" s="604" t="s">
        <v>1872</v>
      </c>
      <c r="C65" s="285"/>
      <c r="D65" s="222"/>
      <c r="G65" s="541"/>
    </row>
    <row r="66" spans="1:7" ht="15.75" thickBot="1">
      <c r="A66" s="605" t="s">
        <v>1873</v>
      </c>
      <c r="B66" s="604" t="s">
        <v>1866</v>
      </c>
      <c r="C66" s="20"/>
      <c r="D66" s="20"/>
      <c r="G66" s="541"/>
    </row>
    <row r="67" spans="1:7" ht="15.75" thickBot="1">
      <c r="A67" s="605" t="s">
        <v>1917</v>
      </c>
      <c r="B67" s="604" t="s">
        <v>1866</v>
      </c>
      <c r="G67" s="541"/>
    </row>
    <row r="68" spans="1:7" ht="15.75" thickBot="1">
      <c r="A68" s="605" t="s">
        <v>1874</v>
      </c>
      <c r="B68" s="591"/>
      <c r="G68" s="541"/>
    </row>
    <row r="69" spans="1:7" ht="15.75" thickBot="1">
      <c r="A69" s="605" t="s">
        <v>1875</v>
      </c>
      <c r="B69" s="604" t="s">
        <v>1872</v>
      </c>
      <c r="G69" s="280"/>
    </row>
    <row r="70" spans="1:7" ht="15.75" thickBot="1">
      <c r="A70" s="605" t="s">
        <v>1876</v>
      </c>
      <c r="B70" s="604" t="s">
        <v>1868</v>
      </c>
      <c r="G70" s="280"/>
    </row>
    <row r="71" spans="1:7" ht="15.75" thickBot="1">
      <c r="A71" s="605" t="s">
        <v>1877</v>
      </c>
      <c r="B71" s="604" t="s">
        <v>1872</v>
      </c>
      <c r="G71" s="280"/>
    </row>
    <row r="72" spans="1:7" ht="15.75" thickBot="1">
      <c r="A72" s="605" t="s">
        <v>1878</v>
      </c>
      <c r="B72" s="591"/>
      <c r="G72" s="280"/>
    </row>
    <row r="73" spans="1:7" ht="15.75" thickBot="1">
      <c r="A73" s="605" t="s">
        <v>1879</v>
      </c>
      <c r="B73" s="604" t="s">
        <v>1880</v>
      </c>
    </row>
    <row r="74" spans="1:7" ht="15.75" thickBot="1">
      <c r="A74" s="605" t="s">
        <v>1881</v>
      </c>
      <c r="B74" s="604" t="s">
        <v>1863</v>
      </c>
    </row>
    <row r="75" spans="1:7" ht="15.75" thickBot="1">
      <c r="A75" s="606" t="s">
        <v>1882</v>
      </c>
      <c r="B75" s="592"/>
    </row>
    <row r="76" spans="1:7" ht="15.75" thickBot="1">
      <c r="A76" s="607" t="s">
        <v>1883</v>
      </c>
      <c r="B76" s="604" t="s">
        <v>1884</v>
      </c>
    </row>
    <row r="77" spans="1:7" ht="15.75" thickBot="1">
      <c r="A77" s="605" t="s">
        <v>1919</v>
      </c>
      <c r="B77" s="604" t="s">
        <v>1885</v>
      </c>
    </row>
    <row r="78" spans="1:7" ht="15.75" thickBot="1">
      <c r="A78" s="607" t="s">
        <v>1886</v>
      </c>
      <c r="B78" s="604" t="s">
        <v>1887</v>
      </c>
    </row>
    <row r="79" spans="1:7" ht="15.75" thickBot="1">
      <c r="A79" s="608" t="s">
        <v>1888</v>
      </c>
      <c r="B79" s="604" t="s">
        <v>1889</v>
      </c>
    </row>
    <row r="80" spans="1:7" ht="15.75" thickBot="1">
      <c r="A80" s="606" t="s">
        <v>1890</v>
      </c>
      <c r="B80" s="591"/>
    </row>
    <row r="81" spans="1:2" ht="15.75" thickBot="1">
      <c r="A81" s="605" t="s">
        <v>1891</v>
      </c>
      <c r="B81" s="604" t="s">
        <v>1872</v>
      </c>
    </row>
    <row r="82" spans="1:2" ht="15.75" thickBot="1">
      <c r="A82" s="609" t="s">
        <v>1892</v>
      </c>
      <c r="B82" s="610" t="s">
        <v>1893</v>
      </c>
    </row>
    <row r="83" spans="1:2" ht="15.75" thickBot="1">
      <c r="A83" s="2467" t="s">
        <v>1689</v>
      </c>
      <c r="B83" s="2468"/>
    </row>
    <row r="84" spans="1:2" ht="15.75" thickBot="1">
      <c r="A84" s="599" t="s">
        <v>1894</v>
      </c>
      <c r="B84" s="600"/>
    </row>
    <row r="85" spans="1:2" ht="15.75" thickBot="1">
      <c r="A85" s="594" t="s">
        <v>1895</v>
      </c>
      <c r="B85" s="595" t="s">
        <v>1863</v>
      </c>
    </row>
    <row r="86" spans="1:2" ht="15.75" thickBot="1">
      <c r="A86" s="594" t="s">
        <v>1896</v>
      </c>
      <c r="B86" s="595" t="s">
        <v>1893</v>
      </c>
    </row>
    <row r="87" spans="1:2" ht="15.75" thickBot="1">
      <c r="A87" s="614" t="s">
        <v>1928</v>
      </c>
      <c r="B87" s="595" t="s">
        <v>1872</v>
      </c>
    </row>
    <row r="88" spans="1:2" ht="15.75" thickBot="1">
      <c r="A88" s="614" t="s">
        <v>1897</v>
      </c>
      <c r="B88" s="593"/>
    </row>
    <row r="89" spans="1:2" ht="15.75" thickBot="1">
      <c r="A89" s="594" t="s">
        <v>1898</v>
      </c>
      <c r="B89" s="595" t="s">
        <v>1866</v>
      </c>
    </row>
    <row r="90" spans="1:2" ht="15.75" thickBot="1">
      <c r="A90" s="594" t="s">
        <v>1899</v>
      </c>
      <c r="B90" s="595" t="s">
        <v>1863</v>
      </c>
    </row>
    <row r="91" spans="1:2" ht="15.75" thickBot="1">
      <c r="A91" s="614" t="s">
        <v>1900</v>
      </c>
      <c r="B91" s="595" t="s">
        <v>1866</v>
      </c>
    </row>
    <row r="92" spans="1:2" ht="15.75" thickBot="1">
      <c r="A92" s="615" t="s">
        <v>1901</v>
      </c>
      <c r="B92" s="616" t="s">
        <v>1863</v>
      </c>
    </row>
  </sheetData>
  <mergeCells count="4">
    <mergeCell ref="A56:B56"/>
    <mergeCell ref="A57:B57"/>
    <mergeCell ref="A60:B60"/>
    <mergeCell ref="A83:B83"/>
  </mergeCell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0"/>
  <sheetViews>
    <sheetView topLeftCell="A13" workbookViewId="0">
      <selection activeCell="E41" sqref="E41"/>
    </sheetView>
  </sheetViews>
  <sheetFormatPr defaultRowHeight="15"/>
  <cols>
    <col min="1" max="1" width="35.28515625" bestFit="1" customWidth="1"/>
    <col min="3" max="3" width="2.140625" customWidth="1"/>
    <col min="4" max="4" width="48.5703125" bestFit="1" customWidth="1"/>
    <col min="5" max="5" width="57.5703125" customWidth="1"/>
    <col min="6" max="6" width="5.28515625" customWidth="1"/>
    <col min="7" max="7" width="8.5703125" bestFit="1" customWidth="1"/>
    <col min="9" max="9" width="12.5703125" customWidth="1"/>
  </cols>
  <sheetData>
    <row r="1" spans="1:7">
      <c r="A1" s="565" t="s">
        <v>1</v>
      </c>
      <c r="B1" s="566" t="s">
        <v>1773</v>
      </c>
      <c r="C1" s="565"/>
      <c r="D1" s="565"/>
      <c r="E1" s="566"/>
      <c r="F1" s="566"/>
      <c r="G1" s="566"/>
    </row>
    <row r="2" spans="1:7">
      <c r="A2" s="565" t="s">
        <v>4</v>
      </c>
      <c r="B2" s="566" t="s">
        <v>596</v>
      </c>
      <c r="C2" s="565"/>
      <c r="D2" s="565"/>
      <c r="E2" s="566"/>
      <c r="F2" s="566"/>
      <c r="G2" s="566"/>
    </row>
    <row r="3" spans="1:7">
      <c r="A3" s="565" t="s">
        <v>2</v>
      </c>
      <c r="B3" s="566" t="s">
        <v>1774</v>
      </c>
      <c r="C3" s="565"/>
      <c r="D3" s="565"/>
      <c r="E3" s="566"/>
      <c r="F3" s="566"/>
      <c r="G3" s="566"/>
    </row>
    <row r="4" spans="1:7">
      <c r="A4" s="565"/>
      <c r="B4" s="567"/>
      <c r="C4" s="565"/>
      <c r="D4" s="565"/>
      <c r="E4" s="566"/>
      <c r="F4" s="566"/>
      <c r="G4" s="566"/>
    </row>
    <row r="5" spans="1:7">
      <c r="A5" s="2472" t="s">
        <v>1775</v>
      </c>
      <c r="B5" s="2472"/>
      <c r="C5" s="2472"/>
      <c r="D5" s="2472"/>
      <c r="E5" s="2472"/>
      <c r="F5" s="2472"/>
      <c r="G5" s="2472"/>
    </row>
    <row r="6" spans="1:7">
      <c r="A6" s="571" t="s">
        <v>1776</v>
      </c>
      <c r="B6" s="572"/>
      <c r="C6" s="552"/>
      <c r="D6" s="571" t="s">
        <v>8</v>
      </c>
      <c r="E6" s="571" t="s">
        <v>1777</v>
      </c>
      <c r="F6" s="571" t="s">
        <v>1778</v>
      </c>
      <c r="G6" s="571" t="s">
        <v>1779</v>
      </c>
    </row>
    <row r="7" spans="1:7">
      <c r="A7" s="575" t="s">
        <v>1780</v>
      </c>
      <c r="B7" s="628">
        <f>'[3]Memória de Dimensionamento'!U32</f>
        <v>1</v>
      </c>
      <c r="C7" s="552"/>
      <c r="D7" s="574" t="s">
        <v>1781</v>
      </c>
      <c r="E7" s="575" t="s">
        <v>1782</v>
      </c>
      <c r="F7" s="574" t="s">
        <v>47</v>
      </c>
      <c r="G7" s="576">
        <f>Lb*Cb*Pt</f>
        <v>19.855000000000004</v>
      </c>
    </row>
    <row r="8" spans="1:7">
      <c r="A8" s="575" t="s">
        <v>1783</v>
      </c>
      <c r="B8" s="628">
        <f>ETE+0.3</f>
        <v>1.3</v>
      </c>
      <c r="C8" s="552"/>
      <c r="D8" s="574" t="s">
        <v>1784</v>
      </c>
      <c r="E8" s="575" t="s">
        <v>1785</v>
      </c>
      <c r="F8" s="574" t="s">
        <v>46</v>
      </c>
      <c r="G8" s="576">
        <f>Lb*Cb</f>
        <v>9.0250000000000004</v>
      </c>
    </row>
    <row r="9" spans="1:7">
      <c r="A9" s="575" t="s">
        <v>1786</v>
      </c>
      <c r="B9" s="628">
        <f>'[3]Memória de Dimensionamento'!AA32</f>
        <v>2</v>
      </c>
      <c r="C9" s="552"/>
      <c r="D9" s="575" t="s">
        <v>1787</v>
      </c>
      <c r="E9" s="575" t="s">
        <v>1785</v>
      </c>
      <c r="F9" s="575" t="s">
        <v>46</v>
      </c>
      <c r="G9" s="576">
        <f>Lb*Cb</f>
        <v>9.0250000000000004</v>
      </c>
    </row>
    <row r="10" spans="1:7">
      <c r="A10" s="575" t="s">
        <v>1788</v>
      </c>
      <c r="B10" s="628">
        <f>'[3]Memória de Dimensionamento'!V60</f>
        <v>1.7000000000000002</v>
      </c>
      <c r="C10" s="552"/>
      <c r="D10" s="574" t="s">
        <v>1789</v>
      </c>
      <c r="E10" s="574" t="s">
        <v>1785</v>
      </c>
      <c r="F10" s="574" t="s">
        <v>46</v>
      </c>
      <c r="G10" s="576">
        <f>Lb*Cb</f>
        <v>9.0250000000000004</v>
      </c>
    </row>
    <row r="11" spans="1:7">
      <c r="A11" s="575" t="s">
        <v>1790</v>
      </c>
      <c r="B11" s="628">
        <f>CiFo+CiFi+3*0.15</f>
        <v>4.1500000000000004</v>
      </c>
      <c r="C11" s="552"/>
      <c r="D11" s="574" t="s">
        <v>1791</v>
      </c>
      <c r="E11" s="575" t="s">
        <v>1792</v>
      </c>
      <c r="F11" s="574" t="s">
        <v>47</v>
      </c>
      <c r="G11" s="576">
        <f>(Lb*Cb*Eb)+(Le*ESGOTO*ADELMO)</f>
        <v>1.4420000000000002</v>
      </c>
    </row>
    <row r="12" spans="1:7">
      <c r="A12" s="575" t="s">
        <v>1793</v>
      </c>
      <c r="B12" s="628">
        <v>1.6</v>
      </c>
      <c r="C12" s="552"/>
      <c r="D12" s="574" t="s">
        <v>1794</v>
      </c>
      <c r="E12" s="575" t="s">
        <v>1795</v>
      </c>
      <c r="F12" s="575" t="s">
        <v>46</v>
      </c>
      <c r="G12" s="576">
        <f>Le*ESGOTO</f>
        <v>5.3950000000000005</v>
      </c>
    </row>
    <row r="13" spans="1:7">
      <c r="A13" s="575" t="s">
        <v>1796</v>
      </c>
      <c r="B13" s="628">
        <v>0.1</v>
      </c>
      <c r="C13" s="552"/>
      <c r="D13" s="574" t="s">
        <v>1797</v>
      </c>
      <c r="E13" s="574" t="s">
        <v>1798</v>
      </c>
      <c r="F13" s="574" t="s">
        <v>70</v>
      </c>
      <c r="G13" s="576">
        <f>(Le*ESGOTO*ADELMO)*70</f>
        <v>37.765000000000008</v>
      </c>
    </row>
    <row r="14" spans="1:7">
      <c r="A14" s="575" t="s">
        <v>1799</v>
      </c>
      <c r="B14" s="628">
        <f>(Le+0.6)</f>
        <v>1.9</v>
      </c>
      <c r="C14" s="552"/>
      <c r="D14" s="574" t="s">
        <v>1800</v>
      </c>
      <c r="E14" s="574" t="s">
        <v>1801</v>
      </c>
      <c r="F14" s="574" t="s">
        <v>46</v>
      </c>
      <c r="G14" s="577">
        <f>((ETE*3)+(ESGOTO*2))*CFO</f>
        <v>18.080000000000002</v>
      </c>
    </row>
    <row r="15" spans="1:7" ht="30">
      <c r="A15" s="575" t="s">
        <v>1802</v>
      </c>
      <c r="B15" s="628">
        <f>ESGOTO+0.6</f>
        <v>4.75</v>
      </c>
      <c r="C15" s="552"/>
      <c r="D15" s="574" t="s">
        <v>1803</v>
      </c>
      <c r="E15" s="578" t="s">
        <v>1804</v>
      </c>
      <c r="F15" s="574" t="s">
        <v>46</v>
      </c>
      <c r="G15" s="577">
        <f>(((ETE*4)+(CiFo*2)+(CiFi*2))*CFO)+(ETE*(CiFo+CiFi))+(PI()*KKKKKK*Hch*4)</f>
        <v>24.955928947446203</v>
      </c>
    </row>
    <row r="16" spans="1:7">
      <c r="A16" s="575" t="s">
        <v>1805</v>
      </c>
      <c r="B16" s="628">
        <v>0.1</v>
      </c>
      <c r="C16" s="552"/>
      <c r="D16" s="574" t="s">
        <v>1806</v>
      </c>
      <c r="E16" s="574" t="s">
        <v>1807</v>
      </c>
      <c r="F16" s="574" t="s">
        <v>46</v>
      </c>
      <c r="G16" s="577">
        <f>(((PI()*(KKKKKK+0.1)^2)/4)*Hch)*4</f>
        <v>0.61575216010359934</v>
      </c>
    </row>
    <row r="17" spans="1:9">
      <c r="A17" s="575" t="s">
        <v>1808</v>
      </c>
      <c r="B17" s="628">
        <f>Le</f>
        <v>1.3</v>
      </c>
      <c r="C17" s="552"/>
      <c r="D17" s="622" t="s">
        <v>1954</v>
      </c>
      <c r="E17" s="619" t="s">
        <v>1810</v>
      </c>
      <c r="F17" s="574" t="s">
        <v>1599</v>
      </c>
      <c r="G17" s="577">
        <v>4</v>
      </c>
    </row>
    <row r="18" spans="1:9">
      <c r="A18" s="575" t="s">
        <v>1811</v>
      </c>
      <c r="B18" s="628">
        <f>ESGOTO</f>
        <v>4.1500000000000004</v>
      </c>
      <c r="C18" s="552"/>
      <c r="D18" s="2473" t="s">
        <v>1812</v>
      </c>
      <c r="E18" s="2474" t="s">
        <v>1813</v>
      </c>
      <c r="F18" s="2473" t="s">
        <v>47</v>
      </c>
      <c r="G18" s="2475">
        <f>(Lb*Cb*Pt)-(Lb*Cb*Eb)-(Le*ESGOTO*(CFO+ADELMO))-(((PI()*(KKKKKK+0.2)^2)/4)*4)</f>
        <v>7.7703807017025346</v>
      </c>
    </row>
    <row r="19" spans="1:9">
      <c r="A19" s="575" t="s">
        <v>1814</v>
      </c>
      <c r="B19" s="628">
        <v>0.4</v>
      </c>
      <c r="C19" s="552"/>
      <c r="D19" s="2473"/>
      <c r="E19" s="2474"/>
      <c r="F19" s="2473"/>
      <c r="G19" s="2475"/>
    </row>
    <row r="20" spans="1:9">
      <c r="A20" s="575" t="s">
        <v>1815</v>
      </c>
      <c r="B20" s="628">
        <v>0.6</v>
      </c>
      <c r="C20" s="552"/>
      <c r="D20" s="574" t="s">
        <v>1816</v>
      </c>
      <c r="E20" s="574" t="s">
        <v>1817</v>
      </c>
      <c r="F20" s="575" t="s">
        <v>47</v>
      </c>
      <c r="G20" s="576">
        <f>G7-G18</f>
        <v>12.084619298297469</v>
      </c>
    </row>
    <row r="21" spans="1:9">
      <c r="A21" s="575" t="s">
        <v>1818</v>
      </c>
      <c r="B21" s="628">
        <f>Hch+ADELMO+CFO+Eb</f>
        <v>2.2000000000000002</v>
      </c>
      <c r="C21" s="552"/>
      <c r="D21" s="574" t="s">
        <v>1819</v>
      </c>
      <c r="E21" s="574" t="s">
        <v>1785</v>
      </c>
      <c r="F21" s="574" t="s">
        <v>46</v>
      </c>
      <c r="G21" s="576">
        <f>Lb*Cb</f>
        <v>9.0250000000000004</v>
      </c>
      <c r="I21" s="627" t="s">
        <v>1952</v>
      </c>
    </row>
    <row r="22" spans="1:9">
      <c r="A22" s="575" t="s">
        <v>1820</v>
      </c>
      <c r="B22" s="628">
        <v>0.8</v>
      </c>
      <c r="C22" s="552"/>
      <c r="D22" s="574" t="s">
        <v>1821</v>
      </c>
      <c r="E22" s="574" t="s">
        <v>1822</v>
      </c>
      <c r="F22" s="574" t="s">
        <v>47</v>
      </c>
      <c r="G22" s="577">
        <f>0.1*0.1*1.7*3</f>
        <v>5.1000000000000004E-2</v>
      </c>
    </row>
    <row r="23" spans="1:9">
      <c r="A23" s="552"/>
      <c r="B23" s="552"/>
      <c r="C23" s="552"/>
      <c r="D23" s="574" t="s">
        <v>1823</v>
      </c>
      <c r="E23" s="574" t="s">
        <v>1824</v>
      </c>
      <c r="F23" s="574" t="s">
        <v>47</v>
      </c>
      <c r="G23" s="574">
        <f>ETE*CiFi*ACF</f>
        <v>1.3600000000000003</v>
      </c>
      <c r="I23" s="627" t="s">
        <v>1951</v>
      </c>
    </row>
    <row r="24" spans="1:9">
      <c r="D24" s="568"/>
      <c r="E24" s="568"/>
      <c r="F24" s="569"/>
      <c r="G24" s="570"/>
    </row>
    <row r="25" spans="1:9">
      <c r="A25" s="2471" t="s">
        <v>1825</v>
      </c>
      <c r="B25" s="2471"/>
      <c r="C25" s="2471"/>
      <c r="D25" s="2471"/>
      <c r="E25" s="2471"/>
      <c r="F25" s="2471"/>
      <c r="G25" s="2471"/>
    </row>
    <row r="26" spans="1:9">
      <c r="A26" s="571" t="s">
        <v>1776</v>
      </c>
      <c r="B26" s="572"/>
      <c r="C26" s="552"/>
      <c r="D26" s="571" t="s">
        <v>8</v>
      </c>
      <c r="E26" s="571" t="s">
        <v>1777</v>
      </c>
      <c r="F26" s="571" t="s">
        <v>1778</v>
      </c>
      <c r="G26" s="571" t="s">
        <v>1779</v>
      </c>
    </row>
    <row r="27" spans="1:9">
      <c r="A27" s="572" t="s">
        <v>1826</v>
      </c>
      <c r="B27" s="573">
        <f>'[3]Memória de Dimensionamento'!H75</f>
        <v>1.8</v>
      </c>
      <c r="C27" s="552"/>
      <c r="D27" s="622" t="s">
        <v>1781</v>
      </c>
      <c r="E27" s="575" t="s">
        <v>1827</v>
      </c>
      <c r="F27" s="622" t="s">
        <v>47</v>
      </c>
      <c r="G27" s="576">
        <f>((PI()*(DIs+0.2)^2)/4)*Pts</f>
        <v>9.1106186954104</v>
      </c>
    </row>
    <row r="28" spans="1:9">
      <c r="A28" s="572" t="s">
        <v>1828</v>
      </c>
      <c r="B28" s="573">
        <f>DIs+0.4</f>
        <v>2.2000000000000002</v>
      </c>
      <c r="C28" s="552"/>
      <c r="D28" s="622" t="s">
        <v>1829</v>
      </c>
      <c r="E28" s="575" t="s">
        <v>1830</v>
      </c>
      <c r="F28" s="622" t="s">
        <v>46</v>
      </c>
      <c r="G28" s="576">
        <f>(((PI()*(DIs+0.2))*(0.2*3)))*2</f>
        <v>7.5398223686155044</v>
      </c>
    </row>
    <row r="29" spans="1:9">
      <c r="A29" s="572" t="s">
        <v>1831</v>
      </c>
      <c r="B29" s="573">
        <f>'[3]Memória de Dimensionamento'!M75</f>
        <v>2.4</v>
      </c>
      <c r="C29" s="552"/>
      <c r="D29" s="622" t="s">
        <v>1832</v>
      </c>
      <c r="E29" s="575" t="s">
        <v>1833</v>
      </c>
      <c r="F29" s="575" t="s">
        <v>46</v>
      </c>
      <c r="G29" s="576">
        <f>(PI()*(DIs+0.4)^2)/4</f>
        <v>3.8013271108436504</v>
      </c>
    </row>
    <row r="30" spans="1:9" ht="30">
      <c r="A30" s="572" t="s">
        <v>1834</v>
      </c>
      <c r="B30" s="573">
        <v>0.1</v>
      </c>
      <c r="C30" s="552"/>
      <c r="D30" s="622" t="s">
        <v>1835</v>
      </c>
      <c r="E30" s="639" t="s">
        <v>1836</v>
      </c>
      <c r="F30" s="622" t="s">
        <v>47</v>
      </c>
      <c r="G30" s="576">
        <f>(((PI()*(DIs+0.2))*(0.2*0.2)))*2+(((PI()*(DIs+0.2)^2)/4)*Ets)</f>
        <v>0.81681408993334625</v>
      </c>
    </row>
    <row r="31" spans="1:9" ht="30">
      <c r="A31" s="572" t="s">
        <v>1837</v>
      </c>
      <c r="B31" s="573">
        <v>0.4</v>
      </c>
      <c r="C31" s="552"/>
      <c r="D31" s="635" t="s">
        <v>1838</v>
      </c>
      <c r="E31" s="636" t="s">
        <v>1839</v>
      </c>
      <c r="F31" s="637" t="s">
        <v>1599</v>
      </c>
      <c r="G31" s="638">
        <f>ROUNDUP((4466/25)*((PI()*(DIs+0.2)^2)/4)*His,0)</f>
        <v>1347</v>
      </c>
    </row>
    <row r="32" spans="1:9" ht="30">
      <c r="A32" s="572" t="s">
        <v>1840</v>
      </c>
      <c r="B32" s="573">
        <v>0.6</v>
      </c>
      <c r="C32" s="552"/>
      <c r="D32" s="635" t="s">
        <v>1841</v>
      </c>
      <c r="E32" s="636" t="s">
        <v>1842</v>
      </c>
      <c r="F32" s="637" t="s">
        <v>47</v>
      </c>
      <c r="G32" s="638">
        <f>(1.72/4466)*G31</f>
        <v>0.51877295118674427</v>
      </c>
    </row>
    <row r="33" spans="1:7">
      <c r="A33" s="572" t="s">
        <v>1843</v>
      </c>
      <c r="B33" s="573">
        <f>His+Ets+Hcs</f>
        <v>2.9</v>
      </c>
      <c r="C33" s="552"/>
      <c r="D33" s="622" t="s">
        <v>1797</v>
      </c>
      <c r="E33" s="623" t="s">
        <v>1844</v>
      </c>
      <c r="F33" s="622" t="s">
        <v>70</v>
      </c>
      <c r="G33" s="576">
        <f>(((PI()*(DIs+0.4)^2)/4)*Ets)*70</f>
        <v>26.609289775905555</v>
      </c>
    </row>
    <row r="34" spans="1:7">
      <c r="A34" s="552"/>
      <c r="B34" s="552"/>
      <c r="C34" s="552"/>
      <c r="D34" s="622" t="s">
        <v>1803</v>
      </c>
      <c r="E34" s="622" t="s">
        <v>1845</v>
      </c>
      <c r="F34" s="622" t="s">
        <v>46</v>
      </c>
      <c r="G34" s="624">
        <f>(PI()*Dcs*Hcs)</f>
        <v>0.75398223686155041</v>
      </c>
    </row>
    <row r="35" spans="1:7">
      <c r="A35" s="625" t="s">
        <v>1979</v>
      </c>
      <c r="B35" s="552"/>
      <c r="C35" s="552"/>
      <c r="D35" s="622" t="s">
        <v>1806</v>
      </c>
      <c r="E35" s="622" t="s">
        <v>1846</v>
      </c>
      <c r="F35" s="622" t="s">
        <v>46</v>
      </c>
      <c r="G35" s="624">
        <f>(PI()*(Dcs+0.1)*Hcs)</f>
        <v>0.87964594300514209</v>
      </c>
    </row>
    <row r="36" spans="1:7">
      <c r="A36" s="552" t="s">
        <v>1980</v>
      </c>
      <c r="B36" s="552"/>
      <c r="C36" s="552"/>
      <c r="D36" s="622" t="s">
        <v>1809</v>
      </c>
      <c r="E36" s="622" t="s">
        <v>1847</v>
      </c>
      <c r="F36" s="622" t="s">
        <v>1599</v>
      </c>
      <c r="G36" s="624">
        <v>1</v>
      </c>
    </row>
    <row r="37" spans="1:7" ht="30">
      <c r="A37" s="640" t="s">
        <v>1982</v>
      </c>
      <c r="B37" s="552"/>
      <c r="C37" s="552"/>
      <c r="D37" s="635" t="s">
        <v>466</v>
      </c>
      <c r="E37" s="636" t="s">
        <v>1848</v>
      </c>
      <c r="F37" s="637" t="s">
        <v>57</v>
      </c>
      <c r="G37" s="638">
        <f>(64.587/4466)*G31</f>
        <v>19.480225929243172</v>
      </c>
    </row>
    <row r="38" spans="1:7" ht="30">
      <c r="A38" s="552"/>
      <c r="B38" s="552"/>
      <c r="C38" s="552"/>
      <c r="D38" s="635" t="s">
        <v>1849</v>
      </c>
      <c r="E38" s="636" t="s">
        <v>1848</v>
      </c>
      <c r="F38" s="637" t="s">
        <v>57</v>
      </c>
      <c r="G38" s="638">
        <f>(64.587/4466)*G31</f>
        <v>19.480225929243172</v>
      </c>
    </row>
    <row r="39" spans="1:7" ht="15.75" thickBot="1">
      <c r="A39" s="552"/>
      <c r="B39" s="552"/>
      <c r="C39" s="552"/>
      <c r="D39" s="622" t="s">
        <v>1850</v>
      </c>
      <c r="E39" s="623" t="s">
        <v>1851</v>
      </c>
      <c r="F39" s="622" t="s">
        <v>47</v>
      </c>
      <c r="G39" s="576">
        <f>((PI()*DIs^2)/4)*0.3</f>
        <v>0.76340701482231976</v>
      </c>
    </row>
    <row r="40" spans="1:7" ht="39.75" customHeight="1" thickBot="1">
      <c r="D40" s="2148" t="s">
        <v>2035</v>
      </c>
      <c r="E40" s="2149"/>
      <c r="F40" s="2469" t="s">
        <v>2036</v>
      </c>
      <c r="G40" s="2470"/>
    </row>
  </sheetData>
  <mergeCells count="8">
    <mergeCell ref="D40:E40"/>
    <mergeCell ref="F40:G40"/>
    <mergeCell ref="A25:G25"/>
    <mergeCell ref="A5:G5"/>
    <mergeCell ref="D18:D19"/>
    <mergeCell ref="E18:E19"/>
    <mergeCell ref="F18:F19"/>
    <mergeCell ref="G18:G1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33</vt:i4>
      </vt:variant>
    </vt:vector>
  </HeadingPairs>
  <TitlesOfParts>
    <vt:vector size="50" baseType="lpstr">
      <vt:lpstr>RESUMO SEM DESONERAÇÃO</vt:lpstr>
      <vt:lpstr>PLANILHA SEM DESON</vt:lpstr>
      <vt:lpstr>CADERNO DE COMPOSIÇÃO</vt:lpstr>
      <vt:lpstr>COMP CIVIL</vt:lpstr>
      <vt:lpstr>COMP ETE 1</vt:lpstr>
      <vt:lpstr> COMP HIDR 1</vt:lpstr>
      <vt:lpstr>COMP ELE</vt:lpstr>
      <vt:lpstr>COMP ESTRUT</vt:lpstr>
      <vt:lpstr>CRONOGRAMA SEM DESONERAÇÃO</vt:lpstr>
      <vt:lpstr>BDI NÃO DESONERADO</vt:lpstr>
      <vt:lpstr>ENCARGOS SOCIAIS</vt:lpstr>
      <vt:lpstr>QTITQTIVO ARQ FINAL</vt:lpstr>
      <vt:lpstr>QTITQTIVO ESTRUTURAL</vt:lpstr>
      <vt:lpstr>QT ESTR MURO-MURETA</vt:lpstr>
      <vt:lpstr>QTITATIVO ELÉTRICA</vt:lpstr>
      <vt:lpstr>LISTA DE MAT HIDROSSAN</vt:lpstr>
      <vt:lpstr>QTITQTIVO ETE - ADELMO</vt:lpstr>
      <vt:lpstr>ACF</vt:lpstr>
      <vt:lpstr>ADELMO</vt:lpstr>
      <vt:lpstr>' COMP HIDR 1'!Area_de_impressao</vt:lpstr>
      <vt:lpstr>'BDI NÃO DESONERADO'!Area_de_impressao</vt:lpstr>
      <vt:lpstr>'CADERNO DE COMPOSIÇÃO'!Area_de_impressao</vt:lpstr>
      <vt:lpstr>'COMP CIVIL'!Area_de_impressao</vt:lpstr>
      <vt:lpstr>'COMP ETE 1'!Area_de_impressao</vt:lpstr>
      <vt:lpstr>'CRONOGRAMA SEM DESONERAÇÃO'!Area_de_impressao</vt:lpstr>
      <vt:lpstr>'PLANILHA SEM DESON'!Area_de_impressao</vt:lpstr>
      <vt:lpstr>'RESUMO SEM DESONERAÇÃO'!Area_de_impressao</vt:lpstr>
      <vt:lpstr>Cb</vt:lpstr>
      <vt:lpstr>Ce</vt:lpstr>
      <vt:lpstr>CFO</vt:lpstr>
      <vt:lpstr>CiFi</vt:lpstr>
      <vt:lpstr>CiFo</vt:lpstr>
      <vt:lpstr>Dch</vt:lpstr>
      <vt:lpstr>Dcs</vt:lpstr>
      <vt:lpstr>DIs</vt:lpstr>
      <vt:lpstr>Eb</vt:lpstr>
      <vt:lpstr>ESGOTO</vt:lpstr>
      <vt:lpstr>Et</vt:lpstr>
      <vt:lpstr>ETE</vt:lpstr>
      <vt:lpstr>Ets</vt:lpstr>
      <vt:lpstr>Hch</vt:lpstr>
      <vt:lpstr>Hcs</vt:lpstr>
      <vt:lpstr>His</vt:lpstr>
      <vt:lpstr>Hit</vt:lpstr>
      <vt:lpstr>KKKKKK</vt:lpstr>
      <vt:lpstr>Lb</vt:lpstr>
      <vt:lpstr>Le</vt:lpstr>
      <vt:lpstr>Li</vt:lpstr>
      <vt:lpstr>Pt</vt:lpstr>
      <vt:lpstr>Pts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Ferrer Kalix de Oliveira</dc:creator>
  <cp:lastModifiedBy>Paulo Medeiros</cp:lastModifiedBy>
  <cp:lastPrinted>2023-05-12T18:47:09Z</cp:lastPrinted>
  <dcterms:created xsi:type="dcterms:W3CDTF">2012-12-28T17:23:20Z</dcterms:created>
  <dcterms:modified xsi:type="dcterms:W3CDTF">2023-05-12T18:47:12Z</dcterms:modified>
</cp:coreProperties>
</file>